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 Vu\Desktop\Repos\kingscrowd\"/>
    </mc:Choice>
  </mc:AlternateContent>
  <xr:revisionPtr revIDLastSave="0" documentId="13_ncr:1_{C0CEEDC1-4B1A-4055-A806-605B5DC8E636}" xr6:coauthVersionLast="44" xr6:coauthVersionMax="44" xr10:uidLastSave="{00000000-0000-0000-0000-000000000000}"/>
  <bookViews>
    <workbookView xWindow="2544" yWindow="2544" windowWidth="17280" windowHeight="8964" xr2:uid="{00000000-000D-0000-FFFF-FFFF00000000}"/>
  </bookViews>
  <sheets>
    <sheet name="Data Entries - EquityNoteSAFE" sheetId="1" r:id="rId1"/>
    <sheet name="Data Entries - DebtRev Share" sheetId="2" r:id="rId2"/>
    <sheet name="Dropdowns" sheetId="3" r:id="rId3"/>
    <sheet name="Data Processing" sheetId="4" r:id="rId4"/>
    <sheet name="Issues" sheetId="5" r:id="rId5"/>
    <sheet name="Charts" sheetId="6" r:id="rId6"/>
    <sheet name="Sheet7" sheetId="7" r:id="rId7"/>
  </sheets>
  <definedNames>
    <definedName name="_xlnm._FilterDatabase" localSheetId="1" hidden="1">'Data Entries - DebtRev Share'!$AN$2:$AN$5</definedName>
    <definedName name="diffrentiation_sums">'Data Entries - EquityNoteSAFE'!$FX$2:$FX$289</definedName>
    <definedName name="discount_rates">'Data Entries - EquityNoteSAFE'!$X$2:$X$289</definedName>
    <definedName name="exits">'Data Entries - EquityNoteSAFE'!$DT$2:$DT$289</definedName>
    <definedName name="industry_experiences">'Data Entries - EquityNoteSAFE'!$DR$2:$DR$289</definedName>
    <definedName name="interest_rates">'Data Entries - EquityNoteSAFE'!$U$2:$U$289</definedName>
    <definedName name="market_growth_rates">'Data Entries - EquityNoteSAFE'!$AN$2:$AN$289</definedName>
    <definedName name="market_ratings_sums">'Data Entries - EquityNoteSAFE'!$EJ$2:$EJ$289</definedName>
    <definedName name="market_sizes">'Data Entries - EquityNoteSAFE'!$AL$2:$AL$289</definedName>
    <definedName name="performance_ratings_sums">'Data Entries - EquityNoteSAFE'!$FQ$2:$FQ$289</definedName>
    <definedName name="prior_rounds_amounts">'Data Entries - EquityNoteSAFE'!$BC$2:$BC$289</definedName>
    <definedName name="ratings_sums">'Data Entries - EquityNoteSAFE'!$GH$2:$GH$289</definedName>
    <definedName name="return_mutiples">'Data Entries - EquityNoteSAFE'!$T$2:$T$289</definedName>
    <definedName name="revenues">'Data Entries - EquityNoteSAFE'!$AZ$2:$AZ$289</definedName>
    <definedName name="team_ratings_sums">'Data Entries - EquityNoteSAFE'!$EP$2:$EP$289</definedName>
    <definedName name="valuation_caps">'Data Entries - EquityNoteSAFE'!$W$2:$W$289</definedName>
    <definedName name="valuation_caps_after_discount" localSheetId="1">'Data Entries - DebtRev Share'!$Y$2</definedName>
    <definedName name="valuation_caps_after_discount">'Data Entries - EquityNoteSAFE'!$Y$1:$Y$289</definedName>
    <definedName name="valuations">'Data Entries - EquityNoteSAFE'!$V$2:$V$289</definedName>
    <definedName name="Z_A5961FC6_04DE_4807_90C3_4D037B2DA7E2_.wvu.FilterData" localSheetId="0" hidden="1">'Data Entries - EquityNoteSAFE'!$B$1:$BX$289</definedName>
  </definedNames>
  <calcPr calcId="191029"/>
  <customWorkbookViews>
    <customWorkbookView name="Filter 1" guid="{A5961FC6-04DE-4807-90C3-4D037B2DA7E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8" i="7" l="1"/>
  <c r="S297" i="7"/>
  <c r="S296" i="7"/>
  <c r="S295" i="7"/>
  <c r="S294" i="7"/>
  <c r="S293" i="7"/>
  <c r="AA292" i="7"/>
  <c r="S292" i="7"/>
  <c r="AA291" i="7"/>
  <c r="S291" i="7"/>
  <c r="AA290" i="7"/>
  <c r="S290" i="7"/>
  <c r="AA289" i="7"/>
  <c r="S289" i="7"/>
  <c r="AA288" i="7"/>
  <c r="S288" i="7"/>
  <c r="AA287" i="7"/>
  <c r="S287" i="7"/>
  <c r="AA286" i="7"/>
  <c r="S286" i="7"/>
  <c r="AA285" i="7"/>
  <c r="S285" i="7"/>
  <c r="AA284" i="7"/>
  <c r="S284" i="7"/>
  <c r="AA283" i="7"/>
  <c r="S283" i="7"/>
  <c r="AA282" i="7"/>
  <c r="S282" i="7"/>
  <c r="AA281" i="7"/>
  <c r="S281" i="7"/>
  <c r="AA280" i="7"/>
  <c r="S280" i="7"/>
  <c r="M280" i="7"/>
  <c r="AA279" i="7"/>
  <c r="S279" i="7"/>
  <c r="M279" i="7"/>
  <c r="P538" i="7" s="1"/>
  <c r="AA278" i="7"/>
  <c r="W278" i="7"/>
  <c r="W279" i="7" s="1"/>
  <c r="Y277" i="7" s="1"/>
  <c r="Y278" i="7" s="1"/>
  <c r="Y279" i="7" s="1"/>
  <c r="Y280" i="7" s="1"/>
  <c r="Y281" i="7" s="1"/>
  <c r="Y282" i="7" s="1"/>
  <c r="Y283" i="7" s="1"/>
  <c r="Y284" i="7" s="1"/>
  <c r="Y285" i="7" s="1"/>
  <c r="Y286" i="7" s="1"/>
  <c r="Y287" i="7" s="1"/>
  <c r="Y288" i="7" s="1"/>
  <c r="Y289" i="7" s="1"/>
  <c r="Y290" i="7" s="1"/>
  <c r="Y291" i="7" s="1"/>
  <c r="Y292" i="7" s="1"/>
  <c r="S278" i="7"/>
  <c r="AA277" i="7"/>
  <c r="S277" i="7"/>
  <c r="M277" i="7"/>
  <c r="N277" i="7" s="1"/>
  <c r="O277" i="7" s="1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AC152" i="7"/>
  <c r="L152" i="7"/>
  <c r="AC151" i="7"/>
  <c r="L151" i="7"/>
  <c r="AC150" i="7"/>
  <c r="L150" i="7"/>
  <c r="AC149" i="7"/>
  <c r="L149" i="7"/>
  <c r="AC148" i="7"/>
  <c r="L148" i="7"/>
  <c r="AC147" i="7"/>
  <c r="L147" i="7"/>
  <c r="AC146" i="7"/>
  <c r="L146" i="7"/>
  <c r="AC145" i="7"/>
  <c r="L145" i="7"/>
  <c r="AC144" i="7"/>
  <c r="L144" i="7"/>
  <c r="AC143" i="7"/>
  <c r="L143" i="7"/>
  <c r="AC142" i="7"/>
  <c r="L142" i="7"/>
  <c r="AC141" i="7"/>
  <c r="L141" i="7"/>
  <c r="AC140" i="7"/>
  <c r="L140" i="7"/>
  <c r="AC139" i="7"/>
  <c r="L139" i="7"/>
  <c r="AC138" i="7"/>
  <c r="L138" i="7"/>
  <c r="AC137" i="7"/>
  <c r="L137" i="7"/>
  <c r="AC136" i="7"/>
  <c r="L136" i="7"/>
  <c r="AC135" i="7"/>
  <c r="L135" i="7"/>
  <c r="AC134" i="7"/>
  <c r="L134" i="7"/>
  <c r="AC133" i="7"/>
  <c r="L133" i="7"/>
  <c r="AC132" i="7"/>
  <c r="L132" i="7"/>
  <c r="AC131" i="7"/>
  <c r="L131" i="7"/>
  <c r="AC130" i="7"/>
  <c r="L130" i="7"/>
  <c r="AC129" i="7"/>
  <c r="L129" i="7"/>
  <c r="AC128" i="7"/>
  <c r="L128" i="7"/>
  <c r="AC127" i="7"/>
  <c r="L127" i="7"/>
  <c r="AC126" i="7"/>
  <c r="L126" i="7"/>
  <c r="AC125" i="7"/>
  <c r="L125" i="7"/>
  <c r="AC124" i="7"/>
  <c r="L124" i="7"/>
  <c r="AC123" i="7"/>
  <c r="L123" i="7"/>
  <c r="AC122" i="7"/>
  <c r="L122" i="7"/>
  <c r="AC121" i="7"/>
  <c r="L121" i="7"/>
  <c r="AC120" i="7"/>
  <c r="L120" i="7"/>
  <c r="AC119" i="7"/>
  <c r="L119" i="7"/>
  <c r="AC118" i="7"/>
  <c r="L118" i="7"/>
  <c r="AC117" i="7"/>
  <c r="L117" i="7"/>
  <c r="AC116" i="7"/>
  <c r="L116" i="7"/>
  <c r="AC115" i="7"/>
  <c r="L115" i="7"/>
  <c r="AC114" i="7"/>
  <c r="L114" i="7"/>
  <c r="AC113" i="7"/>
  <c r="L113" i="7"/>
  <c r="AC112" i="7"/>
  <c r="L112" i="7"/>
  <c r="AC111" i="7"/>
  <c r="L111" i="7"/>
  <c r="AC110" i="7"/>
  <c r="L110" i="7"/>
  <c r="AC109" i="7"/>
  <c r="L109" i="7"/>
  <c r="AC108" i="7"/>
  <c r="L108" i="7"/>
  <c r="AC107" i="7"/>
  <c r="L107" i="7"/>
  <c r="AC106" i="7"/>
  <c r="L106" i="7"/>
  <c r="AC105" i="7"/>
  <c r="L105" i="7"/>
  <c r="AC104" i="7"/>
  <c r="L104" i="7"/>
  <c r="AC103" i="7"/>
  <c r="L103" i="7"/>
  <c r="AC102" i="7"/>
  <c r="L102" i="7"/>
  <c r="AC101" i="7"/>
  <c r="L101" i="7"/>
  <c r="AC100" i="7"/>
  <c r="L100" i="7"/>
  <c r="AC99" i="7"/>
  <c r="L99" i="7"/>
  <c r="AC98" i="7"/>
  <c r="L98" i="7"/>
  <c r="AC97" i="7"/>
  <c r="L97" i="7"/>
  <c r="AC96" i="7"/>
  <c r="L96" i="7"/>
  <c r="AC95" i="7"/>
  <c r="L95" i="7"/>
  <c r="AC94" i="7"/>
  <c r="L94" i="7"/>
  <c r="AC93" i="7"/>
  <c r="L93" i="7"/>
  <c r="AC92" i="7"/>
  <c r="L92" i="7"/>
  <c r="AC91" i="7"/>
  <c r="L91" i="7"/>
  <c r="AC90" i="7"/>
  <c r="L90" i="7"/>
  <c r="AC89" i="7"/>
  <c r="L89" i="7"/>
  <c r="AC88" i="7"/>
  <c r="L88" i="7"/>
  <c r="AC87" i="7"/>
  <c r="L87" i="7"/>
  <c r="AC86" i="7"/>
  <c r="L86" i="7"/>
  <c r="AC85" i="7"/>
  <c r="L85" i="7"/>
  <c r="AC84" i="7"/>
  <c r="L84" i="7"/>
  <c r="AC83" i="7"/>
  <c r="L83" i="7"/>
  <c r="AC82" i="7"/>
  <c r="L82" i="7"/>
  <c r="AC81" i="7"/>
  <c r="L81" i="7"/>
  <c r="AC80" i="7"/>
  <c r="L80" i="7"/>
  <c r="AC79" i="7"/>
  <c r="L79" i="7"/>
  <c r="AC78" i="7"/>
  <c r="L78" i="7"/>
  <c r="AC77" i="7"/>
  <c r="L77" i="7"/>
  <c r="AC76" i="7"/>
  <c r="L76" i="7"/>
  <c r="AC75" i="7"/>
  <c r="L75" i="7"/>
  <c r="AC74" i="7"/>
  <c r="L74" i="7"/>
  <c r="AC73" i="7"/>
  <c r="L73" i="7"/>
  <c r="AC72" i="7"/>
  <c r="L72" i="7"/>
  <c r="AC71" i="7"/>
  <c r="L71" i="7"/>
  <c r="AC70" i="7"/>
  <c r="L70" i="7"/>
  <c r="AC69" i="7"/>
  <c r="L69" i="7"/>
  <c r="AC68" i="7"/>
  <c r="L68" i="7"/>
  <c r="AC67" i="7"/>
  <c r="L67" i="7"/>
  <c r="AC66" i="7"/>
  <c r="L66" i="7"/>
  <c r="AC65" i="7"/>
  <c r="L65" i="7"/>
  <c r="AC64" i="7"/>
  <c r="L64" i="7"/>
  <c r="AC63" i="7"/>
  <c r="L63" i="7"/>
  <c r="AC62" i="7"/>
  <c r="L62" i="7"/>
  <c r="AC61" i="7"/>
  <c r="L61" i="7"/>
  <c r="AC60" i="7"/>
  <c r="L60" i="7"/>
  <c r="AC59" i="7"/>
  <c r="L59" i="7"/>
  <c r="AC58" i="7"/>
  <c r="L58" i="7"/>
  <c r="AC57" i="7"/>
  <c r="L57" i="7"/>
  <c r="AC56" i="7"/>
  <c r="L56" i="7"/>
  <c r="AC55" i="7"/>
  <c r="L55" i="7"/>
  <c r="AC54" i="7"/>
  <c r="L54" i="7"/>
  <c r="AC53" i="7"/>
  <c r="L53" i="7"/>
  <c r="AC52" i="7"/>
  <c r="L52" i="7"/>
  <c r="AC51" i="7"/>
  <c r="L51" i="7"/>
  <c r="AC50" i="7"/>
  <c r="L50" i="7"/>
  <c r="AC49" i="7"/>
  <c r="L49" i="7"/>
  <c r="AC48" i="7"/>
  <c r="L48" i="7"/>
  <c r="AC47" i="7"/>
  <c r="L47" i="7"/>
  <c r="AC46" i="7"/>
  <c r="L46" i="7"/>
  <c r="AC45" i="7"/>
  <c r="L45" i="7"/>
  <c r="AC44" i="7"/>
  <c r="L44" i="7"/>
  <c r="AC43" i="7"/>
  <c r="L43" i="7"/>
  <c r="AC42" i="7"/>
  <c r="L42" i="7"/>
  <c r="AC41" i="7"/>
  <c r="L41" i="7"/>
  <c r="AC40" i="7"/>
  <c r="L40" i="7"/>
  <c r="AC39" i="7"/>
  <c r="L39" i="7"/>
  <c r="AC38" i="7"/>
  <c r="L38" i="7"/>
  <c r="AC37" i="7"/>
  <c r="L37" i="7"/>
  <c r="AC36" i="7"/>
  <c r="L36" i="7"/>
  <c r="AC35" i="7"/>
  <c r="L35" i="7"/>
  <c r="AC34" i="7"/>
  <c r="L34" i="7"/>
  <c r="AC33" i="7"/>
  <c r="L33" i="7"/>
  <c r="AC32" i="7"/>
  <c r="L32" i="7"/>
  <c r="AC31" i="7"/>
  <c r="L31" i="7"/>
  <c r="AC30" i="7"/>
  <c r="L30" i="7"/>
  <c r="AC29" i="7"/>
  <c r="L29" i="7"/>
  <c r="AC28" i="7"/>
  <c r="L28" i="7"/>
  <c r="AC27" i="7"/>
  <c r="L27" i="7"/>
  <c r="AC26" i="7"/>
  <c r="L26" i="7"/>
  <c r="AC25" i="7"/>
  <c r="L25" i="7"/>
  <c r="AC24" i="7"/>
  <c r="L24" i="7"/>
  <c r="AC23" i="7"/>
  <c r="L23" i="7"/>
  <c r="AI22" i="7"/>
  <c r="AC22" i="7"/>
  <c r="L22" i="7"/>
  <c r="AI21" i="7"/>
  <c r="AC21" i="7"/>
  <c r="L21" i="7"/>
  <c r="AI20" i="7"/>
  <c r="AC20" i="7"/>
  <c r="L20" i="7"/>
  <c r="AI19" i="7"/>
  <c r="AC19" i="7"/>
  <c r="L19" i="7"/>
  <c r="AI18" i="7"/>
  <c r="AC18" i="7"/>
  <c r="L18" i="7"/>
  <c r="AI17" i="7"/>
  <c r="AC17" i="7"/>
  <c r="L17" i="7"/>
  <c r="AI16" i="7"/>
  <c r="AC16" i="7"/>
  <c r="L16" i="7"/>
  <c r="AI15" i="7"/>
  <c r="AC15" i="7"/>
  <c r="L15" i="7"/>
  <c r="AI14" i="7"/>
  <c r="AC14" i="7"/>
  <c r="L14" i="7"/>
  <c r="AI13" i="7"/>
  <c r="AC13" i="7"/>
  <c r="L13" i="7"/>
  <c r="AI12" i="7"/>
  <c r="AC12" i="7"/>
  <c r="L12" i="7"/>
  <c r="AI11" i="7"/>
  <c r="AC11" i="7"/>
  <c r="L11" i="7"/>
  <c r="AI10" i="7"/>
  <c r="AC10" i="7"/>
  <c r="L10" i="7"/>
  <c r="AI9" i="7"/>
  <c r="AC9" i="7"/>
  <c r="L9" i="7"/>
  <c r="AI8" i="7"/>
  <c r="AC8" i="7"/>
  <c r="L8" i="7"/>
  <c r="AI7" i="7"/>
  <c r="AC7" i="7"/>
  <c r="L7" i="7"/>
  <c r="AI6" i="7"/>
  <c r="AC6" i="7"/>
  <c r="L6" i="7"/>
  <c r="AI5" i="7"/>
  <c r="AC5" i="7"/>
  <c r="L5" i="7"/>
  <c r="AI4" i="7"/>
  <c r="AC4" i="7"/>
  <c r="W4" i="7"/>
  <c r="L4" i="7"/>
  <c r="AI3" i="7"/>
  <c r="AC3" i="7"/>
  <c r="W3" i="7"/>
  <c r="U3" i="7"/>
  <c r="L3" i="7"/>
  <c r="AC2" i="7"/>
  <c r="U2" i="7"/>
  <c r="N2" i="7"/>
  <c r="L2" i="7"/>
  <c r="A1000" i="6"/>
  <c r="A999" i="6"/>
  <c r="A998" i="6"/>
  <c r="A997" i="6"/>
  <c r="A996" i="6"/>
  <c r="A995" i="6"/>
  <c r="A994" i="6"/>
  <c r="A993" i="6"/>
  <c r="A992" i="6"/>
  <c r="A991" i="6"/>
  <c r="A990" i="6"/>
  <c r="A989" i="6"/>
  <c r="A988" i="6"/>
  <c r="A987" i="6"/>
  <c r="A986" i="6"/>
  <c r="A985" i="6"/>
  <c r="A984" i="6"/>
  <c r="A983" i="6"/>
  <c r="A982" i="6"/>
  <c r="A981" i="6"/>
  <c r="A980" i="6"/>
  <c r="A979" i="6"/>
  <c r="A978" i="6"/>
  <c r="A977" i="6"/>
  <c r="A976" i="6"/>
  <c r="A975" i="6"/>
  <c r="A974" i="6"/>
  <c r="A973" i="6"/>
  <c r="A972" i="6"/>
  <c r="A971" i="6"/>
  <c r="A970" i="6"/>
  <c r="A969" i="6"/>
  <c r="A968" i="6"/>
  <c r="A967" i="6"/>
  <c r="A966" i="6"/>
  <c r="A965" i="6"/>
  <c r="A964" i="6"/>
  <c r="A963" i="6"/>
  <c r="A962" i="6"/>
  <c r="A961" i="6"/>
  <c r="A960" i="6"/>
  <c r="A959" i="6"/>
  <c r="A958" i="6"/>
  <c r="A957" i="6"/>
  <c r="A956" i="6"/>
  <c r="A955" i="6"/>
  <c r="A954" i="6"/>
  <c r="A953" i="6"/>
  <c r="A952" i="6"/>
  <c r="A951" i="6"/>
  <c r="A950" i="6"/>
  <c r="A949" i="6"/>
  <c r="A948" i="6"/>
  <c r="A947" i="6"/>
  <c r="A946" i="6"/>
  <c r="A945" i="6"/>
  <c r="A944" i="6"/>
  <c r="A943" i="6"/>
  <c r="A942" i="6"/>
  <c r="A941" i="6"/>
  <c r="A940" i="6"/>
  <c r="A939" i="6"/>
  <c r="A938" i="6"/>
  <c r="A937" i="6"/>
  <c r="A936" i="6"/>
  <c r="A935" i="6"/>
  <c r="A934" i="6"/>
  <c r="A933" i="6"/>
  <c r="A932" i="6"/>
  <c r="A931" i="6"/>
  <c r="A930" i="6"/>
  <c r="A929" i="6"/>
  <c r="A928" i="6"/>
  <c r="A927" i="6"/>
  <c r="A926" i="6"/>
  <c r="A925" i="6"/>
  <c r="A924" i="6"/>
  <c r="A923" i="6"/>
  <c r="A922" i="6"/>
  <c r="A921" i="6"/>
  <c r="A920" i="6"/>
  <c r="A919" i="6"/>
  <c r="A918" i="6"/>
  <c r="A917" i="6"/>
  <c r="A916" i="6"/>
  <c r="A915" i="6"/>
  <c r="A914" i="6"/>
  <c r="A913" i="6"/>
  <c r="A912" i="6"/>
  <c r="A911" i="6"/>
  <c r="A910" i="6"/>
  <c r="A909" i="6"/>
  <c r="A908" i="6"/>
  <c r="A907" i="6"/>
  <c r="A906" i="6"/>
  <c r="A905" i="6"/>
  <c r="A904" i="6"/>
  <c r="A903" i="6"/>
  <c r="A902" i="6"/>
  <c r="A901" i="6"/>
  <c r="A900" i="6"/>
  <c r="A899" i="6"/>
  <c r="A898" i="6"/>
  <c r="A897" i="6"/>
  <c r="A896" i="6"/>
  <c r="A895" i="6"/>
  <c r="A894" i="6"/>
  <c r="A893" i="6"/>
  <c r="A892" i="6"/>
  <c r="A891" i="6"/>
  <c r="A890" i="6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12" i="6"/>
  <c r="A144" i="6"/>
  <c r="M23" i="4"/>
  <c r="M22" i="4"/>
  <c r="M21" i="4"/>
  <c r="M20" i="4"/>
  <c r="M19" i="4"/>
  <c r="M18" i="4"/>
  <c r="M17" i="4"/>
  <c r="M16" i="4"/>
  <c r="M15" i="4"/>
  <c r="M14" i="4"/>
  <c r="AD23" i="3"/>
  <c r="AD22" i="3"/>
  <c r="AD21" i="3"/>
  <c r="AD20" i="3"/>
  <c r="AD19" i="3"/>
  <c r="AD18" i="3"/>
  <c r="AD17" i="3"/>
  <c r="AD16" i="3"/>
  <c r="X16" i="3"/>
  <c r="AD15" i="3"/>
  <c r="X15" i="3"/>
  <c r="AD14" i="3"/>
  <c r="X14" i="3"/>
  <c r="AD13" i="3"/>
  <c r="X13" i="3"/>
  <c r="AD12" i="3"/>
  <c r="X12" i="3"/>
  <c r="AM11" i="3"/>
  <c r="AJ11" i="3"/>
  <c r="AG11" i="3"/>
  <c r="AD11" i="3"/>
  <c r="X11" i="3"/>
  <c r="AM10" i="3"/>
  <c r="AJ10" i="3"/>
  <c r="AG10" i="3"/>
  <c r="AD10" i="3"/>
  <c r="X10" i="3"/>
  <c r="AM9" i="3"/>
  <c r="AJ9" i="3"/>
  <c r="AG9" i="3"/>
  <c r="AD9" i="3"/>
  <c r="X9" i="3"/>
  <c r="AP8" i="3"/>
  <c r="AM8" i="3"/>
  <c r="AJ8" i="3"/>
  <c r="AG8" i="3"/>
  <c r="AD8" i="3"/>
  <c r="X8" i="3"/>
  <c r="AP7" i="3"/>
  <c r="AM7" i="3"/>
  <c r="AJ7" i="3"/>
  <c r="AG7" i="3"/>
  <c r="AD7" i="3"/>
  <c r="AA7" i="3"/>
  <c r="X7" i="3"/>
  <c r="AP6" i="3"/>
  <c r="AM6" i="3"/>
  <c r="AJ6" i="3"/>
  <c r="AG6" i="3"/>
  <c r="AD6" i="3"/>
  <c r="AA6" i="3"/>
  <c r="X6" i="3"/>
  <c r="AP5" i="3"/>
  <c r="AM5" i="3"/>
  <c r="AJ5" i="3"/>
  <c r="AG5" i="3"/>
  <c r="AD5" i="3"/>
  <c r="AA5" i="3"/>
  <c r="X5" i="3"/>
  <c r="AP4" i="3"/>
  <c r="AM4" i="3"/>
  <c r="AJ4" i="3"/>
  <c r="AG4" i="3"/>
  <c r="AD4" i="3"/>
  <c r="AA4" i="3"/>
  <c r="X4" i="3"/>
  <c r="AP3" i="3"/>
  <c r="AM3" i="3"/>
  <c r="AJ3" i="3"/>
  <c r="AG3" i="3"/>
  <c r="AD3" i="3"/>
  <c r="AA3" i="3"/>
  <c r="X3" i="3"/>
  <c r="AP2" i="3"/>
  <c r="AM2" i="3"/>
  <c r="AJ2" i="3"/>
  <c r="AG2" i="3"/>
  <c r="AD2" i="3"/>
  <c r="AA2" i="3"/>
  <c r="X2" i="3"/>
  <c r="BD43" i="2"/>
  <c r="AL43" i="2"/>
  <c r="AJ43" i="2"/>
  <c r="BD42" i="2"/>
  <c r="AL42" i="2"/>
  <c r="AJ42" i="2"/>
  <c r="BD41" i="2"/>
  <c r="AL41" i="2"/>
  <c r="AJ41" i="2"/>
  <c r="BD40" i="2"/>
  <c r="AL40" i="2"/>
  <c r="AJ40" i="2"/>
  <c r="BD39" i="2"/>
  <c r="AL39" i="2"/>
  <c r="AJ39" i="2"/>
  <c r="BD38" i="2"/>
  <c r="AL38" i="2"/>
  <c r="AJ38" i="2"/>
  <c r="BD37" i="2"/>
  <c r="AL37" i="2"/>
  <c r="AJ37" i="2"/>
  <c r="BD36" i="2"/>
  <c r="AL36" i="2"/>
  <c r="AJ36" i="2"/>
  <c r="BD35" i="2"/>
  <c r="AL35" i="2"/>
  <c r="AJ35" i="2"/>
  <c r="BD34" i="2"/>
  <c r="AL34" i="2"/>
  <c r="AJ34" i="2"/>
  <c r="BD33" i="2"/>
  <c r="AL33" i="2"/>
  <c r="AJ33" i="2"/>
  <c r="BD32" i="2"/>
  <c r="AL32" i="2"/>
  <c r="AJ32" i="2"/>
  <c r="BD31" i="2"/>
  <c r="AL31" i="2"/>
  <c r="AJ31" i="2"/>
  <c r="BD30" i="2"/>
  <c r="AL30" i="2"/>
  <c r="AJ30" i="2"/>
  <c r="BD29" i="2"/>
  <c r="AL29" i="2"/>
  <c r="AJ29" i="2"/>
  <c r="BD28" i="2"/>
  <c r="AL28" i="2"/>
  <c r="AJ28" i="2"/>
  <c r="BD27" i="2"/>
  <c r="AL27" i="2"/>
  <c r="AJ27" i="2"/>
  <c r="BD26" i="2"/>
  <c r="AL26" i="2"/>
  <c r="AJ26" i="2"/>
  <c r="BD25" i="2"/>
  <c r="AL25" i="2"/>
  <c r="AJ25" i="2"/>
  <c r="BD24" i="2"/>
  <c r="AL24" i="2"/>
  <c r="AJ24" i="2"/>
  <c r="BD23" i="2"/>
  <c r="AL23" i="2"/>
  <c r="AJ23" i="2"/>
  <c r="BD22" i="2"/>
  <c r="AL22" i="2"/>
  <c r="AJ22" i="2"/>
  <c r="BD21" i="2"/>
  <c r="AL21" i="2"/>
  <c r="AJ21" i="2"/>
  <c r="BD20" i="2"/>
  <c r="AL20" i="2"/>
  <c r="AJ20" i="2"/>
  <c r="BD19" i="2"/>
  <c r="AL19" i="2"/>
  <c r="AJ19" i="2"/>
  <c r="BD18" i="2"/>
  <c r="AL18" i="2"/>
  <c r="AJ18" i="2"/>
  <c r="BD17" i="2"/>
  <c r="AL17" i="2"/>
  <c r="AJ17" i="2"/>
  <c r="BD16" i="2"/>
  <c r="AL16" i="2"/>
  <c r="AJ16" i="2"/>
  <c r="BD15" i="2"/>
  <c r="AL15" i="2"/>
  <c r="AJ15" i="2"/>
  <c r="BD14" i="2"/>
  <c r="AL14" i="2"/>
  <c r="AJ14" i="2"/>
  <c r="BD13" i="2"/>
  <c r="AL13" i="2"/>
  <c r="AJ13" i="2"/>
  <c r="BD12" i="2"/>
  <c r="AL12" i="2"/>
  <c r="AJ12" i="2"/>
  <c r="BD11" i="2"/>
  <c r="AL11" i="2"/>
  <c r="AJ11" i="2"/>
  <c r="BD8" i="2"/>
  <c r="BE8" i="2" s="1"/>
  <c r="BC8" i="2"/>
  <c r="AZ8" i="2"/>
  <c r="AL8" i="2"/>
  <c r="BE7" i="2"/>
  <c r="BD7" i="2"/>
  <c r="BC7" i="2"/>
  <c r="AZ7" i="2"/>
  <c r="AL7" i="2"/>
  <c r="BD6" i="2"/>
  <c r="BE6" i="2" s="1"/>
  <c r="BC6" i="2"/>
  <c r="AZ6" i="2"/>
  <c r="AL6" i="2"/>
  <c r="BD5" i="2"/>
  <c r="BD4" i="2"/>
  <c r="AZ4" i="2"/>
  <c r="BD3" i="2"/>
  <c r="GD289" i="1"/>
  <c r="GB289" i="1"/>
  <c r="FZ289" i="1"/>
  <c r="FW289" i="1"/>
  <c r="FV289" i="1"/>
  <c r="FX289" i="1" s="1"/>
  <c r="FS289" i="1"/>
  <c r="FM289" i="1"/>
  <c r="FJ289" i="1"/>
  <c r="FH289" i="1"/>
  <c r="FF289" i="1"/>
  <c r="FD289" i="1"/>
  <c r="FB289" i="1"/>
  <c r="FA289" i="1"/>
  <c r="EZ289" i="1"/>
  <c r="EX289" i="1"/>
  <c r="EV289" i="1"/>
  <c r="ET289" i="1"/>
  <c r="EL289" i="1"/>
  <c r="EF289" i="1"/>
  <c r="ED289" i="1"/>
  <c r="EB289" i="1"/>
  <c r="EA289" i="1"/>
  <c r="DZ289" i="1"/>
  <c r="DW289" i="1"/>
  <c r="ER289" i="1" s="1"/>
  <c r="DV289" i="1"/>
  <c r="DT289" i="1"/>
  <c r="DR289" i="1"/>
  <c r="BF289" i="1"/>
  <c r="FO289" i="1" s="1"/>
  <c r="BE289" i="1"/>
  <c r="BD289" i="1"/>
  <c r="FP289" i="1" s="1"/>
  <c r="BA289" i="1"/>
  <c r="FN289" i="1" s="1"/>
  <c r="AO289" i="1"/>
  <c r="EI289" i="1" s="1"/>
  <c r="AM289" i="1"/>
  <c r="EH289" i="1" s="1"/>
  <c r="AK289" i="1"/>
  <c r="Z289" i="1"/>
  <c r="AA289" i="1" s="1"/>
  <c r="DY289" i="1" s="1"/>
  <c r="EC289" i="1" s="1"/>
  <c r="GH289" i="1" s="1"/>
  <c r="Y289" i="1"/>
  <c r="GD288" i="1"/>
  <c r="GB288" i="1"/>
  <c r="FZ288" i="1"/>
  <c r="FW288" i="1"/>
  <c r="FV288" i="1"/>
  <c r="FX288" i="1" s="1"/>
  <c r="FS288" i="1"/>
  <c r="FM288" i="1"/>
  <c r="FJ288" i="1"/>
  <c r="FH288" i="1"/>
  <c r="FF288" i="1"/>
  <c r="FD288" i="1"/>
  <c r="FB288" i="1"/>
  <c r="FA288" i="1"/>
  <c r="EZ288" i="1"/>
  <c r="EX288" i="1"/>
  <c r="EV288" i="1"/>
  <c r="ET288" i="1"/>
  <c r="EL288" i="1"/>
  <c r="EF288" i="1"/>
  <c r="ED288" i="1"/>
  <c r="EB288" i="1"/>
  <c r="EA288" i="1"/>
  <c r="DZ288" i="1"/>
  <c r="DV288" i="1"/>
  <c r="DW288" i="1" s="1"/>
  <c r="ER288" i="1" s="1"/>
  <c r="DT288" i="1"/>
  <c r="DR288" i="1"/>
  <c r="BE288" i="1"/>
  <c r="BF288" i="1" s="1"/>
  <c r="FO288" i="1" s="1"/>
  <c r="BD288" i="1"/>
  <c r="FP288" i="1" s="1"/>
  <c r="BA288" i="1"/>
  <c r="FN288" i="1" s="1"/>
  <c r="AO288" i="1"/>
  <c r="EI288" i="1" s="1"/>
  <c r="AM288" i="1"/>
  <c r="EH288" i="1" s="1"/>
  <c r="AK288" i="1"/>
  <c r="Y288" i="1"/>
  <c r="Z288" i="1" s="1"/>
  <c r="AA288" i="1" s="1"/>
  <c r="DY288" i="1" s="1"/>
  <c r="EC288" i="1" s="1"/>
  <c r="GH288" i="1" s="1"/>
  <c r="GD287" i="1"/>
  <c r="GB287" i="1"/>
  <c r="FZ287" i="1"/>
  <c r="FW287" i="1"/>
  <c r="FV287" i="1"/>
  <c r="FX287" i="1" s="1"/>
  <c r="FS287" i="1"/>
  <c r="FM287" i="1"/>
  <c r="FJ287" i="1"/>
  <c r="FH287" i="1"/>
  <c r="FF287" i="1"/>
  <c r="FD287" i="1"/>
  <c r="FB287" i="1"/>
  <c r="FA287" i="1"/>
  <c r="EZ287" i="1"/>
  <c r="EX287" i="1"/>
  <c r="EV287" i="1"/>
  <c r="ET287" i="1"/>
  <c r="EL287" i="1"/>
  <c r="EF287" i="1"/>
  <c r="ED287" i="1"/>
  <c r="EB287" i="1"/>
  <c r="EA287" i="1"/>
  <c r="DZ287" i="1"/>
  <c r="DV287" i="1"/>
  <c r="DW287" i="1" s="1"/>
  <c r="ER287" i="1" s="1"/>
  <c r="DT287" i="1"/>
  <c r="DR287" i="1"/>
  <c r="BE287" i="1"/>
  <c r="BF287" i="1" s="1"/>
  <c r="FO287" i="1" s="1"/>
  <c r="BD287" i="1"/>
  <c r="FP287" i="1" s="1"/>
  <c r="BA287" i="1"/>
  <c r="FN287" i="1" s="1"/>
  <c r="AO287" i="1"/>
  <c r="EI287" i="1" s="1"/>
  <c r="AM287" i="1"/>
  <c r="EH287" i="1" s="1"/>
  <c r="AK287" i="1"/>
  <c r="Y287" i="1"/>
  <c r="Z287" i="1" s="1"/>
  <c r="AA287" i="1" s="1"/>
  <c r="DY287" i="1" s="1"/>
  <c r="EC287" i="1" s="1"/>
  <c r="GH287" i="1" s="1"/>
  <c r="GD286" i="1"/>
  <c r="GB286" i="1"/>
  <c r="FZ286" i="1"/>
  <c r="FW286" i="1"/>
  <c r="FV286" i="1"/>
  <c r="FX286" i="1" s="1"/>
  <c r="FS286" i="1"/>
  <c r="FM286" i="1"/>
  <c r="FJ286" i="1"/>
  <c r="FH286" i="1"/>
  <c r="FF286" i="1"/>
  <c r="FD286" i="1"/>
  <c r="FB286" i="1"/>
  <c r="FA286" i="1"/>
  <c r="EZ286" i="1"/>
  <c r="EX286" i="1"/>
  <c r="EV286" i="1"/>
  <c r="ET286" i="1"/>
  <c r="EL286" i="1"/>
  <c r="EF286" i="1"/>
  <c r="ED286" i="1"/>
  <c r="EB286" i="1"/>
  <c r="EA286" i="1"/>
  <c r="DZ286" i="1"/>
  <c r="DV286" i="1"/>
  <c r="DW286" i="1" s="1"/>
  <c r="ER286" i="1" s="1"/>
  <c r="DT286" i="1"/>
  <c r="DR286" i="1"/>
  <c r="BE286" i="1"/>
  <c r="BF286" i="1" s="1"/>
  <c r="FO286" i="1" s="1"/>
  <c r="BD286" i="1"/>
  <c r="FP286" i="1" s="1"/>
  <c r="BA286" i="1"/>
  <c r="FN286" i="1" s="1"/>
  <c r="AO286" i="1"/>
  <c r="EI286" i="1" s="1"/>
  <c r="AM286" i="1"/>
  <c r="EH286" i="1" s="1"/>
  <c r="AK286" i="1"/>
  <c r="Y286" i="1"/>
  <c r="Z286" i="1" s="1"/>
  <c r="AA286" i="1" s="1"/>
  <c r="DY286" i="1" s="1"/>
  <c r="EC286" i="1" s="1"/>
  <c r="GH286" i="1" s="1"/>
  <c r="GD285" i="1"/>
  <c r="GB285" i="1"/>
  <c r="FZ285" i="1"/>
  <c r="FW285" i="1"/>
  <c r="FV285" i="1"/>
  <c r="FX285" i="1" s="1"/>
  <c r="FS285" i="1"/>
  <c r="FM285" i="1"/>
  <c r="FJ285" i="1"/>
  <c r="FH285" i="1"/>
  <c r="FF285" i="1"/>
  <c r="FD285" i="1"/>
  <c r="FB285" i="1"/>
  <c r="FA285" i="1"/>
  <c r="EZ285" i="1"/>
  <c r="EX285" i="1"/>
  <c r="EV285" i="1"/>
  <c r="ET285" i="1"/>
  <c r="EL285" i="1"/>
  <c r="EF285" i="1"/>
  <c r="ED285" i="1"/>
  <c r="EB285" i="1"/>
  <c r="EA285" i="1"/>
  <c r="DZ285" i="1"/>
  <c r="DV285" i="1"/>
  <c r="DW285" i="1" s="1"/>
  <c r="ER285" i="1" s="1"/>
  <c r="DT285" i="1"/>
  <c r="DR285" i="1"/>
  <c r="BE285" i="1"/>
  <c r="BF285" i="1" s="1"/>
  <c r="FO285" i="1" s="1"/>
  <c r="BD285" i="1"/>
  <c r="FP285" i="1" s="1"/>
  <c r="BA285" i="1"/>
  <c r="FN285" i="1" s="1"/>
  <c r="FQ285" i="1" s="1"/>
  <c r="AO285" i="1"/>
  <c r="EI285" i="1" s="1"/>
  <c r="AM285" i="1"/>
  <c r="EH285" i="1" s="1"/>
  <c r="AK285" i="1"/>
  <c r="AA285" i="1"/>
  <c r="DY285" i="1" s="1"/>
  <c r="EC285" i="1" s="1"/>
  <c r="GH285" i="1" s="1"/>
  <c r="Y285" i="1"/>
  <c r="Z285" i="1" s="1"/>
  <c r="GD284" i="1"/>
  <c r="GB284" i="1"/>
  <c r="FZ284" i="1"/>
  <c r="FW284" i="1"/>
  <c r="FV284" i="1"/>
  <c r="FX284" i="1" s="1"/>
  <c r="FS284" i="1"/>
  <c r="FM284" i="1"/>
  <c r="FJ284" i="1"/>
  <c r="FH284" i="1"/>
  <c r="FF284" i="1"/>
  <c r="FD284" i="1"/>
  <c r="FB284" i="1"/>
  <c r="FA284" i="1"/>
  <c r="EZ284" i="1"/>
  <c r="EX284" i="1"/>
  <c r="EV284" i="1"/>
  <c r="ET284" i="1"/>
  <c r="EL284" i="1"/>
  <c r="EF284" i="1"/>
  <c r="ED284" i="1"/>
  <c r="EB284" i="1"/>
  <c r="EA284" i="1"/>
  <c r="DZ284" i="1"/>
  <c r="DV284" i="1"/>
  <c r="DW284" i="1" s="1"/>
  <c r="ER284" i="1" s="1"/>
  <c r="DT284" i="1"/>
  <c r="DR284" i="1"/>
  <c r="BE284" i="1"/>
  <c r="BF284" i="1" s="1"/>
  <c r="FO284" i="1" s="1"/>
  <c r="BD284" i="1"/>
  <c r="FP284" i="1" s="1"/>
  <c r="BA284" i="1"/>
  <c r="FN284" i="1" s="1"/>
  <c r="AO284" i="1"/>
  <c r="EI284" i="1" s="1"/>
  <c r="AM284" i="1"/>
  <c r="EH284" i="1" s="1"/>
  <c r="AK284" i="1"/>
  <c r="Y284" i="1"/>
  <c r="Z284" i="1" s="1"/>
  <c r="AA284" i="1" s="1"/>
  <c r="DY284" i="1" s="1"/>
  <c r="EC284" i="1" s="1"/>
  <c r="GH284" i="1" s="1"/>
  <c r="GD283" i="1"/>
  <c r="GB283" i="1"/>
  <c r="FZ283" i="1"/>
  <c r="FW283" i="1"/>
  <c r="FV283" i="1"/>
  <c r="FX283" i="1" s="1"/>
  <c r="FS283" i="1"/>
  <c r="FM283" i="1"/>
  <c r="FJ283" i="1"/>
  <c r="FH283" i="1"/>
  <c r="FF283" i="1"/>
  <c r="FD283" i="1"/>
  <c r="FB283" i="1"/>
  <c r="FA283" i="1"/>
  <c r="EZ283" i="1"/>
  <c r="EX283" i="1"/>
  <c r="EV283" i="1"/>
  <c r="ET283" i="1"/>
  <c r="EL283" i="1"/>
  <c r="EF283" i="1"/>
  <c r="ED283" i="1"/>
  <c r="EB283" i="1"/>
  <c r="EA283" i="1"/>
  <c r="DZ283" i="1"/>
  <c r="DV283" i="1"/>
  <c r="DW283" i="1" s="1"/>
  <c r="ER283" i="1" s="1"/>
  <c r="DT283" i="1"/>
  <c r="DR283" i="1"/>
  <c r="BE283" i="1"/>
  <c r="BF283" i="1" s="1"/>
  <c r="FO283" i="1" s="1"/>
  <c r="BD283" i="1"/>
  <c r="FP283" i="1" s="1"/>
  <c r="BA283" i="1"/>
  <c r="FN283" i="1" s="1"/>
  <c r="FQ283" i="1" s="1"/>
  <c r="AO283" i="1"/>
  <c r="EI283" i="1" s="1"/>
  <c r="AM283" i="1"/>
  <c r="EH283" i="1" s="1"/>
  <c r="AK283" i="1"/>
  <c r="AA283" i="1"/>
  <c r="DY283" i="1" s="1"/>
  <c r="EC283" i="1" s="1"/>
  <c r="GH283" i="1" s="1"/>
  <c r="Y283" i="1"/>
  <c r="Z283" i="1" s="1"/>
  <c r="GD282" i="1"/>
  <c r="GB282" i="1"/>
  <c r="FZ282" i="1"/>
  <c r="FW282" i="1"/>
  <c r="FV282" i="1"/>
  <c r="FX282" i="1" s="1"/>
  <c r="FS282" i="1"/>
  <c r="FM282" i="1"/>
  <c r="FJ282" i="1"/>
  <c r="FH282" i="1"/>
  <c r="FF282" i="1"/>
  <c r="FD282" i="1"/>
  <c r="FB282" i="1"/>
  <c r="FA282" i="1"/>
  <c r="EZ282" i="1"/>
  <c r="EX282" i="1"/>
  <c r="EV282" i="1"/>
  <c r="ET282" i="1"/>
  <c r="EL282" i="1"/>
  <c r="EF282" i="1"/>
  <c r="ED282" i="1"/>
  <c r="EB282" i="1"/>
  <c r="EA282" i="1"/>
  <c r="DZ282" i="1"/>
  <c r="DV282" i="1"/>
  <c r="DW282" i="1" s="1"/>
  <c r="ER282" i="1" s="1"/>
  <c r="DT282" i="1"/>
  <c r="DR282" i="1"/>
  <c r="BE282" i="1"/>
  <c r="BF282" i="1" s="1"/>
  <c r="FO282" i="1" s="1"/>
  <c r="BD282" i="1"/>
  <c r="FP282" i="1" s="1"/>
  <c r="BA282" i="1"/>
  <c r="FN282" i="1" s="1"/>
  <c r="AO282" i="1"/>
  <c r="EI282" i="1" s="1"/>
  <c r="AM282" i="1"/>
  <c r="EH282" i="1" s="1"/>
  <c r="AK282" i="1"/>
  <c r="Y282" i="1"/>
  <c r="Z282" i="1" s="1"/>
  <c r="AA282" i="1" s="1"/>
  <c r="DY282" i="1" s="1"/>
  <c r="EC282" i="1" s="1"/>
  <c r="GH282" i="1" s="1"/>
  <c r="GD281" i="1"/>
  <c r="GB281" i="1"/>
  <c r="FZ281" i="1"/>
  <c r="FW281" i="1"/>
  <c r="FV281" i="1"/>
  <c r="FS281" i="1"/>
  <c r="FM281" i="1"/>
  <c r="FJ281" i="1"/>
  <c r="FH281" i="1"/>
  <c r="FF281" i="1"/>
  <c r="FD281" i="1"/>
  <c r="FB281" i="1"/>
  <c r="FA281" i="1"/>
  <c r="EZ281" i="1"/>
  <c r="EX281" i="1"/>
  <c r="EV281" i="1"/>
  <c r="ET281" i="1"/>
  <c r="EL281" i="1"/>
  <c r="EF281" i="1"/>
  <c r="ED281" i="1"/>
  <c r="EB281" i="1"/>
  <c r="EA281" i="1"/>
  <c r="DZ281" i="1"/>
  <c r="DV281" i="1"/>
  <c r="DW281" i="1" s="1"/>
  <c r="ER281" i="1" s="1"/>
  <c r="DT281" i="1"/>
  <c r="DR281" i="1"/>
  <c r="BE281" i="1"/>
  <c r="BF281" i="1" s="1"/>
  <c r="FO281" i="1" s="1"/>
  <c r="BD281" i="1"/>
  <c r="FP281" i="1" s="1"/>
  <c r="BA281" i="1"/>
  <c r="FN281" i="1" s="1"/>
  <c r="AO281" i="1"/>
  <c r="EI281" i="1" s="1"/>
  <c r="AM281" i="1"/>
  <c r="EH281" i="1" s="1"/>
  <c r="AK281" i="1"/>
  <c r="Y281" i="1"/>
  <c r="Z281" i="1" s="1"/>
  <c r="AA281" i="1" s="1"/>
  <c r="DY281" i="1" s="1"/>
  <c r="EC281" i="1" s="1"/>
  <c r="GH281" i="1" s="1"/>
  <c r="GD280" i="1"/>
  <c r="GB280" i="1"/>
  <c r="FZ280" i="1"/>
  <c r="FW280" i="1"/>
  <c r="FV280" i="1"/>
  <c r="FX280" i="1" s="1"/>
  <c r="FS280" i="1"/>
  <c r="FM280" i="1"/>
  <c r="FJ280" i="1"/>
  <c r="FH280" i="1"/>
  <c r="FF280" i="1"/>
  <c r="FD280" i="1"/>
  <c r="FB280" i="1"/>
  <c r="FA280" i="1"/>
  <c r="EZ280" i="1"/>
  <c r="EX280" i="1"/>
  <c r="EV280" i="1"/>
  <c r="ET280" i="1"/>
  <c r="EL280" i="1"/>
  <c r="EF280" i="1"/>
  <c r="ED280" i="1"/>
  <c r="EB280" i="1"/>
  <c r="EA280" i="1"/>
  <c r="DZ280" i="1"/>
  <c r="DV280" i="1"/>
  <c r="DW280" i="1" s="1"/>
  <c r="ER280" i="1" s="1"/>
  <c r="DT280" i="1"/>
  <c r="DR280" i="1"/>
  <c r="BE280" i="1"/>
  <c r="BF280" i="1" s="1"/>
  <c r="FO280" i="1" s="1"/>
  <c r="BD280" i="1"/>
  <c r="FP280" i="1" s="1"/>
  <c r="BA280" i="1"/>
  <c r="FN280" i="1" s="1"/>
  <c r="AO280" i="1"/>
  <c r="EI280" i="1" s="1"/>
  <c r="AM280" i="1"/>
  <c r="EH280" i="1" s="1"/>
  <c r="AK280" i="1"/>
  <c r="Z280" i="1"/>
  <c r="AA280" i="1" s="1"/>
  <c r="DY280" i="1" s="1"/>
  <c r="EC280" i="1" s="1"/>
  <c r="GH280" i="1" s="1"/>
  <c r="Y280" i="1"/>
  <c r="GD279" i="1"/>
  <c r="GB279" i="1"/>
  <c r="FZ279" i="1"/>
  <c r="FW279" i="1"/>
  <c r="FV279" i="1"/>
  <c r="FS279" i="1"/>
  <c r="FM279" i="1"/>
  <c r="FJ279" i="1"/>
  <c r="FH279" i="1"/>
  <c r="FF279" i="1"/>
  <c r="FD279" i="1"/>
  <c r="FB279" i="1"/>
  <c r="FA279" i="1"/>
  <c r="EZ279" i="1"/>
  <c r="EX279" i="1"/>
  <c r="EV279" i="1"/>
  <c r="ET279" i="1"/>
  <c r="EL279" i="1"/>
  <c r="EF279" i="1"/>
  <c r="ED279" i="1"/>
  <c r="EB279" i="1"/>
  <c r="EA279" i="1"/>
  <c r="DZ279" i="1"/>
  <c r="DV279" i="1"/>
  <c r="DW279" i="1" s="1"/>
  <c r="ER279" i="1" s="1"/>
  <c r="DT279" i="1"/>
  <c r="DR279" i="1"/>
  <c r="BE279" i="1"/>
  <c r="BF279" i="1" s="1"/>
  <c r="FO279" i="1" s="1"/>
  <c r="BD279" i="1"/>
  <c r="FP279" i="1" s="1"/>
  <c r="BA279" i="1"/>
  <c r="FN279" i="1" s="1"/>
  <c r="AO279" i="1"/>
  <c r="EI279" i="1" s="1"/>
  <c r="AM279" i="1"/>
  <c r="EH279" i="1" s="1"/>
  <c r="AK279" i="1"/>
  <c r="Y279" i="1"/>
  <c r="Z279" i="1" s="1"/>
  <c r="AA279" i="1" s="1"/>
  <c r="DY279" i="1" s="1"/>
  <c r="EC279" i="1" s="1"/>
  <c r="GH279" i="1" s="1"/>
  <c r="GD278" i="1"/>
  <c r="GB278" i="1"/>
  <c r="FZ278" i="1"/>
  <c r="FW278" i="1"/>
  <c r="FV278" i="1"/>
  <c r="FS278" i="1"/>
  <c r="FM278" i="1"/>
  <c r="FJ278" i="1"/>
  <c r="FH278" i="1"/>
  <c r="FF278" i="1"/>
  <c r="FD278" i="1"/>
  <c r="FB278" i="1"/>
  <c r="FA278" i="1"/>
  <c r="EZ278" i="1"/>
  <c r="EX278" i="1"/>
  <c r="EV278" i="1"/>
  <c r="ET278" i="1"/>
  <c r="EL278" i="1"/>
  <c r="EF278" i="1"/>
  <c r="ED278" i="1"/>
  <c r="EB278" i="1"/>
  <c r="EA278" i="1"/>
  <c r="DZ278" i="1"/>
  <c r="DV278" i="1"/>
  <c r="DW278" i="1" s="1"/>
  <c r="ER278" i="1" s="1"/>
  <c r="DT278" i="1"/>
  <c r="DR278" i="1"/>
  <c r="BE278" i="1"/>
  <c r="BF278" i="1" s="1"/>
  <c r="FO278" i="1" s="1"/>
  <c r="BD278" i="1"/>
  <c r="FP278" i="1" s="1"/>
  <c r="BA278" i="1"/>
  <c r="FN278" i="1" s="1"/>
  <c r="FQ278" i="1" s="1"/>
  <c r="AO278" i="1"/>
  <c r="EI278" i="1" s="1"/>
  <c r="AM278" i="1"/>
  <c r="EH278" i="1" s="1"/>
  <c r="AK278" i="1"/>
  <c r="Z278" i="1"/>
  <c r="AA278" i="1" s="1"/>
  <c r="DY278" i="1" s="1"/>
  <c r="EC278" i="1" s="1"/>
  <c r="GH278" i="1" s="1"/>
  <c r="Y278" i="1"/>
  <c r="GD277" i="1"/>
  <c r="GB277" i="1"/>
  <c r="FZ277" i="1"/>
  <c r="FW277" i="1"/>
  <c r="FV277" i="1"/>
  <c r="FX277" i="1" s="1"/>
  <c r="FS277" i="1"/>
  <c r="FM277" i="1"/>
  <c r="FJ277" i="1"/>
  <c r="FH277" i="1"/>
  <c r="FF277" i="1"/>
  <c r="FD277" i="1"/>
  <c r="FB277" i="1"/>
  <c r="FA277" i="1"/>
  <c r="EZ277" i="1"/>
  <c r="EX277" i="1"/>
  <c r="EV277" i="1"/>
  <c r="ET277" i="1"/>
  <c r="EL277" i="1"/>
  <c r="EF277" i="1"/>
  <c r="ED277" i="1"/>
  <c r="EB277" i="1"/>
  <c r="EA277" i="1"/>
  <c r="DZ277" i="1"/>
  <c r="DV277" i="1"/>
  <c r="DW277" i="1" s="1"/>
  <c r="ER277" i="1" s="1"/>
  <c r="DT277" i="1"/>
  <c r="DR277" i="1"/>
  <c r="BE277" i="1"/>
  <c r="BF277" i="1" s="1"/>
  <c r="FO277" i="1" s="1"/>
  <c r="BD277" i="1"/>
  <c r="FP277" i="1" s="1"/>
  <c r="BA277" i="1"/>
  <c r="FN277" i="1" s="1"/>
  <c r="AO277" i="1"/>
  <c r="EI277" i="1" s="1"/>
  <c r="AM277" i="1"/>
  <c r="EH277" i="1" s="1"/>
  <c r="AK277" i="1"/>
  <c r="Y277" i="1"/>
  <c r="Z277" i="1" s="1"/>
  <c r="AA277" i="1" s="1"/>
  <c r="DY277" i="1" s="1"/>
  <c r="EC277" i="1" s="1"/>
  <c r="GH277" i="1" s="1"/>
  <c r="GD276" i="1"/>
  <c r="GB276" i="1"/>
  <c r="FZ276" i="1"/>
  <c r="FW276" i="1"/>
  <c r="FV276" i="1"/>
  <c r="FX276" i="1" s="1"/>
  <c r="FS276" i="1"/>
  <c r="FM276" i="1"/>
  <c r="FJ276" i="1"/>
  <c r="FH276" i="1"/>
  <c r="FF276" i="1"/>
  <c r="FD276" i="1"/>
  <c r="FB276" i="1"/>
  <c r="FA276" i="1"/>
  <c r="EZ276" i="1"/>
  <c r="EX276" i="1"/>
  <c r="EV276" i="1"/>
  <c r="ET276" i="1"/>
  <c r="EL276" i="1"/>
  <c r="EF276" i="1"/>
  <c r="ED276" i="1"/>
  <c r="EB276" i="1"/>
  <c r="EA276" i="1"/>
  <c r="DZ276" i="1"/>
  <c r="DV276" i="1"/>
  <c r="DW276" i="1" s="1"/>
  <c r="ER276" i="1" s="1"/>
  <c r="DT276" i="1"/>
  <c r="DR276" i="1"/>
  <c r="BE276" i="1"/>
  <c r="BF276" i="1" s="1"/>
  <c r="FO276" i="1" s="1"/>
  <c r="BD276" i="1"/>
  <c r="FP276" i="1" s="1"/>
  <c r="BA276" i="1"/>
  <c r="FN276" i="1" s="1"/>
  <c r="AO276" i="1"/>
  <c r="EI276" i="1" s="1"/>
  <c r="AM276" i="1"/>
  <c r="EH276" i="1" s="1"/>
  <c r="AK276" i="1"/>
  <c r="Y276" i="1"/>
  <c r="Z276" i="1" s="1"/>
  <c r="AA276" i="1" s="1"/>
  <c r="DY276" i="1" s="1"/>
  <c r="EC276" i="1" s="1"/>
  <c r="GH276" i="1" s="1"/>
  <c r="GD275" i="1"/>
  <c r="GB275" i="1"/>
  <c r="FZ275" i="1"/>
  <c r="FW275" i="1"/>
  <c r="FV275" i="1"/>
  <c r="FS275" i="1"/>
  <c r="FM275" i="1"/>
  <c r="FJ275" i="1"/>
  <c r="FH275" i="1"/>
  <c r="FF275" i="1"/>
  <c r="FD275" i="1"/>
  <c r="FB275" i="1"/>
  <c r="FA275" i="1"/>
  <c r="EZ275" i="1"/>
  <c r="EX275" i="1"/>
  <c r="EV275" i="1"/>
  <c r="ET275" i="1"/>
  <c r="EL275" i="1"/>
  <c r="EF275" i="1"/>
  <c r="ED275" i="1"/>
  <c r="EB275" i="1"/>
  <c r="EA275" i="1"/>
  <c r="DZ275" i="1"/>
  <c r="DV275" i="1"/>
  <c r="DW275" i="1" s="1"/>
  <c r="ER275" i="1" s="1"/>
  <c r="DT275" i="1"/>
  <c r="DR275" i="1"/>
  <c r="BE275" i="1"/>
  <c r="BF275" i="1" s="1"/>
  <c r="FO275" i="1" s="1"/>
  <c r="BD275" i="1"/>
  <c r="FP275" i="1" s="1"/>
  <c r="BA275" i="1"/>
  <c r="FN275" i="1" s="1"/>
  <c r="FQ275" i="1" s="1"/>
  <c r="AO275" i="1"/>
  <c r="EI275" i="1" s="1"/>
  <c r="AM275" i="1"/>
  <c r="EH275" i="1" s="1"/>
  <c r="AK275" i="1"/>
  <c r="AA275" i="1"/>
  <c r="DY275" i="1" s="1"/>
  <c r="EC275" i="1" s="1"/>
  <c r="GH275" i="1" s="1"/>
  <c r="Y275" i="1"/>
  <c r="Z275" i="1" s="1"/>
  <c r="GD274" i="1"/>
  <c r="GB274" i="1"/>
  <c r="FZ274" i="1"/>
  <c r="FW274" i="1"/>
  <c r="FV274" i="1"/>
  <c r="FX274" i="1" s="1"/>
  <c r="FS274" i="1"/>
  <c r="FM274" i="1"/>
  <c r="FJ274" i="1"/>
  <c r="FH274" i="1"/>
  <c r="FF274" i="1"/>
  <c r="FD274" i="1"/>
  <c r="FB274" i="1"/>
  <c r="FA274" i="1"/>
  <c r="EZ274" i="1"/>
  <c r="EX274" i="1"/>
  <c r="EV274" i="1"/>
  <c r="ET274" i="1"/>
  <c r="EL274" i="1"/>
  <c r="EF274" i="1"/>
  <c r="ED274" i="1"/>
  <c r="EB274" i="1"/>
  <c r="EA274" i="1"/>
  <c r="DZ274" i="1"/>
  <c r="DV274" i="1"/>
  <c r="DW274" i="1" s="1"/>
  <c r="ER274" i="1" s="1"/>
  <c r="DT274" i="1"/>
  <c r="DR274" i="1"/>
  <c r="BE274" i="1"/>
  <c r="BF274" i="1" s="1"/>
  <c r="FO274" i="1" s="1"/>
  <c r="BD274" i="1"/>
  <c r="FP274" i="1" s="1"/>
  <c r="BA274" i="1"/>
  <c r="FN274" i="1" s="1"/>
  <c r="AO274" i="1"/>
  <c r="EI274" i="1" s="1"/>
  <c r="AM274" i="1"/>
  <c r="EH274" i="1" s="1"/>
  <c r="AK274" i="1"/>
  <c r="Y274" i="1"/>
  <c r="Z274" i="1" s="1"/>
  <c r="AA274" i="1" s="1"/>
  <c r="DY274" i="1" s="1"/>
  <c r="EC274" i="1" s="1"/>
  <c r="GH274" i="1" s="1"/>
  <c r="GD273" i="1"/>
  <c r="GB273" i="1"/>
  <c r="FZ273" i="1"/>
  <c r="FW273" i="1"/>
  <c r="FV273" i="1"/>
  <c r="FS273" i="1"/>
  <c r="FM273" i="1"/>
  <c r="FJ273" i="1"/>
  <c r="FH273" i="1"/>
  <c r="FF273" i="1"/>
  <c r="FD273" i="1"/>
  <c r="FB273" i="1"/>
  <c r="FA273" i="1"/>
  <c r="EZ273" i="1"/>
  <c r="EX273" i="1"/>
  <c r="EV273" i="1"/>
  <c r="ET273" i="1"/>
  <c r="EL273" i="1"/>
  <c r="EF273" i="1"/>
  <c r="ED273" i="1"/>
  <c r="EB273" i="1"/>
  <c r="EA273" i="1"/>
  <c r="DZ273" i="1"/>
  <c r="DV273" i="1"/>
  <c r="DW273" i="1" s="1"/>
  <c r="ER273" i="1" s="1"/>
  <c r="DT273" i="1"/>
  <c r="DR273" i="1"/>
  <c r="BE273" i="1"/>
  <c r="BF273" i="1" s="1"/>
  <c r="FO273" i="1" s="1"/>
  <c r="BD273" i="1"/>
  <c r="FP273" i="1" s="1"/>
  <c r="BA273" i="1"/>
  <c r="FN273" i="1" s="1"/>
  <c r="AO273" i="1"/>
  <c r="EI273" i="1" s="1"/>
  <c r="AM273" i="1"/>
  <c r="EH273" i="1" s="1"/>
  <c r="AK273" i="1"/>
  <c r="Z273" i="1"/>
  <c r="AA273" i="1" s="1"/>
  <c r="DY273" i="1" s="1"/>
  <c r="EC273" i="1" s="1"/>
  <c r="GH273" i="1" s="1"/>
  <c r="Y273" i="1"/>
  <c r="GD272" i="1"/>
  <c r="GB272" i="1"/>
  <c r="FZ272" i="1"/>
  <c r="FW272" i="1"/>
  <c r="FV272" i="1"/>
  <c r="FX272" i="1" s="1"/>
  <c r="FS272" i="1"/>
  <c r="FM272" i="1"/>
  <c r="FJ272" i="1"/>
  <c r="FH272" i="1"/>
  <c r="FF272" i="1"/>
  <c r="FD272" i="1"/>
  <c r="FB272" i="1"/>
  <c r="FA272" i="1"/>
  <c r="EZ272" i="1"/>
  <c r="EX272" i="1"/>
  <c r="EV272" i="1"/>
  <c r="ET272" i="1"/>
  <c r="EL272" i="1"/>
  <c r="EF272" i="1"/>
  <c r="ED272" i="1"/>
  <c r="EB272" i="1"/>
  <c r="EA272" i="1"/>
  <c r="DZ272" i="1"/>
  <c r="DV272" i="1"/>
  <c r="DW272" i="1" s="1"/>
  <c r="ER272" i="1" s="1"/>
  <c r="DT272" i="1"/>
  <c r="DR272" i="1"/>
  <c r="BE272" i="1"/>
  <c r="BF272" i="1" s="1"/>
  <c r="FO272" i="1" s="1"/>
  <c r="BD272" i="1"/>
  <c r="FP272" i="1" s="1"/>
  <c r="BA272" i="1"/>
  <c r="FN272" i="1" s="1"/>
  <c r="AO272" i="1"/>
  <c r="EI272" i="1" s="1"/>
  <c r="AM272" i="1"/>
  <c r="EH272" i="1" s="1"/>
  <c r="AK272" i="1"/>
  <c r="Y272" i="1"/>
  <c r="Z272" i="1" s="1"/>
  <c r="AA272" i="1" s="1"/>
  <c r="DY272" i="1" s="1"/>
  <c r="EC272" i="1" s="1"/>
  <c r="GH272" i="1" s="1"/>
  <c r="GD271" i="1"/>
  <c r="GB271" i="1"/>
  <c r="FZ271" i="1"/>
  <c r="FW271" i="1"/>
  <c r="FV271" i="1"/>
  <c r="FX271" i="1" s="1"/>
  <c r="FS271" i="1"/>
  <c r="FM271" i="1"/>
  <c r="FJ271" i="1"/>
  <c r="FH271" i="1"/>
  <c r="FF271" i="1"/>
  <c r="FD271" i="1"/>
  <c r="FB271" i="1"/>
  <c r="FA271" i="1"/>
  <c r="EZ271" i="1"/>
  <c r="EX271" i="1"/>
  <c r="EV271" i="1"/>
  <c r="ET271" i="1"/>
  <c r="EL271" i="1"/>
  <c r="EF271" i="1"/>
  <c r="ED271" i="1"/>
  <c r="EB271" i="1"/>
  <c r="EA271" i="1"/>
  <c r="DZ271" i="1"/>
  <c r="DW271" i="1"/>
  <c r="ER271" i="1" s="1"/>
  <c r="DV271" i="1"/>
  <c r="DT271" i="1"/>
  <c r="DR271" i="1"/>
  <c r="BF271" i="1"/>
  <c r="FO271" i="1" s="1"/>
  <c r="BE271" i="1"/>
  <c r="BD271" i="1"/>
  <c r="FP271" i="1" s="1"/>
  <c r="BA271" i="1"/>
  <c r="FN271" i="1" s="1"/>
  <c r="FQ271" i="1" s="1"/>
  <c r="AO271" i="1"/>
  <c r="EI271" i="1" s="1"/>
  <c r="AM271" i="1"/>
  <c r="EH271" i="1" s="1"/>
  <c r="AK271" i="1"/>
  <c r="Y271" i="1"/>
  <c r="Z271" i="1" s="1"/>
  <c r="AA271" i="1" s="1"/>
  <c r="DY271" i="1" s="1"/>
  <c r="EC271" i="1" s="1"/>
  <c r="GH271" i="1" s="1"/>
  <c r="GD270" i="1"/>
  <c r="GB270" i="1"/>
  <c r="FZ270" i="1"/>
  <c r="FW270" i="1"/>
  <c r="FX270" i="1" s="1"/>
  <c r="FV270" i="1"/>
  <c r="FS270" i="1"/>
  <c r="FM270" i="1"/>
  <c r="FJ270" i="1"/>
  <c r="FH270" i="1"/>
  <c r="FF270" i="1"/>
  <c r="FD270" i="1"/>
  <c r="FB270" i="1"/>
  <c r="FA270" i="1"/>
  <c r="EZ270" i="1"/>
  <c r="EX270" i="1"/>
  <c r="EV270" i="1"/>
  <c r="ET270" i="1"/>
  <c r="EL270" i="1"/>
  <c r="EF270" i="1"/>
  <c r="ED270" i="1"/>
  <c r="EB270" i="1"/>
  <c r="EA270" i="1"/>
  <c r="DZ270" i="1"/>
  <c r="DV270" i="1"/>
  <c r="DW270" i="1" s="1"/>
  <c r="ER270" i="1" s="1"/>
  <c r="DT270" i="1"/>
  <c r="DR270" i="1"/>
  <c r="BE270" i="1"/>
  <c r="BF270" i="1" s="1"/>
  <c r="FO270" i="1" s="1"/>
  <c r="BD270" i="1"/>
  <c r="FP270" i="1" s="1"/>
  <c r="BA270" i="1"/>
  <c r="FN270" i="1" s="1"/>
  <c r="AO270" i="1"/>
  <c r="EI270" i="1" s="1"/>
  <c r="AM270" i="1"/>
  <c r="EH270" i="1" s="1"/>
  <c r="AK270" i="1"/>
  <c r="Y270" i="1"/>
  <c r="Z270" i="1" s="1"/>
  <c r="AA270" i="1" s="1"/>
  <c r="DY270" i="1" s="1"/>
  <c r="EC270" i="1" s="1"/>
  <c r="GH270" i="1" s="1"/>
  <c r="GD269" i="1"/>
  <c r="GB269" i="1"/>
  <c r="FZ269" i="1"/>
  <c r="FW269" i="1"/>
  <c r="FV269" i="1"/>
  <c r="FS269" i="1"/>
  <c r="FM269" i="1"/>
  <c r="FJ269" i="1"/>
  <c r="FH269" i="1"/>
  <c r="FF269" i="1"/>
  <c r="FD269" i="1"/>
  <c r="FB269" i="1"/>
  <c r="FA269" i="1"/>
  <c r="EZ269" i="1"/>
  <c r="EX269" i="1"/>
  <c r="EV269" i="1"/>
  <c r="ET269" i="1"/>
  <c r="EL269" i="1"/>
  <c r="EF269" i="1"/>
  <c r="ED269" i="1"/>
  <c r="EB269" i="1"/>
  <c r="EA269" i="1"/>
  <c r="DZ269" i="1"/>
  <c r="DW269" i="1"/>
  <c r="ER269" i="1" s="1"/>
  <c r="DV269" i="1"/>
  <c r="DT269" i="1"/>
  <c r="DR269" i="1"/>
  <c r="BF269" i="1"/>
  <c r="FO269" i="1" s="1"/>
  <c r="BE269" i="1"/>
  <c r="BD269" i="1"/>
  <c r="FP269" i="1" s="1"/>
  <c r="BA269" i="1"/>
  <c r="FN269" i="1" s="1"/>
  <c r="AO269" i="1"/>
  <c r="EI269" i="1" s="1"/>
  <c r="AM269" i="1"/>
  <c r="EH269" i="1" s="1"/>
  <c r="AK269" i="1"/>
  <c r="Z269" i="1"/>
  <c r="AA269" i="1" s="1"/>
  <c r="DY269" i="1" s="1"/>
  <c r="EC269" i="1" s="1"/>
  <c r="GH269" i="1" s="1"/>
  <c r="Y269" i="1"/>
  <c r="GD268" i="1"/>
  <c r="GB268" i="1"/>
  <c r="FZ268" i="1"/>
  <c r="FW268" i="1"/>
  <c r="FX268" i="1" s="1"/>
  <c r="FV268" i="1"/>
  <c r="FS268" i="1"/>
  <c r="FM268" i="1"/>
  <c r="FJ268" i="1"/>
  <c r="FH268" i="1"/>
  <c r="FF268" i="1"/>
  <c r="FD268" i="1"/>
  <c r="FB268" i="1"/>
  <c r="FA268" i="1"/>
  <c r="EZ268" i="1"/>
  <c r="EX268" i="1"/>
  <c r="EV268" i="1"/>
  <c r="ET268" i="1"/>
  <c r="EL268" i="1"/>
  <c r="EF268" i="1"/>
  <c r="ED268" i="1"/>
  <c r="EB268" i="1"/>
  <c r="EA268" i="1"/>
  <c r="DZ268" i="1"/>
  <c r="DV268" i="1"/>
  <c r="DW268" i="1" s="1"/>
  <c r="ER268" i="1" s="1"/>
  <c r="DT268" i="1"/>
  <c r="DR268" i="1"/>
  <c r="BE268" i="1"/>
  <c r="BF268" i="1" s="1"/>
  <c r="FO268" i="1" s="1"/>
  <c r="BD268" i="1"/>
  <c r="FP268" i="1" s="1"/>
  <c r="BA268" i="1"/>
  <c r="FN268" i="1" s="1"/>
  <c r="AO268" i="1"/>
  <c r="EI268" i="1" s="1"/>
  <c r="AM268" i="1"/>
  <c r="EH268" i="1" s="1"/>
  <c r="AK268" i="1"/>
  <c r="Y268" i="1"/>
  <c r="Z268" i="1" s="1"/>
  <c r="AA268" i="1" s="1"/>
  <c r="DY268" i="1" s="1"/>
  <c r="EC268" i="1" s="1"/>
  <c r="GH268" i="1" s="1"/>
  <c r="GD267" i="1"/>
  <c r="GB267" i="1"/>
  <c r="FZ267" i="1"/>
  <c r="FW267" i="1"/>
  <c r="FV267" i="1"/>
  <c r="FX267" i="1" s="1"/>
  <c r="FS267" i="1"/>
  <c r="FM267" i="1"/>
  <c r="FJ267" i="1"/>
  <c r="FH267" i="1"/>
  <c r="FF267" i="1"/>
  <c r="FD267" i="1"/>
  <c r="FB267" i="1"/>
  <c r="FA267" i="1"/>
  <c r="EZ267" i="1"/>
  <c r="EX267" i="1"/>
  <c r="EV267" i="1"/>
  <c r="ET267" i="1"/>
  <c r="EL267" i="1"/>
  <c r="EF267" i="1"/>
  <c r="ED267" i="1"/>
  <c r="EB267" i="1"/>
  <c r="EA267" i="1"/>
  <c r="DZ267" i="1"/>
  <c r="DV267" i="1"/>
  <c r="DW267" i="1" s="1"/>
  <c r="ER267" i="1" s="1"/>
  <c r="DT267" i="1"/>
  <c r="DR267" i="1"/>
  <c r="BE267" i="1"/>
  <c r="BF267" i="1" s="1"/>
  <c r="FO267" i="1" s="1"/>
  <c r="BD267" i="1"/>
  <c r="FP267" i="1" s="1"/>
  <c r="BA267" i="1"/>
  <c r="FN267" i="1" s="1"/>
  <c r="FQ267" i="1" s="1"/>
  <c r="AO267" i="1"/>
  <c r="EI267" i="1" s="1"/>
  <c r="AM267" i="1"/>
  <c r="EH267" i="1" s="1"/>
  <c r="AK267" i="1"/>
  <c r="Y267" i="1"/>
  <c r="Z267" i="1" s="1"/>
  <c r="AA267" i="1" s="1"/>
  <c r="DY267" i="1" s="1"/>
  <c r="EC267" i="1" s="1"/>
  <c r="GH267" i="1" s="1"/>
  <c r="GD266" i="1"/>
  <c r="GB266" i="1"/>
  <c r="FZ266" i="1"/>
  <c r="FW266" i="1"/>
  <c r="FV266" i="1"/>
  <c r="FX266" i="1" s="1"/>
  <c r="FS266" i="1"/>
  <c r="FM266" i="1"/>
  <c r="FJ266" i="1"/>
  <c r="FH266" i="1"/>
  <c r="FF266" i="1"/>
  <c r="FD266" i="1"/>
  <c r="FB266" i="1"/>
  <c r="FA266" i="1"/>
  <c r="EZ266" i="1"/>
  <c r="EX266" i="1"/>
  <c r="EV266" i="1"/>
  <c r="ET266" i="1"/>
  <c r="EL266" i="1"/>
  <c r="EF266" i="1"/>
  <c r="ED266" i="1"/>
  <c r="EB266" i="1"/>
  <c r="EA266" i="1"/>
  <c r="DZ266" i="1"/>
  <c r="DV266" i="1"/>
  <c r="DW266" i="1" s="1"/>
  <c r="ER266" i="1" s="1"/>
  <c r="DT266" i="1"/>
  <c r="DR266" i="1"/>
  <c r="BE266" i="1"/>
  <c r="BF266" i="1" s="1"/>
  <c r="FO266" i="1" s="1"/>
  <c r="BD266" i="1"/>
  <c r="FP266" i="1" s="1"/>
  <c r="BA266" i="1"/>
  <c r="FN266" i="1" s="1"/>
  <c r="AO266" i="1"/>
  <c r="EI266" i="1" s="1"/>
  <c r="AM266" i="1"/>
  <c r="EH266" i="1" s="1"/>
  <c r="AK266" i="1"/>
  <c r="Y266" i="1"/>
  <c r="Z266" i="1" s="1"/>
  <c r="AA266" i="1" s="1"/>
  <c r="DY266" i="1" s="1"/>
  <c r="EC266" i="1" s="1"/>
  <c r="GH266" i="1" s="1"/>
  <c r="GD265" i="1"/>
  <c r="GB265" i="1"/>
  <c r="FZ265" i="1"/>
  <c r="FW265" i="1"/>
  <c r="FV265" i="1"/>
  <c r="FX265" i="1" s="1"/>
  <c r="FS265" i="1"/>
  <c r="FM265" i="1"/>
  <c r="FJ265" i="1"/>
  <c r="FH265" i="1"/>
  <c r="FF265" i="1"/>
  <c r="FD265" i="1"/>
  <c r="FB265" i="1"/>
  <c r="FA265" i="1"/>
  <c r="EZ265" i="1"/>
  <c r="EX265" i="1"/>
  <c r="EV265" i="1"/>
  <c r="ET265" i="1"/>
  <c r="EL265" i="1"/>
  <c r="EF265" i="1"/>
  <c r="ED265" i="1"/>
  <c r="EB265" i="1"/>
  <c r="EA265" i="1"/>
  <c r="DZ265" i="1"/>
  <c r="DV265" i="1"/>
  <c r="DW265" i="1" s="1"/>
  <c r="ER265" i="1" s="1"/>
  <c r="DT265" i="1"/>
  <c r="DR265" i="1"/>
  <c r="BE265" i="1"/>
  <c r="BF265" i="1" s="1"/>
  <c r="FO265" i="1" s="1"/>
  <c r="BD265" i="1"/>
  <c r="FP265" i="1" s="1"/>
  <c r="BA265" i="1"/>
  <c r="FN265" i="1" s="1"/>
  <c r="AO265" i="1"/>
  <c r="EI265" i="1" s="1"/>
  <c r="AM265" i="1"/>
  <c r="EH265" i="1" s="1"/>
  <c r="AK265" i="1"/>
  <c r="Y265" i="1"/>
  <c r="Z265" i="1" s="1"/>
  <c r="AA265" i="1" s="1"/>
  <c r="DY265" i="1" s="1"/>
  <c r="EC265" i="1" s="1"/>
  <c r="GH265" i="1" s="1"/>
  <c r="GD264" i="1"/>
  <c r="GB264" i="1"/>
  <c r="FZ264" i="1"/>
  <c r="FW264" i="1"/>
  <c r="FV264" i="1"/>
  <c r="FX264" i="1" s="1"/>
  <c r="FS264" i="1"/>
  <c r="FM264" i="1"/>
  <c r="FJ264" i="1"/>
  <c r="FH264" i="1"/>
  <c r="FF264" i="1"/>
  <c r="FD264" i="1"/>
  <c r="FB264" i="1"/>
  <c r="FA264" i="1"/>
  <c r="EZ264" i="1"/>
  <c r="EX264" i="1"/>
  <c r="EV264" i="1"/>
  <c r="ET264" i="1"/>
  <c r="EL264" i="1"/>
  <c r="EF264" i="1"/>
  <c r="ED264" i="1"/>
  <c r="EB264" i="1"/>
  <c r="EA264" i="1"/>
  <c r="DZ264" i="1"/>
  <c r="DV264" i="1"/>
  <c r="DW264" i="1" s="1"/>
  <c r="ER264" i="1" s="1"/>
  <c r="DT264" i="1"/>
  <c r="DR264" i="1"/>
  <c r="BE264" i="1"/>
  <c r="BF264" i="1" s="1"/>
  <c r="FO264" i="1" s="1"/>
  <c r="BD264" i="1"/>
  <c r="FP264" i="1" s="1"/>
  <c r="BA264" i="1"/>
  <c r="FN264" i="1" s="1"/>
  <c r="AO264" i="1"/>
  <c r="EI264" i="1" s="1"/>
  <c r="AM264" i="1"/>
  <c r="EH264" i="1" s="1"/>
  <c r="AK264" i="1"/>
  <c r="Y264" i="1"/>
  <c r="Z264" i="1" s="1"/>
  <c r="AA264" i="1" s="1"/>
  <c r="DY264" i="1" s="1"/>
  <c r="EC264" i="1" s="1"/>
  <c r="GH264" i="1" s="1"/>
  <c r="GD263" i="1"/>
  <c r="GB263" i="1"/>
  <c r="FZ263" i="1"/>
  <c r="FW263" i="1"/>
  <c r="FV263" i="1"/>
  <c r="FX263" i="1" s="1"/>
  <c r="FS263" i="1"/>
  <c r="FM263" i="1"/>
  <c r="FJ263" i="1"/>
  <c r="FH263" i="1"/>
  <c r="FF263" i="1"/>
  <c r="FD263" i="1"/>
  <c r="FB263" i="1"/>
  <c r="FA263" i="1"/>
  <c r="EZ263" i="1"/>
  <c r="EX263" i="1"/>
  <c r="EV263" i="1"/>
  <c r="ET263" i="1"/>
  <c r="EL263" i="1"/>
  <c r="EF263" i="1"/>
  <c r="ED263" i="1"/>
  <c r="EB263" i="1"/>
  <c r="EA263" i="1"/>
  <c r="DZ263" i="1"/>
  <c r="DW263" i="1"/>
  <c r="ER263" i="1" s="1"/>
  <c r="DV263" i="1"/>
  <c r="DT263" i="1"/>
  <c r="DR263" i="1"/>
  <c r="BF263" i="1"/>
  <c r="FO263" i="1" s="1"/>
  <c r="BE263" i="1"/>
  <c r="BD263" i="1"/>
  <c r="FP263" i="1" s="1"/>
  <c r="BA263" i="1"/>
  <c r="FN263" i="1" s="1"/>
  <c r="FQ263" i="1" s="1"/>
  <c r="AO263" i="1"/>
  <c r="EI263" i="1" s="1"/>
  <c r="AM263" i="1"/>
  <c r="EH263" i="1" s="1"/>
  <c r="AK263" i="1"/>
  <c r="AA263" i="1"/>
  <c r="DY263" i="1" s="1"/>
  <c r="EC263" i="1" s="1"/>
  <c r="GH263" i="1" s="1"/>
  <c r="Z263" i="1"/>
  <c r="Y263" i="1"/>
  <c r="GD262" i="1"/>
  <c r="GB262" i="1"/>
  <c r="FZ262" i="1"/>
  <c r="FW262" i="1"/>
  <c r="FV262" i="1"/>
  <c r="FX262" i="1" s="1"/>
  <c r="FS262" i="1"/>
  <c r="FM262" i="1"/>
  <c r="FJ262" i="1"/>
  <c r="FH262" i="1"/>
  <c r="FF262" i="1"/>
  <c r="FD262" i="1"/>
  <c r="FB262" i="1"/>
  <c r="FA262" i="1"/>
  <c r="EZ262" i="1"/>
  <c r="EX262" i="1"/>
  <c r="EV262" i="1"/>
  <c r="ET262" i="1"/>
  <c r="EL262" i="1"/>
  <c r="EF262" i="1"/>
  <c r="ED262" i="1"/>
  <c r="EB262" i="1"/>
  <c r="EA262" i="1"/>
  <c r="DZ262" i="1"/>
  <c r="DV262" i="1"/>
  <c r="DW262" i="1" s="1"/>
  <c r="ER262" i="1" s="1"/>
  <c r="DT262" i="1"/>
  <c r="DR262" i="1"/>
  <c r="BE262" i="1"/>
  <c r="BF262" i="1" s="1"/>
  <c r="FO262" i="1" s="1"/>
  <c r="BD262" i="1"/>
  <c r="FP262" i="1" s="1"/>
  <c r="BA262" i="1"/>
  <c r="FN262" i="1" s="1"/>
  <c r="AO262" i="1"/>
  <c r="EI262" i="1" s="1"/>
  <c r="AM262" i="1"/>
  <c r="EH262" i="1" s="1"/>
  <c r="AK262" i="1"/>
  <c r="Y262" i="1"/>
  <c r="Z262" i="1" s="1"/>
  <c r="AA262" i="1" s="1"/>
  <c r="DY262" i="1" s="1"/>
  <c r="EC262" i="1" s="1"/>
  <c r="GH262" i="1" s="1"/>
  <c r="GD261" i="1"/>
  <c r="GB261" i="1"/>
  <c r="FZ261" i="1"/>
  <c r="FW261" i="1"/>
  <c r="FV261" i="1"/>
  <c r="FX261" i="1" s="1"/>
  <c r="FS261" i="1"/>
  <c r="FM261" i="1"/>
  <c r="FJ261" i="1"/>
  <c r="FH261" i="1"/>
  <c r="FF261" i="1"/>
  <c r="FD261" i="1"/>
  <c r="FB261" i="1"/>
  <c r="FA261" i="1"/>
  <c r="EZ261" i="1"/>
  <c r="EX261" i="1"/>
  <c r="EV261" i="1"/>
  <c r="ET261" i="1"/>
  <c r="EL261" i="1"/>
  <c r="EF261" i="1"/>
  <c r="ED261" i="1"/>
  <c r="EB261" i="1"/>
  <c r="EA261" i="1"/>
  <c r="DZ261" i="1"/>
  <c r="DW261" i="1"/>
  <c r="ER261" i="1" s="1"/>
  <c r="DV261" i="1"/>
  <c r="DT261" i="1"/>
  <c r="DR261" i="1"/>
  <c r="BF261" i="1"/>
  <c r="FO261" i="1" s="1"/>
  <c r="BE261" i="1"/>
  <c r="BD261" i="1"/>
  <c r="FP261" i="1" s="1"/>
  <c r="BA261" i="1"/>
  <c r="FN261" i="1" s="1"/>
  <c r="FQ261" i="1" s="1"/>
  <c r="AO261" i="1"/>
  <c r="EI261" i="1" s="1"/>
  <c r="AM261" i="1"/>
  <c r="EH261" i="1" s="1"/>
  <c r="AK261" i="1"/>
  <c r="AA261" i="1"/>
  <c r="DY261" i="1" s="1"/>
  <c r="EC261" i="1" s="1"/>
  <c r="GH261" i="1" s="1"/>
  <c r="Z261" i="1"/>
  <c r="Y261" i="1"/>
  <c r="GD260" i="1"/>
  <c r="GB260" i="1"/>
  <c r="FZ260" i="1"/>
  <c r="FW260" i="1"/>
  <c r="FV260" i="1"/>
  <c r="FS260" i="1"/>
  <c r="FM260" i="1"/>
  <c r="FJ260" i="1"/>
  <c r="FH260" i="1"/>
  <c r="FF260" i="1"/>
  <c r="FD260" i="1"/>
  <c r="FB260" i="1"/>
  <c r="FA260" i="1"/>
  <c r="EZ260" i="1"/>
  <c r="EX260" i="1"/>
  <c r="EV260" i="1"/>
  <c r="ET260" i="1"/>
  <c r="EL260" i="1"/>
  <c r="EF260" i="1"/>
  <c r="ED260" i="1"/>
  <c r="EB260" i="1"/>
  <c r="EA260" i="1"/>
  <c r="DZ260" i="1"/>
  <c r="DV260" i="1"/>
  <c r="DW260" i="1" s="1"/>
  <c r="ER260" i="1" s="1"/>
  <c r="DT260" i="1"/>
  <c r="DR260" i="1"/>
  <c r="BE260" i="1"/>
  <c r="BF260" i="1" s="1"/>
  <c r="FO260" i="1" s="1"/>
  <c r="BD260" i="1"/>
  <c r="FP260" i="1" s="1"/>
  <c r="BA260" i="1"/>
  <c r="FN260" i="1" s="1"/>
  <c r="AO260" i="1"/>
  <c r="EI260" i="1" s="1"/>
  <c r="AM260" i="1"/>
  <c r="EH260" i="1" s="1"/>
  <c r="AK260" i="1"/>
  <c r="Y260" i="1"/>
  <c r="Z260" i="1" s="1"/>
  <c r="AA260" i="1" s="1"/>
  <c r="DY260" i="1" s="1"/>
  <c r="EC260" i="1" s="1"/>
  <c r="GH260" i="1" s="1"/>
  <c r="GD259" i="1"/>
  <c r="GB259" i="1"/>
  <c r="FZ259" i="1"/>
  <c r="FW259" i="1"/>
  <c r="FV259" i="1"/>
  <c r="FX259" i="1" s="1"/>
  <c r="FS259" i="1"/>
  <c r="FM259" i="1"/>
  <c r="FJ259" i="1"/>
  <c r="FH259" i="1"/>
  <c r="FF259" i="1"/>
  <c r="FD259" i="1"/>
  <c r="FB259" i="1"/>
  <c r="FA259" i="1"/>
  <c r="EZ259" i="1"/>
  <c r="EX259" i="1"/>
  <c r="EV259" i="1"/>
  <c r="ET259" i="1"/>
  <c r="EL259" i="1"/>
  <c r="EF259" i="1"/>
  <c r="ED259" i="1"/>
  <c r="EB259" i="1"/>
  <c r="EA259" i="1"/>
  <c r="DZ259" i="1"/>
  <c r="DW259" i="1"/>
  <c r="ER259" i="1" s="1"/>
  <c r="DV259" i="1"/>
  <c r="DT259" i="1"/>
  <c r="DR259" i="1"/>
  <c r="BF259" i="1"/>
  <c r="FO259" i="1" s="1"/>
  <c r="BE259" i="1"/>
  <c r="BD259" i="1"/>
  <c r="FP259" i="1" s="1"/>
  <c r="BA259" i="1"/>
  <c r="FN259" i="1" s="1"/>
  <c r="AO259" i="1"/>
  <c r="EI259" i="1" s="1"/>
  <c r="AM259" i="1"/>
  <c r="EH259" i="1" s="1"/>
  <c r="AK259" i="1"/>
  <c r="Z259" i="1"/>
  <c r="AA259" i="1" s="1"/>
  <c r="DY259" i="1" s="1"/>
  <c r="EC259" i="1" s="1"/>
  <c r="GH259" i="1" s="1"/>
  <c r="Y259" i="1"/>
  <c r="GD258" i="1"/>
  <c r="GB258" i="1"/>
  <c r="FZ258" i="1"/>
  <c r="FW258" i="1"/>
  <c r="FV258" i="1"/>
  <c r="FX258" i="1" s="1"/>
  <c r="FS258" i="1"/>
  <c r="FM258" i="1"/>
  <c r="FJ258" i="1"/>
  <c r="FH258" i="1"/>
  <c r="FF258" i="1"/>
  <c r="FD258" i="1"/>
  <c r="FB258" i="1"/>
  <c r="FA258" i="1"/>
  <c r="EZ258" i="1"/>
  <c r="EX258" i="1"/>
  <c r="EV258" i="1"/>
  <c r="ET258" i="1"/>
  <c r="EL258" i="1"/>
  <c r="EF258" i="1"/>
  <c r="ED258" i="1"/>
  <c r="EB258" i="1"/>
  <c r="EA258" i="1"/>
  <c r="DZ258" i="1"/>
  <c r="DV258" i="1"/>
  <c r="DW258" i="1" s="1"/>
  <c r="ER258" i="1" s="1"/>
  <c r="DT258" i="1"/>
  <c r="DR258" i="1"/>
  <c r="BE258" i="1"/>
  <c r="BF258" i="1" s="1"/>
  <c r="FO258" i="1" s="1"/>
  <c r="BD258" i="1"/>
  <c r="FP258" i="1" s="1"/>
  <c r="BA258" i="1"/>
  <c r="FN258" i="1" s="1"/>
  <c r="AO258" i="1"/>
  <c r="EI258" i="1" s="1"/>
  <c r="AM258" i="1"/>
  <c r="EH258" i="1" s="1"/>
  <c r="AK258" i="1"/>
  <c r="Y258" i="1"/>
  <c r="Z258" i="1" s="1"/>
  <c r="AA258" i="1" s="1"/>
  <c r="DY258" i="1" s="1"/>
  <c r="EC258" i="1" s="1"/>
  <c r="GH258" i="1" s="1"/>
  <c r="GD257" i="1"/>
  <c r="GB257" i="1"/>
  <c r="FZ257" i="1"/>
  <c r="FW257" i="1"/>
  <c r="FV257" i="1"/>
  <c r="FX257" i="1" s="1"/>
  <c r="FS257" i="1"/>
  <c r="FM257" i="1"/>
  <c r="FJ257" i="1"/>
  <c r="FH257" i="1"/>
  <c r="FF257" i="1"/>
  <c r="FD257" i="1"/>
  <c r="FB257" i="1"/>
  <c r="FA257" i="1"/>
  <c r="EZ257" i="1"/>
  <c r="EX257" i="1"/>
  <c r="EV257" i="1"/>
  <c r="ET257" i="1"/>
  <c r="EL257" i="1"/>
  <c r="EF257" i="1"/>
  <c r="ED257" i="1"/>
  <c r="EB257" i="1"/>
  <c r="EA257" i="1"/>
  <c r="DZ257" i="1"/>
  <c r="DW257" i="1"/>
  <c r="ER257" i="1" s="1"/>
  <c r="DV257" i="1"/>
  <c r="DT257" i="1"/>
  <c r="DR257" i="1"/>
  <c r="BF257" i="1"/>
  <c r="FO257" i="1" s="1"/>
  <c r="BE257" i="1"/>
  <c r="BD257" i="1"/>
  <c r="FP257" i="1" s="1"/>
  <c r="BA257" i="1"/>
  <c r="FN257" i="1" s="1"/>
  <c r="AO257" i="1"/>
  <c r="EI257" i="1" s="1"/>
  <c r="AM257" i="1"/>
  <c r="EH257" i="1" s="1"/>
  <c r="AK257" i="1"/>
  <c r="AA257" i="1"/>
  <c r="DY257" i="1" s="1"/>
  <c r="EC257" i="1" s="1"/>
  <c r="GH257" i="1" s="1"/>
  <c r="Z257" i="1"/>
  <c r="Y257" i="1"/>
  <c r="GD256" i="1"/>
  <c r="GB256" i="1"/>
  <c r="FZ256" i="1"/>
  <c r="FW256" i="1"/>
  <c r="FV256" i="1"/>
  <c r="FX256" i="1" s="1"/>
  <c r="FS256" i="1"/>
  <c r="FM256" i="1"/>
  <c r="FJ256" i="1"/>
  <c r="FH256" i="1"/>
  <c r="FF256" i="1"/>
  <c r="FD256" i="1"/>
  <c r="FB256" i="1"/>
  <c r="FA256" i="1"/>
  <c r="EZ256" i="1"/>
  <c r="EX256" i="1"/>
  <c r="EV256" i="1"/>
  <c r="ET256" i="1"/>
  <c r="EL256" i="1"/>
  <c r="EF256" i="1"/>
  <c r="ED256" i="1"/>
  <c r="EB256" i="1"/>
  <c r="EA256" i="1"/>
  <c r="DZ256" i="1"/>
  <c r="DV256" i="1"/>
  <c r="DW256" i="1" s="1"/>
  <c r="ER256" i="1" s="1"/>
  <c r="DT256" i="1"/>
  <c r="DR256" i="1"/>
  <c r="BE256" i="1"/>
  <c r="BF256" i="1" s="1"/>
  <c r="FO256" i="1" s="1"/>
  <c r="BD256" i="1"/>
  <c r="FP256" i="1" s="1"/>
  <c r="BA256" i="1"/>
  <c r="FN256" i="1" s="1"/>
  <c r="AO256" i="1"/>
  <c r="EI256" i="1" s="1"/>
  <c r="AM256" i="1"/>
  <c r="EH256" i="1" s="1"/>
  <c r="AK256" i="1"/>
  <c r="Y256" i="1"/>
  <c r="Z256" i="1" s="1"/>
  <c r="AA256" i="1" s="1"/>
  <c r="DY256" i="1" s="1"/>
  <c r="EC256" i="1" s="1"/>
  <c r="GH256" i="1" s="1"/>
  <c r="GD255" i="1"/>
  <c r="GB255" i="1"/>
  <c r="FZ255" i="1"/>
  <c r="FW255" i="1"/>
  <c r="FV255" i="1"/>
  <c r="FX255" i="1" s="1"/>
  <c r="FS255" i="1"/>
  <c r="FM255" i="1"/>
  <c r="FJ255" i="1"/>
  <c r="FH255" i="1"/>
  <c r="FF255" i="1"/>
  <c r="FD255" i="1"/>
  <c r="FB255" i="1"/>
  <c r="FA255" i="1"/>
  <c r="EZ255" i="1"/>
  <c r="EX255" i="1"/>
  <c r="EV255" i="1"/>
  <c r="ET255" i="1"/>
  <c r="EL255" i="1"/>
  <c r="EF255" i="1"/>
  <c r="ED255" i="1"/>
  <c r="EB255" i="1"/>
  <c r="EA255" i="1"/>
  <c r="DZ255" i="1"/>
  <c r="DV255" i="1"/>
  <c r="DW255" i="1" s="1"/>
  <c r="ER255" i="1" s="1"/>
  <c r="DT255" i="1"/>
  <c r="DR255" i="1"/>
  <c r="BE255" i="1"/>
  <c r="BF255" i="1" s="1"/>
  <c r="FO255" i="1" s="1"/>
  <c r="BD255" i="1"/>
  <c r="FP255" i="1" s="1"/>
  <c r="BA255" i="1"/>
  <c r="FN255" i="1" s="1"/>
  <c r="FQ255" i="1" s="1"/>
  <c r="AO255" i="1"/>
  <c r="EI255" i="1" s="1"/>
  <c r="AM255" i="1"/>
  <c r="EH255" i="1" s="1"/>
  <c r="AK255" i="1"/>
  <c r="Y255" i="1"/>
  <c r="Z255" i="1" s="1"/>
  <c r="AA255" i="1" s="1"/>
  <c r="DY255" i="1" s="1"/>
  <c r="EC255" i="1" s="1"/>
  <c r="GH255" i="1" s="1"/>
  <c r="GD254" i="1"/>
  <c r="GB254" i="1"/>
  <c r="FZ254" i="1"/>
  <c r="FW254" i="1"/>
  <c r="FV254" i="1"/>
  <c r="FX254" i="1" s="1"/>
  <c r="FS254" i="1"/>
  <c r="FM254" i="1"/>
  <c r="FJ254" i="1"/>
  <c r="FH254" i="1"/>
  <c r="FF254" i="1"/>
  <c r="FD254" i="1"/>
  <c r="FB254" i="1"/>
  <c r="FA254" i="1"/>
  <c r="EZ254" i="1"/>
  <c r="EX254" i="1"/>
  <c r="EV254" i="1"/>
  <c r="ET254" i="1"/>
  <c r="EL254" i="1"/>
  <c r="EF254" i="1"/>
  <c r="ED254" i="1"/>
  <c r="EB254" i="1"/>
  <c r="EA254" i="1"/>
  <c r="DZ254" i="1"/>
  <c r="DV254" i="1"/>
  <c r="DW254" i="1" s="1"/>
  <c r="ER254" i="1" s="1"/>
  <c r="DT254" i="1"/>
  <c r="DR254" i="1"/>
  <c r="BE254" i="1"/>
  <c r="BF254" i="1" s="1"/>
  <c r="FO254" i="1" s="1"/>
  <c r="BD254" i="1"/>
  <c r="FP254" i="1" s="1"/>
  <c r="BA254" i="1"/>
  <c r="FN254" i="1" s="1"/>
  <c r="AO254" i="1"/>
  <c r="EI254" i="1" s="1"/>
  <c r="AM254" i="1"/>
  <c r="EH254" i="1" s="1"/>
  <c r="AK254" i="1"/>
  <c r="Y254" i="1"/>
  <c r="Z254" i="1" s="1"/>
  <c r="AA254" i="1" s="1"/>
  <c r="DY254" i="1" s="1"/>
  <c r="EC254" i="1" s="1"/>
  <c r="GH254" i="1" s="1"/>
  <c r="GD253" i="1"/>
  <c r="GB253" i="1"/>
  <c r="FZ253" i="1"/>
  <c r="FW253" i="1"/>
  <c r="FV253" i="1"/>
  <c r="FX253" i="1" s="1"/>
  <c r="FS253" i="1"/>
  <c r="FM253" i="1"/>
  <c r="FJ253" i="1"/>
  <c r="FH253" i="1"/>
  <c r="FF253" i="1"/>
  <c r="FD253" i="1"/>
  <c r="FB253" i="1"/>
  <c r="FA253" i="1"/>
  <c r="EZ253" i="1"/>
  <c r="EX253" i="1"/>
  <c r="EV253" i="1"/>
  <c r="ET253" i="1"/>
  <c r="EL253" i="1"/>
  <c r="EF253" i="1"/>
  <c r="ED253" i="1"/>
  <c r="EB253" i="1"/>
  <c r="EA253" i="1"/>
  <c r="DZ253" i="1"/>
  <c r="DV253" i="1"/>
  <c r="DW253" i="1" s="1"/>
  <c r="ER253" i="1" s="1"/>
  <c r="DT253" i="1"/>
  <c r="DR253" i="1"/>
  <c r="BE253" i="1"/>
  <c r="BF253" i="1" s="1"/>
  <c r="FO253" i="1" s="1"/>
  <c r="BD253" i="1"/>
  <c r="FP253" i="1" s="1"/>
  <c r="BA253" i="1"/>
  <c r="FN253" i="1" s="1"/>
  <c r="FQ253" i="1" s="1"/>
  <c r="AO253" i="1"/>
  <c r="EI253" i="1" s="1"/>
  <c r="AM253" i="1"/>
  <c r="EH253" i="1" s="1"/>
  <c r="AK253" i="1"/>
  <c r="Y253" i="1"/>
  <c r="Z253" i="1" s="1"/>
  <c r="AA253" i="1" s="1"/>
  <c r="DY253" i="1" s="1"/>
  <c r="EC253" i="1" s="1"/>
  <c r="GH253" i="1" s="1"/>
  <c r="GD252" i="1"/>
  <c r="GB252" i="1"/>
  <c r="FZ252" i="1"/>
  <c r="FW252" i="1"/>
  <c r="FV252" i="1"/>
  <c r="FX252" i="1" s="1"/>
  <c r="FS252" i="1"/>
  <c r="FM252" i="1"/>
  <c r="FJ252" i="1"/>
  <c r="FH252" i="1"/>
  <c r="FF252" i="1"/>
  <c r="FD252" i="1"/>
  <c r="FB252" i="1"/>
  <c r="FA252" i="1"/>
  <c r="EZ252" i="1"/>
  <c r="EX252" i="1"/>
  <c r="EV252" i="1"/>
  <c r="ET252" i="1"/>
  <c r="EL252" i="1"/>
  <c r="EF252" i="1"/>
  <c r="ED252" i="1"/>
  <c r="EB252" i="1"/>
  <c r="EA252" i="1"/>
  <c r="DZ252" i="1"/>
  <c r="DV252" i="1"/>
  <c r="DW252" i="1" s="1"/>
  <c r="ER252" i="1" s="1"/>
  <c r="DT252" i="1"/>
  <c r="DR252" i="1"/>
  <c r="BE252" i="1"/>
  <c r="BF252" i="1" s="1"/>
  <c r="FO252" i="1" s="1"/>
  <c r="BD252" i="1"/>
  <c r="FP252" i="1" s="1"/>
  <c r="BA252" i="1"/>
  <c r="FN252" i="1" s="1"/>
  <c r="AO252" i="1"/>
  <c r="EI252" i="1" s="1"/>
  <c r="AM252" i="1"/>
  <c r="EH252" i="1" s="1"/>
  <c r="AK252" i="1"/>
  <c r="Y252" i="1"/>
  <c r="Z252" i="1" s="1"/>
  <c r="AA252" i="1" s="1"/>
  <c r="DY252" i="1" s="1"/>
  <c r="EC252" i="1" s="1"/>
  <c r="GH252" i="1" s="1"/>
  <c r="GD251" i="1"/>
  <c r="GB251" i="1"/>
  <c r="FZ251" i="1"/>
  <c r="FW251" i="1"/>
  <c r="FV251" i="1"/>
  <c r="FX251" i="1" s="1"/>
  <c r="FS251" i="1"/>
  <c r="FM251" i="1"/>
  <c r="FJ251" i="1"/>
  <c r="FH251" i="1"/>
  <c r="FF251" i="1"/>
  <c r="FD251" i="1"/>
  <c r="FB251" i="1"/>
  <c r="FA251" i="1"/>
  <c r="EZ251" i="1"/>
  <c r="EX251" i="1"/>
  <c r="EV251" i="1"/>
  <c r="ET251" i="1"/>
  <c r="EL251" i="1"/>
  <c r="EF251" i="1"/>
  <c r="ED251" i="1"/>
  <c r="EB251" i="1"/>
  <c r="EA251" i="1"/>
  <c r="DZ251" i="1"/>
  <c r="DV251" i="1"/>
  <c r="DW251" i="1" s="1"/>
  <c r="ER251" i="1" s="1"/>
  <c r="DT251" i="1"/>
  <c r="DR251" i="1"/>
  <c r="BE251" i="1"/>
  <c r="BF251" i="1" s="1"/>
  <c r="FO251" i="1" s="1"/>
  <c r="BD251" i="1"/>
  <c r="FP251" i="1" s="1"/>
  <c r="BA251" i="1"/>
  <c r="FN251" i="1" s="1"/>
  <c r="AO251" i="1"/>
  <c r="EI251" i="1" s="1"/>
  <c r="AM251" i="1"/>
  <c r="EH251" i="1" s="1"/>
  <c r="AK251" i="1"/>
  <c r="Y251" i="1"/>
  <c r="Z251" i="1" s="1"/>
  <c r="AA251" i="1" s="1"/>
  <c r="DY251" i="1" s="1"/>
  <c r="EC251" i="1" s="1"/>
  <c r="GH251" i="1" s="1"/>
  <c r="GD250" i="1"/>
  <c r="GB250" i="1"/>
  <c r="FZ250" i="1"/>
  <c r="FW250" i="1"/>
  <c r="FV250" i="1"/>
  <c r="FS250" i="1"/>
  <c r="FM250" i="1"/>
  <c r="FJ250" i="1"/>
  <c r="FH250" i="1"/>
  <c r="FF250" i="1"/>
  <c r="FD250" i="1"/>
  <c r="FB250" i="1"/>
  <c r="FA250" i="1"/>
  <c r="EZ250" i="1"/>
  <c r="EX250" i="1"/>
  <c r="EV250" i="1"/>
  <c r="ET250" i="1"/>
  <c r="EL250" i="1"/>
  <c r="EF250" i="1"/>
  <c r="ED250" i="1"/>
  <c r="EB250" i="1"/>
  <c r="EA250" i="1"/>
  <c r="DZ250" i="1"/>
  <c r="DV250" i="1"/>
  <c r="DW250" i="1" s="1"/>
  <c r="ER250" i="1" s="1"/>
  <c r="DT250" i="1"/>
  <c r="DR250" i="1"/>
  <c r="BE250" i="1"/>
  <c r="BF250" i="1" s="1"/>
  <c r="FO250" i="1" s="1"/>
  <c r="BD250" i="1"/>
  <c r="FP250" i="1" s="1"/>
  <c r="BA250" i="1"/>
  <c r="FN250" i="1" s="1"/>
  <c r="AO250" i="1"/>
  <c r="EI250" i="1" s="1"/>
  <c r="AM250" i="1"/>
  <c r="EH250" i="1" s="1"/>
  <c r="AK250" i="1"/>
  <c r="Y250" i="1"/>
  <c r="Z250" i="1" s="1"/>
  <c r="AA250" i="1" s="1"/>
  <c r="DY250" i="1" s="1"/>
  <c r="EC250" i="1" s="1"/>
  <c r="GH250" i="1" s="1"/>
  <c r="GD249" i="1"/>
  <c r="GB249" i="1"/>
  <c r="FZ249" i="1"/>
  <c r="FW249" i="1"/>
  <c r="FV249" i="1"/>
  <c r="FX249" i="1" s="1"/>
  <c r="FS249" i="1"/>
  <c r="FM249" i="1"/>
  <c r="FJ249" i="1"/>
  <c r="FH249" i="1"/>
  <c r="FF249" i="1"/>
  <c r="FD249" i="1"/>
  <c r="FB249" i="1"/>
  <c r="FA249" i="1"/>
  <c r="EZ249" i="1"/>
  <c r="EX249" i="1"/>
  <c r="EV249" i="1"/>
  <c r="ET249" i="1"/>
  <c r="EL249" i="1"/>
  <c r="EF249" i="1"/>
  <c r="ED249" i="1"/>
  <c r="EB249" i="1"/>
  <c r="EA249" i="1"/>
  <c r="DZ249" i="1"/>
  <c r="DV249" i="1"/>
  <c r="DW249" i="1" s="1"/>
  <c r="ER249" i="1" s="1"/>
  <c r="DT249" i="1"/>
  <c r="DR249" i="1"/>
  <c r="BE249" i="1"/>
  <c r="BF249" i="1" s="1"/>
  <c r="FO249" i="1" s="1"/>
  <c r="BD249" i="1"/>
  <c r="FP249" i="1" s="1"/>
  <c r="BA249" i="1"/>
  <c r="FN249" i="1" s="1"/>
  <c r="AO249" i="1"/>
  <c r="EI249" i="1" s="1"/>
  <c r="AM249" i="1"/>
  <c r="EH249" i="1" s="1"/>
  <c r="AK249" i="1"/>
  <c r="Y249" i="1"/>
  <c r="Z249" i="1" s="1"/>
  <c r="AA249" i="1" s="1"/>
  <c r="DY249" i="1" s="1"/>
  <c r="EC249" i="1" s="1"/>
  <c r="GH249" i="1" s="1"/>
  <c r="GD248" i="1"/>
  <c r="GB248" i="1"/>
  <c r="FZ248" i="1"/>
  <c r="FW248" i="1"/>
  <c r="FV248" i="1"/>
  <c r="FX248" i="1" s="1"/>
  <c r="FS248" i="1"/>
  <c r="FM248" i="1"/>
  <c r="FJ248" i="1"/>
  <c r="FH248" i="1"/>
  <c r="FF248" i="1"/>
  <c r="FD248" i="1"/>
  <c r="FB248" i="1"/>
  <c r="FA248" i="1"/>
  <c r="EZ248" i="1"/>
  <c r="EX248" i="1"/>
  <c r="EV248" i="1"/>
  <c r="ET248" i="1"/>
  <c r="EL248" i="1"/>
  <c r="EF248" i="1"/>
  <c r="ED248" i="1"/>
  <c r="EB248" i="1"/>
  <c r="EA248" i="1"/>
  <c r="DZ248" i="1"/>
  <c r="DV248" i="1"/>
  <c r="DW248" i="1" s="1"/>
  <c r="ER248" i="1" s="1"/>
  <c r="DT248" i="1"/>
  <c r="DR248" i="1"/>
  <c r="BE248" i="1"/>
  <c r="BF248" i="1" s="1"/>
  <c r="FO248" i="1" s="1"/>
  <c r="BD248" i="1"/>
  <c r="FP248" i="1" s="1"/>
  <c r="BA248" i="1"/>
  <c r="FN248" i="1" s="1"/>
  <c r="AO248" i="1"/>
  <c r="EI248" i="1" s="1"/>
  <c r="AM248" i="1"/>
  <c r="EH248" i="1" s="1"/>
  <c r="AK248" i="1"/>
  <c r="Y248" i="1"/>
  <c r="Z248" i="1" s="1"/>
  <c r="AA248" i="1" s="1"/>
  <c r="DY248" i="1" s="1"/>
  <c r="EC248" i="1" s="1"/>
  <c r="GH248" i="1" s="1"/>
  <c r="GD247" i="1"/>
  <c r="GB247" i="1"/>
  <c r="FZ247" i="1"/>
  <c r="FW247" i="1"/>
  <c r="FV247" i="1"/>
  <c r="FS247" i="1"/>
  <c r="FM247" i="1"/>
  <c r="FJ247" i="1"/>
  <c r="FH247" i="1"/>
  <c r="FF247" i="1"/>
  <c r="FD247" i="1"/>
  <c r="FB247" i="1"/>
  <c r="FA247" i="1"/>
  <c r="EZ247" i="1"/>
  <c r="EX247" i="1"/>
  <c r="EV247" i="1"/>
  <c r="ET247" i="1"/>
  <c r="EL247" i="1"/>
  <c r="EF247" i="1"/>
  <c r="ED247" i="1"/>
  <c r="EB247" i="1"/>
  <c r="EA247" i="1"/>
  <c r="DZ247" i="1"/>
  <c r="DW247" i="1"/>
  <c r="ER247" i="1" s="1"/>
  <c r="DV247" i="1"/>
  <c r="DT247" i="1"/>
  <c r="DR247" i="1"/>
  <c r="BF247" i="1"/>
  <c r="FO247" i="1" s="1"/>
  <c r="BE247" i="1"/>
  <c r="BD247" i="1"/>
  <c r="FP247" i="1" s="1"/>
  <c r="BA247" i="1"/>
  <c r="FN247" i="1" s="1"/>
  <c r="AO247" i="1"/>
  <c r="EI247" i="1" s="1"/>
  <c r="AM247" i="1"/>
  <c r="EH247" i="1" s="1"/>
  <c r="AK247" i="1"/>
  <c r="AA247" i="1"/>
  <c r="DY247" i="1" s="1"/>
  <c r="EC247" i="1" s="1"/>
  <c r="GH247" i="1" s="1"/>
  <c r="Z247" i="1"/>
  <c r="Y247" i="1"/>
  <c r="GD246" i="1"/>
  <c r="GB246" i="1"/>
  <c r="FZ246" i="1"/>
  <c r="FW246" i="1"/>
  <c r="FV246" i="1"/>
  <c r="FS246" i="1"/>
  <c r="FM246" i="1"/>
  <c r="FJ246" i="1"/>
  <c r="FH246" i="1"/>
  <c r="FF246" i="1"/>
  <c r="FD246" i="1"/>
  <c r="FB246" i="1"/>
  <c r="FA246" i="1"/>
  <c r="EZ246" i="1"/>
  <c r="EX246" i="1"/>
  <c r="EV246" i="1"/>
  <c r="ET246" i="1"/>
  <c r="EL246" i="1"/>
  <c r="EF246" i="1"/>
  <c r="ED246" i="1"/>
  <c r="EB246" i="1"/>
  <c r="EA246" i="1"/>
  <c r="DZ246" i="1"/>
  <c r="DW246" i="1"/>
  <c r="ER246" i="1" s="1"/>
  <c r="DV246" i="1"/>
  <c r="DT246" i="1"/>
  <c r="DR246" i="1"/>
  <c r="BF246" i="1"/>
  <c r="FO246" i="1" s="1"/>
  <c r="BE246" i="1"/>
  <c r="BD246" i="1"/>
  <c r="FP246" i="1" s="1"/>
  <c r="BA246" i="1"/>
  <c r="FN246" i="1" s="1"/>
  <c r="AO246" i="1"/>
  <c r="EI246" i="1" s="1"/>
  <c r="AM246" i="1"/>
  <c r="EH246" i="1" s="1"/>
  <c r="AK246" i="1"/>
  <c r="Y246" i="1"/>
  <c r="Z246" i="1" s="1"/>
  <c r="AA246" i="1" s="1"/>
  <c r="DY246" i="1" s="1"/>
  <c r="EC246" i="1" s="1"/>
  <c r="GH246" i="1" s="1"/>
  <c r="GD245" i="1"/>
  <c r="GB245" i="1"/>
  <c r="FZ245" i="1"/>
  <c r="FW245" i="1"/>
  <c r="FV245" i="1"/>
  <c r="FX245" i="1" s="1"/>
  <c r="FS245" i="1"/>
  <c r="FM245" i="1"/>
  <c r="FJ245" i="1"/>
  <c r="FH245" i="1"/>
  <c r="FF245" i="1"/>
  <c r="FD245" i="1"/>
  <c r="FB245" i="1"/>
  <c r="FA245" i="1"/>
  <c r="EZ245" i="1"/>
  <c r="EX245" i="1"/>
  <c r="EV245" i="1"/>
  <c r="ET245" i="1"/>
  <c r="EL245" i="1"/>
  <c r="EF245" i="1"/>
  <c r="ED245" i="1"/>
  <c r="EB245" i="1"/>
  <c r="EA245" i="1"/>
  <c r="DZ245" i="1"/>
  <c r="DV245" i="1"/>
  <c r="DW245" i="1" s="1"/>
  <c r="ER245" i="1" s="1"/>
  <c r="DT245" i="1"/>
  <c r="DR245" i="1"/>
  <c r="BE245" i="1"/>
  <c r="BF245" i="1" s="1"/>
  <c r="FO245" i="1" s="1"/>
  <c r="BD245" i="1"/>
  <c r="FP245" i="1" s="1"/>
  <c r="BA245" i="1"/>
  <c r="FN245" i="1" s="1"/>
  <c r="FQ245" i="1" s="1"/>
  <c r="AO245" i="1"/>
  <c r="EI245" i="1" s="1"/>
  <c r="AM245" i="1"/>
  <c r="EH245" i="1" s="1"/>
  <c r="AK245" i="1"/>
  <c r="Y245" i="1"/>
  <c r="Z245" i="1" s="1"/>
  <c r="AA245" i="1" s="1"/>
  <c r="DY245" i="1" s="1"/>
  <c r="EC245" i="1" s="1"/>
  <c r="GH245" i="1" s="1"/>
  <c r="GD244" i="1"/>
  <c r="GB244" i="1"/>
  <c r="FZ244" i="1"/>
  <c r="FW244" i="1"/>
  <c r="FX244" i="1" s="1"/>
  <c r="FV244" i="1"/>
  <c r="FS244" i="1"/>
  <c r="FM244" i="1"/>
  <c r="FJ244" i="1"/>
  <c r="FH244" i="1"/>
  <c r="FF244" i="1"/>
  <c r="FD244" i="1"/>
  <c r="FB244" i="1"/>
  <c r="FA244" i="1"/>
  <c r="EZ244" i="1"/>
  <c r="EX244" i="1"/>
  <c r="EV244" i="1"/>
  <c r="ET244" i="1"/>
  <c r="EL244" i="1"/>
  <c r="EF244" i="1"/>
  <c r="ED244" i="1"/>
  <c r="EB244" i="1"/>
  <c r="EA244" i="1"/>
  <c r="DZ244" i="1"/>
  <c r="DV244" i="1"/>
  <c r="DW244" i="1" s="1"/>
  <c r="ER244" i="1" s="1"/>
  <c r="DT244" i="1"/>
  <c r="DR244" i="1"/>
  <c r="BE244" i="1"/>
  <c r="BF244" i="1" s="1"/>
  <c r="FO244" i="1" s="1"/>
  <c r="BD244" i="1"/>
  <c r="FP244" i="1" s="1"/>
  <c r="BA244" i="1"/>
  <c r="FN244" i="1" s="1"/>
  <c r="AO244" i="1"/>
  <c r="EI244" i="1" s="1"/>
  <c r="AM244" i="1"/>
  <c r="EH244" i="1" s="1"/>
  <c r="AK244" i="1"/>
  <c r="Y244" i="1"/>
  <c r="Z244" i="1" s="1"/>
  <c r="AA244" i="1" s="1"/>
  <c r="DY244" i="1" s="1"/>
  <c r="EC244" i="1" s="1"/>
  <c r="GH244" i="1" s="1"/>
  <c r="GD243" i="1"/>
  <c r="GB243" i="1"/>
  <c r="FZ243" i="1"/>
  <c r="FW243" i="1"/>
  <c r="FV243" i="1"/>
  <c r="FX243" i="1" s="1"/>
  <c r="FS243" i="1"/>
  <c r="FM243" i="1"/>
  <c r="FJ243" i="1"/>
  <c r="FH243" i="1"/>
  <c r="FF243" i="1"/>
  <c r="FD243" i="1"/>
  <c r="FB243" i="1"/>
  <c r="FA243" i="1"/>
  <c r="EZ243" i="1"/>
  <c r="EX243" i="1"/>
  <c r="EV243" i="1"/>
  <c r="ET243" i="1"/>
  <c r="EL243" i="1"/>
  <c r="EF243" i="1"/>
  <c r="ED243" i="1"/>
  <c r="EB243" i="1"/>
  <c r="EA243" i="1"/>
  <c r="DZ243" i="1"/>
  <c r="DW243" i="1"/>
  <c r="ER243" i="1" s="1"/>
  <c r="DV243" i="1"/>
  <c r="DT243" i="1"/>
  <c r="DR243" i="1"/>
  <c r="BF243" i="1"/>
  <c r="FO243" i="1" s="1"/>
  <c r="BE243" i="1"/>
  <c r="BD243" i="1"/>
  <c r="FP243" i="1" s="1"/>
  <c r="BA243" i="1"/>
  <c r="FN243" i="1" s="1"/>
  <c r="AO243" i="1"/>
  <c r="EI243" i="1" s="1"/>
  <c r="AM243" i="1"/>
  <c r="EH243" i="1" s="1"/>
  <c r="AK243" i="1"/>
  <c r="Z243" i="1"/>
  <c r="AA243" i="1" s="1"/>
  <c r="DY243" i="1" s="1"/>
  <c r="EC243" i="1" s="1"/>
  <c r="GH243" i="1" s="1"/>
  <c r="Y243" i="1"/>
  <c r="GD242" i="1"/>
  <c r="GB242" i="1"/>
  <c r="FZ242" i="1"/>
  <c r="FW242" i="1"/>
  <c r="FX242" i="1" s="1"/>
  <c r="FV242" i="1"/>
  <c r="FS242" i="1"/>
  <c r="FM242" i="1"/>
  <c r="FJ242" i="1"/>
  <c r="FH242" i="1"/>
  <c r="FF242" i="1"/>
  <c r="FD242" i="1"/>
  <c r="FB242" i="1"/>
  <c r="FA242" i="1"/>
  <c r="EZ242" i="1"/>
  <c r="EX242" i="1"/>
  <c r="EV242" i="1"/>
  <c r="ET242" i="1"/>
  <c r="EL242" i="1"/>
  <c r="EF242" i="1"/>
  <c r="ED242" i="1"/>
  <c r="EB242" i="1"/>
  <c r="EA242" i="1"/>
  <c r="DZ242" i="1"/>
  <c r="DW242" i="1"/>
  <c r="ER242" i="1" s="1"/>
  <c r="DV242" i="1"/>
  <c r="DT242" i="1"/>
  <c r="DR242" i="1"/>
  <c r="BF242" i="1"/>
  <c r="FO242" i="1" s="1"/>
  <c r="BE242" i="1"/>
  <c r="BD242" i="1"/>
  <c r="FP242" i="1" s="1"/>
  <c r="BA242" i="1"/>
  <c r="FN242" i="1" s="1"/>
  <c r="AO242" i="1"/>
  <c r="EI242" i="1" s="1"/>
  <c r="AM242" i="1"/>
  <c r="EH242" i="1" s="1"/>
  <c r="AK242" i="1"/>
  <c r="Y242" i="1"/>
  <c r="Z242" i="1" s="1"/>
  <c r="AA242" i="1" s="1"/>
  <c r="DY242" i="1" s="1"/>
  <c r="EC242" i="1" s="1"/>
  <c r="GH242" i="1" s="1"/>
  <c r="GD241" i="1"/>
  <c r="GB241" i="1"/>
  <c r="FZ241" i="1"/>
  <c r="FW241" i="1"/>
  <c r="FV241" i="1"/>
  <c r="FX241" i="1" s="1"/>
  <c r="FS241" i="1"/>
  <c r="FM241" i="1"/>
  <c r="FJ241" i="1"/>
  <c r="FH241" i="1"/>
  <c r="FF241" i="1"/>
  <c r="FD241" i="1"/>
  <c r="FB241" i="1"/>
  <c r="FA241" i="1"/>
  <c r="EZ241" i="1"/>
  <c r="EX241" i="1"/>
  <c r="EV241" i="1"/>
  <c r="ET241" i="1"/>
  <c r="EL241" i="1"/>
  <c r="EF241" i="1"/>
  <c r="ED241" i="1"/>
  <c r="EB241" i="1"/>
  <c r="EA241" i="1"/>
  <c r="DZ241" i="1"/>
  <c r="DW241" i="1"/>
  <c r="ER241" i="1" s="1"/>
  <c r="DV241" i="1"/>
  <c r="DT241" i="1"/>
  <c r="DR241" i="1"/>
  <c r="BF241" i="1"/>
  <c r="FO241" i="1" s="1"/>
  <c r="BE241" i="1"/>
  <c r="BD241" i="1"/>
  <c r="FP241" i="1" s="1"/>
  <c r="BA241" i="1"/>
  <c r="FN241" i="1" s="1"/>
  <c r="FQ241" i="1" s="1"/>
  <c r="AO241" i="1"/>
  <c r="EI241" i="1" s="1"/>
  <c r="AM241" i="1"/>
  <c r="EH241" i="1" s="1"/>
  <c r="AK241" i="1"/>
  <c r="Z241" i="1"/>
  <c r="AA241" i="1" s="1"/>
  <c r="DY241" i="1" s="1"/>
  <c r="EC241" i="1" s="1"/>
  <c r="GH241" i="1" s="1"/>
  <c r="Y241" i="1"/>
  <c r="GD240" i="1"/>
  <c r="GB240" i="1"/>
  <c r="FZ240" i="1"/>
  <c r="FW240" i="1"/>
  <c r="FX240" i="1" s="1"/>
  <c r="FV240" i="1"/>
  <c r="FS240" i="1"/>
  <c r="FM240" i="1"/>
  <c r="FJ240" i="1"/>
  <c r="FH240" i="1"/>
  <c r="FF240" i="1"/>
  <c r="FD240" i="1"/>
  <c r="FB240" i="1"/>
  <c r="FA240" i="1"/>
  <c r="EZ240" i="1"/>
  <c r="EX240" i="1"/>
  <c r="EV240" i="1"/>
  <c r="ET240" i="1"/>
  <c r="EL240" i="1"/>
  <c r="EF240" i="1"/>
  <c r="ED240" i="1"/>
  <c r="EB240" i="1"/>
  <c r="EA240" i="1"/>
  <c r="DZ240" i="1"/>
  <c r="DV240" i="1"/>
  <c r="DW240" i="1" s="1"/>
  <c r="ER240" i="1" s="1"/>
  <c r="DT240" i="1"/>
  <c r="DR240" i="1"/>
  <c r="BE240" i="1"/>
  <c r="BF240" i="1" s="1"/>
  <c r="FO240" i="1" s="1"/>
  <c r="BD240" i="1"/>
  <c r="FP240" i="1" s="1"/>
  <c r="BA240" i="1"/>
  <c r="FN240" i="1" s="1"/>
  <c r="AO240" i="1"/>
  <c r="EI240" i="1" s="1"/>
  <c r="AM240" i="1"/>
  <c r="EH240" i="1" s="1"/>
  <c r="AK240" i="1"/>
  <c r="Y240" i="1"/>
  <c r="Z240" i="1" s="1"/>
  <c r="AA240" i="1" s="1"/>
  <c r="DY240" i="1" s="1"/>
  <c r="EC240" i="1" s="1"/>
  <c r="GH240" i="1" s="1"/>
  <c r="GD239" i="1"/>
  <c r="GB239" i="1"/>
  <c r="FZ239" i="1"/>
  <c r="FW239" i="1"/>
  <c r="FV239" i="1"/>
  <c r="FS239" i="1"/>
  <c r="FM239" i="1"/>
  <c r="FJ239" i="1"/>
  <c r="FH239" i="1"/>
  <c r="FF239" i="1"/>
  <c r="FD239" i="1"/>
  <c r="FB239" i="1"/>
  <c r="FA239" i="1"/>
  <c r="EZ239" i="1"/>
  <c r="EX239" i="1"/>
  <c r="EV239" i="1"/>
  <c r="ET239" i="1"/>
  <c r="EL239" i="1"/>
  <c r="EF239" i="1"/>
  <c r="ED239" i="1"/>
  <c r="EB239" i="1"/>
  <c r="EA239" i="1"/>
  <c r="DZ239" i="1"/>
  <c r="DV239" i="1"/>
  <c r="DW239" i="1" s="1"/>
  <c r="ER239" i="1" s="1"/>
  <c r="DT239" i="1"/>
  <c r="DR239" i="1"/>
  <c r="BE239" i="1"/>
  <c r="BF239" i="1" s="1"/>
  <c r="FO239" i="1" s="1"/>
  <c r="BD239" i="1"/>
  <c r="FP239" i="1" s="1"/>
  <c r="BA239" i="1"/>
  <c r="FN239" i="1" s="1"/>
  <c r="FQ239" i="1" s="1"/>
  <c r="AO239" i="1"/>
  <c r="EI239" i="1" s="1"/>
  <c r="AM239" i="1"/>
  <c r="EH239" i="1" s="1"/>
  <c r="AK239" i="1"/>
  <c r="AA239" i="1"/>
  <c r="DY239" i="1" s="1"/>
  <c r="EC239" i="1" s="1"/>
  <c r="GH239" i="1" s="1"/>
  <c r="Y239" i="1"/>
  <c r="Z239" i="1" s="1"/>
  <c r="GD238" i="1"/>
  <c r="GB238" i="1"/>
  <c r="FZ238" i="1"/>
  <c r="FW238" i="1"/>
  <c r="FV238" i="1"/>
  <c r="FX238" i="1" s="1"/>
  <c r="FS238" i="1"/>
  <c r="FM238" i="1"/>
  <c r="FJ238" i="1"/>
  <c r="FH238" i="1"/>
  <c r="FF238" i="1"/>
  <c r="FD238" i="1"/>
  <c r="FB238" i="1"/>
  <c r="FA238" i="1"/>
  <c r="EZ238" i="1"/>
  <c r="EX238" i="1"/>
  <c r="EV238" i="1"/>
  <c r="ET238" i="1"/>
  <c r="EL238" i="1"/>
  <c r="EF238" i="1"/>
  <c r="ED238" i="1"/>
  <c r="EB238" i="1"/>
  <c r="EA238" i="1"/>
  <c r="DZ238" i="1"/>
  <c r="DW238" i="1"/>
  <c r="ER238" i="1" s="1"/>
  <c r="DV238" i="1"/>
  <c r="DT238" i="1"/>
  <c r="DR238" i="1"/>
  <c r="BF238" i="1"/>
  <c r="FO238" i="1" s="1"/>
  <c r="BE238" i="1"/>
  <c r="BD238" i="1"/>
  <c r="FP238" i="1" s="1"/>
  <c r="BA238" i="1"/>
  <c r="FN238" i="1" s="1"/>
  <c r="AO238" i="1"/>
  <c r="EI238" i="1" s="1"/>
  <c r="AM238" i="1"/>
  <c r="EH238" i="1" s="1"/>
  <c r="AK238" i="1"/>
  <c r="Y238" i="1"/>
  <c r="Z238" i="1" s="1"/>
  <c r="AA238" i="1" s="1"/>
  <c r="DY238" i="1" s="1"/>
  <c r="EC238" i="1" s="1"/>
  <c r="GH238" i="1" s="1"/>
  <c r="GD237" i="1"/>
  <c r="GB237" i="1"/>
  <c r="FZ237" i="1"/>
  <c r="FW237" i="1"/>
  <c r="FV237" i="1"/>
  <c r="FX237" i="1" s="1"/>
  <c r="FS237" i="1"/>
  <c r="FM237" i="1"/>
  <c r="FJ237" i="1"/>
  <c r="FH237" i="1"/>
  <c r="FF237" i="1"/>
  <c r="FD237" i="1"/>
  <c r="FB237" i="1"/>
  <c r="FA237" i="1"/>
  <c r="EZ237" i="1"/>
  <c r="EX237" i="1"/>
  <c r="EV237" i="1"/>
  <c r="ET237" i="1"/>
  <c r="EL237" i="1"/>
  <c r="EF237" i="1"/>
  <c r="ED237" i="1"/>
  <c r="EB237" i="1"/>
  <c r="EA237" i="1"/>
  <c r="DZ237" i="1"/>
  <c r="DV237" i="1"/>
  <c r="DW237" i="1" s="1"/>
  <c r="ER237" i="1" s="1"/>
  <c r="DT237" i="1"/>
  <c r="DR237" i="1"/>
  <c r="BE237" i="1"/>
  <c r="BF237" i="1" s="1"/>
  <c r="FO237" i="1" s="1"/>
  <c r="BD237" i="1"/>
  <c r="FP237" i="1" s="1"/>
  <c r="BA237" i="1"/>
  <c r="FN237" i="1" s="1"/>
  <c r="FQ237" i="1" s="1"/>
  <c r="AO237" i="1"/>
  <c r="EI237" i="1" s="1"/>
  <c r="AM237" i="1"/>
  <c r="EH237" i="1" s="1"/>
  <c r="AK237" i="1"/>
  <c r="Y237" i="1"/>
  <c r="Z237" i="1" s="1"/>
  <c r="AA237" i="1" s="1"/>
  <c r="DY237" i="1" s="1"/>
  <c r="EC237" i="1" s="1"/>
  <c r="GH237" i="1" s="1"/>
  <c r="GD236" i="1"/>
  <c r="GB236" i="1"/>
  <c r="FZ236" i="1"/>
  <c r="FW236" i="1"/>
  <c r="FV236" i="1"/>
  <c r="FS236" i="1"/>
  <c r="FM236" i="1"/>
  <c r="FJ236" i="1"/>
  <c r="FH236" i="1"/>
  <c r="FF236" i="1"/>
  <c r="FD236" i="1"/>
  <c r="FB236" i="1"/>
  <c r="FA236" i="1"/>
  <c r="EZ236" i="1"/>
  <c r="EX236" i="1"/>
  <c r="EV236" i="1"/>
  <c r="ET236" i="1"/>
  <c r="EL236" i="1"/>
  <c r="EF236" i="1"/>
  <c r="ED236" i="1"/>
  <c r="EB236" i="1"/>
  <c r="EA236" i="1"/>
  <c r="DZ236" i="1"/>
  <c r="DV236" i="1"/>
  <c r="DW236" i="1" s="1"/>
  <c r="ER236" i="1" s="1"/>
  <c r="DT236" i="1"/>
  <c r="DR236" i="1"/>
  <c r="BE236" i="1"/>
  <c r="BF236" i="1" s="1"/>
  <c r="FO236" i="1" s="1"/>
  <c r="BD236" i="1"/>
  <c r="FP236" i="1" s="1"/>
  <c r="BA236" i="1"/>
  <c r="FN236" i="1" s="1"/>
  <c r="AO236" i="1"/>
  <c r="EI236" i="1" s="1"/>
  <c r="AM236" i="1"/>
  <c r="EH236" i="1" s="1"/>
  <c r="AK236" i="1"/>
  <c r="Y236" i="1"/>
  <c r="Z236" i="1" s="1"/>
  <c r="AA236" i="1" s="1"/>
  <c r="DY236" i="1" s="1"/>
  <c r="EC236" i="1" s="1"/>
  <c r="GH236" i="1" s="1"/>
  <c r="GD235" i="1"/>
  <c r="GB235" i="1"/>
  <c r="FZ235" i="1"/>
  <c r="FW235" i="1"/>
  <c r="FV235" i="1"/>
  <c r="FS235" i="1"/>
  <c r="FM235" i="1"/>
  <c r="FJ235" i="1"/>
  <c r="FH235" i="1"/>
  <c r="FF235" i="1"/>
  <c r="FD235" i="1"/>
  <c r="FB235" i="1"/>
  <c r="FA235" i="1"/>
  <c r="EZ235" i="1"/>
  <c r="EX235" i="1"/>
  <c r="EV235" i="1"/>
  <c r="ET235" i="1"/>
  <c r="EL235" i="1"/>
  <c r="EF235" i="1"/>
  <c r="ED235" i="1"/>
  <c r="EB235" i="1"/>
  <c r="EA235" i="1"/>
  <c r="DZ235" i="1"/>
  <c r="DV235" i="1"/>
  <c r="DW235" i="1" s="1"/>
  <c r="ER235" i="1" s="1"/>
  <c r="DT235" i="1"/>
  <c r="DR235" i="1"/>
  <c r="BE235" i="1"/>
  <c r="BF235" i="1" s="1"/>
  <c r="FO235" i="1" s="1"/>
  <c r="BD235" i="1"/>
  <c r="FP235" i="1" s="1"/>
  <c r="BA235" i="1"/>
  <c r="FN235" i="1" s="1"/>
  <c r="AO235" i="1"/>
  <c r="EI235" i="1" s="1"/>
  <c r="AM235" i="1"/>
  <c r="EH235" i="1" s="1"/>
  <c r="AK235" i="1"/>
  <c r="Y235" i="1"/>
  <c r="Z235" i="1" s="1"/>
  <c r="AA235" i="1" s="1"/>
  <c r="DY235" i="1" s="1"/>
  <c r="EC235" i="1" s="1"/>
  <c r="GH235" i="1" s="1"/>
  <c r="GD234" i="1"/>
  <c r="GB234" i="1"/>
  <c r="FZ234" i="1"/>
  <c r="FW234" i="1"/>
  <c r="FV234" i="1"/>
  <c r="FX234" i="1" s="1"/>
  <c r="FS234" i="1"/>
  <c r="FM234" i="1"/>
  <c r="FJ234" i="1"/>
  <c r="FH234" i="1"/>
  <c r="FF234" i="1"/>
  <c r="FD234" i="1"/>
  <c r="FB234" i="1"/>
  <c r="FA234" i="1"/>
  <c r="EZ234" i="1"/>
  <c r="EX234" i="1"/>
  <c r="EV234" i="1"/>
  <c r="ET234" i="1"/>
  <c r="EL234" i="1"/>
  <c r="EF234" i="1"/>
  <c r="ED234" i="1"/>
  <c r="EB234" i="1"/>
  <c r="EA234" i="1"/>
  <c r="DZ234" i="1"/>
  <c r="DV234" i="1"/>
  <c r="DW234" i="1" s="1"/>
  <c r="ER234" i="1" s="1"/>
  <c r="DT234" i="1"/>
  <c r="DR234" i="1"/>
  <c r="BE234" i="1"/>
  <c r="BF234" i="1" s="1"/>
  <c r="FO234" i="1" s="1"/>
  <c r="BD234" i="1"/>
  <c r="FP234" i="1" s="1"/>
  <c r="BA234" i="1"/>
  <c r="FN234" i="1" s="1"/>
  <c r="AO234" i="1"/>
  <c r="EI234" i="1" s="1"/>
  <c r="AM234" i="1"/>
  <c r="EH234" i="1" s="1"/>
  <c r="AK234" i="1"/>
  <c r="Y234" i="1"/>
  <c r="Z234" i="1" s="1"/>
  <c r="AA234" i="1" s="1"/>
  <c r="DY234" i="1" s="1"/>
  <c r="EC234" i="1" s="1"/>
  <c r="GH234" i="1" s="1"/>
  <c r="GD233" i="1"/>
  <c r="GB233" i="1"/>
  <c r="FZ233" i="1"/>
  <c r="FW233" i="1"/>
  <c r="FV233" i="1"/>
  <c r="FX233" i="1" s="1"/>
  <c r="FS233" i="1"/>
  <c r="FM233" i="1"/>
  <c r="FJ233" i="1"/>
  <c r="FH233" i="1"/>
  <c r="FF233" i="1"/>
  <c r="FD233" i="1"/>
  <c r="FB233" i="1"/>
  <c r="FA233" i="1"/>
  <c r="EZ233" i="1"/>
  <c r="EX233" i="1"/>
  <c r="EV233" i="1"/>
  <c r="ET233" i="1"/>
  <c r="EL233" i="1"/>
  <c r="EF233" i="1"/>
  <c r="ED233" i="1"/>
  <c r="EB233" i="1"/>
  <c r="EA233" i="1"/>
  <c r="DZ233" i="1"/>
  <c r="DV233" i="1"/>
  <c r="DW233" i="1" s="1"/>
  <c r="ER233" i="1" s="1"/>
  <c r="DT233" i="1"/>
  <c r="DR233" i="1"/>
  <c r="BE233" i="1"/>
  <c r="BF233" i="1" s="1"/>
  <c r="FO233" i="1" s="1"/>
  <c r="BD233" i="1"/>
  <c r="FP233" i="1" s="1"/>
  <c r="BA233" i="1"/>
  <c r="FN233" i="1" s="1"/>
  <c r="AO233" i="1"/>
  <c r="EI233" i="1" s="1"/>
  <c r="AM233" i="1"/>
  <c r="EH233" i="1" s="1"/>
  <c r="AK233" i="1"/>
  <c r="AA233" i="1"/>
  <c r="DY233" i="1" s="1"/>
  <c r="EC233" i="1" s="1"/>
  <c r="GH233" i="1" s="1"/>
  <c r="Y233" i="1"/>
  <c r="Z233" i="1" s="1"/>
  <c r="GD232" i="1"/>
  <c r="GB232" i="1"/>
  <c r="FZ232" i="1"/>
  <c r="FW232" i="1"/>
  <c r="FV232" i="1"/>
  <c r="FX232" i="1" s="1"/>
  <c r="FS232" i="1"/>
  <c r="FM232" i="1"/>
  <c r="FJ232" i="1"/>
  <c r="FH232" i="1"/>
  <c r="FF232" i="1"/>
  <c r="FD232" i="1"/>
  <c r="FB232" i="1"/>
  <c r="FA232" i="1"/>
  <c r="EZ232" i="1"/>
  <c r="EX232" i="1"/>
  <c r="EV232" i="1"/>
  <c r="ET232" i="1"/>
  <c r="EL232" i="1"/>
  <c r="EF232" i="1"/>
  <c r="ED232" i="1"/>
  <c r="EB232" i="1"/>
  <c r="EA232" i="1"/>
  <c r="DZ232" i="1"/>
  <c r="DV232" i="1"/>
  <c r="DW232" i="1" s="1"/>
  <c r="ER232" i="1" s="1"/>
  <c r="DT232" i="1"/>
  <c r="DR232" i="1"/>
  <c r="BE232" i="1"/>
  <c r="BF232" i="1" s="1"/>
  <c r="FO232" i="1" s="1"/>
  <c r="BD232" i="1"/>
  <c r="FP232" i="1" s="1"/>
  <c r="BA232" i="1"/>
  <c r="FN232" i="1" s="1"/>
  <c r="AO232" i="1"/>
  <c r="EI232" i="1" s="1"/>
  <c r="AM232" i="1"/>
  <c r="EH232" i="1" s="1"/>
  <c r="AK232" i="1"/>
  <c r="Y232" i="1"/>
  <c r="Z232" i="1" s="1"/>
  <c r="AA232" i="1" s="1"/>
  <c r="DY232" i="1" s="1"/>
  <c r="EC232" i="1" s="1"/>
  <c r="GH232" i="1" s="1"/>
  <c r="GD231" i="1"/>
  <c r="GB231" i="1"/>
  <c r="FZ231" i="1"/>
  <c r="FW231" i="1"/>
  <c r="FV231" i="1"/>
  <c r="FS231" i="1"/>
  <c r="FM231" i="1"/>
  <c r="FJ231" i="1"/>
  <c r="FH231" i="1"/>
  <c r="FF231" i="1"/>
  <c r="FD231" i="1"/>
  <c r="FB231" i="1"/>
  <c r="FA231" i="1"/>
  <c r="EZ231" i="1"/>
  <c r="EX231" i="1"/>
  <c r="EV231" i="1"/>
  <c r="ET231" i="1"/>
  <c r="EL231" i="1"/>
  <c r="EF231" i="1"/>
  <c r="ED231" i="1"/>
  <c r="EB231" i="1"/>
  <c r="EA231" i="1"/>
  <c r="DZ231" i="1"/>
  <c r="DV231" i="1"/>
  <c r="DW231" i="1" s="1"/>
  <c r="ER231" i="1" s="1"/>
  <c r="DT231" i="1"/>
  <c r="DR231" i="1"/>
  <c r="BE231" i="1"/>
  <c r="BF231" i="1" s="1"/>
  <c r="FO231" i="1" s="1"/>
  <c r="BD231" i="1"/>
  <c r="FP231" i="1" s="1"/>
  <c r="BA231" i="1"/>
  <c r="FN231" i="1" s="1"/>
  <c r="AO231" i="1"/>
  <c r="EI231" i="1" s="1"/>
  <c r="AM231" i="1"/>
  <c r="EH231" i="1" s="1"/>
  <c r="AK231" i="1"/>
  <c r="Y231" i="1"/>
  <c r="Z231" i="1" s="1"/>
  <c r="AA231" i="1" s="1"/>
  <c r="DY231" i="1" s="1"/>
  <c r="EC231" i="1" s="1"/>
  <c r="GH231" i="1" s="1"/>
  <c r="GD230" i="1"/>
  <c r="GB230" i="1"/>
  <c r="FZ230" i="1"/>
  <c r="FW230" i="1"/>
  <c r="FV230" i="1"/>
  <c r="FX230" i="1" s="1"/>
  <c r="FS230" i="1"/>
  <c r="FM230" i="1"/>
  <c r="FJ230" i="1"/>
  <c r="FH230" i="1"/>
  <c r="FF230" i="1"/>
  <c r="FD230" i="1"/>
  <c r="FB230" i="1"/>
  <c r="FA230" i="1"/>
  <c r="EZ230" i="1"/>
  <c r="EX230" i="1"/>
  <c r="EV230" i="1"/>
  <c r="ET230" i="1"/>
  <c r="EL230" i="1"/>
  <c r="EF230" i="1"/>
  <c r="ED230" i="1"/>
  <c r="EB230" i="1"/>
  <c r="EA230" i="1"/>
  <c r="DZ230" i="1"/>
  <c r="DV230" i="1"/>
  <c r="DW230" i="1" s="1"/>
  <c r="ER230" i="1" s="1"/>
  <c r="DT230" i="1"/>
  <c r="DR230" i="1"/>
  <c r="BE230" i="1"/>
  <c r="BF230" i="1" s="1"/>
  <c r="FO230" i="1" s="1"/>
  <c r="BD230" i="1"/>
  <c r="FP230" i="1" s="1"/>
  <c r="BA230" i="1"/>
  <c r="FN230" i="1" s="1"/>
  <c r="AO230" i="1"/>
  <c r="EI230" i="1" s="1"/>
  <c r="AM230" i="1"/>
  <c r="EH230" i="1" s="1"/>
  <c r="AK230" i="1"/>
  <c r="Y230" i="1"/>
  <c r="Z230" i="1" s="1"/>
  <c r="AA230" i="1" s="1"/>
  <c r="DY230" i="1" s="1"/>
  <c r="EC230" i="1" s="1"/>
  <c r="GH230" i="1" s="1"/>
  <c r="GD229" i="1"/>
  <c r="GB229" i="1"/>
  <c r="FZ229" i="1"/>
  <c r="FW229" i="1"/>
  <c r="FV229" i="1"/>
  <c r="FX229" i="1" s="1"/>
  <c r="FS229" i="1"/>
  <c r="FM229" i="1"/>
  <c r="FJ229" i="1"/>
  <c r="FH229" i="1"/>
  <c r="FF229" i="1"/>
  <c r="FD229" i="1"/>
  <c r="FB229" i="1"/>
  <c r="FA229" i="1"/>
  <c r="EZ229" i="1"/>
  <c r="EX229" i="1"/>
  <c r="EV229" i="1"/>
  <c r="ET229" i="1"/>
  <c r="EL229" i="1"/>
  <c r="EF229" i="1"/>
  <c r="ED229" i="1"/>
  <c r="EB229" i="1"/>
  <c r="EA229" i="1"/>
  <c r="DZ229" i="1"/>
  <c r="DV229" i="1"/>
  <c r="DW229" i="1" s="1"/>
  <c r="ER229" i="1" s="1"/>
  <c r="DT229" i="1"/>
  <c r="DR229" i="1"/>
  <c r="BE229" i="1"/>
  <c r="BF229" i="1" s="1"/>
  <c r="FO229" i="1" s="1"/>
  <c r="BD229" i="1"/>
  <c r="FP229" i="1" s="1"/>
  <c r="BA229" i="1"/>
  <c r="FN229" i="1" s="1"/>
  <c r="AO229" i="1"/>
  <c r="EI229" i="1" s="1"/>
  <c r="AM229" i="1"/>
  <c r="EH229" i="1" s="1"/>
  <c r="AK229" i="1"/>
  <c r="Y229" i="1"/>
  <c r="Z229" i="1" s="1"/>
  <c r="AA229" i="1" s="1"/>
  <c r="DY229" i="1" s="1"/>
  <c r="EC229" i="1" s="1"/>
  <c r="GH229" i="1" s="1"/>
  <c r="GD228" i="1"/>
  <c r="GB228" i="1"/>
  <c r="FZ228" i="1"/>
  <c r="FW228" i="1"/>
  <c r="FV228" i="1"/>
  <c r="FX228" i="1" s="1"/>
  <c r="FS228" i="1"/>
  <c r="FM228" i="1"/>
  <c r="FJ228" i="1"/>
  <c r="FH228" i="1"/>
  <c r="FF228" i="1"/>
  <c r="FD228" i="1"/>
  <c r="FB228" i="1"/>
  <c r="FA228" i="1"/>
  <c r="EZ228" i="1"/>
  <c r="EX228" i="1"/>
  <c r="EV228" i="1"/>
  <c r="ET228" i="1"/>
  <c r="EL228" i="1"/>
  <c r="EF228" i="1"/>
  <c r="ED228" i="1"/>
  <c r="EB228" i="1"/>
  <c r="EA228" i="1"/>
  <c r="DZ228" i="1"/>
  <c r="DW228" i="1"/>
  <c r="ER228" i="1" s="1"/>
  <c r="DV228" i="1"/>
  <c r="DT228" i="1"/>
  <c r="DR228" i="1"/>
  <c r="BF228" i="1"/>
  <c r="FO228" i="1" s="1"/>
  <c r="BE228" i="1"/>
  <c r="BD228" i="1"/>
  <c r="FP228" i="1" s="1"/>
  <c r="BA228" i="1"/>
  <c r="FN228" i="1" s="1"/>
  <c r="FQ228" i="1" s="1"/>
  <c r="AO228" i="1"/>
  <c r="EI228" i="1" s="1"/>
  <c r="AM228" i="1"/>
  <c r="EH228" i="1" s="1"/>
  <c r="AK228" i="1"/>
  <c r="Y228" i="1"/>
  <c r="Z228" i="1" s="1"/>
  <c r="AA228" i="1" s="1"/>
  <c r="DY228" i="1" s="1"/>
  <c r="EC228" i="1" s="1"/>
  <c r="GH228" i="1" s="1"/>
  <c r="GD227" i="1"/>
  <c r="GB227" i="1"/>
  <c r="FZ227" i="1"/>
  <c r="FW227" i="1"/>
  <c r="FV227" i="1"/>
  <c r="FX227" i="1" s="1"/>
  <c r="FS227" i="1"/>
  <c r="FM227" i="1"/>
  <c r="FJ227" i="1"/>
  <c r="FH227" i="1"/>
  <c r="FF227" i="1"/>
  <c r="FD227" i="1"/>
  <c r="FB227" i="1"/>
  <c r="FA227" i="1"/>
  <c r="EZ227" i="1"/>
  <c r="EX227" i="1"/>
  <c r="EV227" i="1"/>
  <c r="ET227" i="1"/>
  <c r="EL227" i="1"/>
  <c r="EF227" i="1"/>
  <c r="ED227" i="1"/>
  <c r="EB227" i="1"/>
  <c r="EA227" i="1"/>
  <c r="DZ227" i="1"/>
  <c r="DV227" i="1"/>
  <c r="DW227" i="1" s="1"/>
  <c r="ER227" i="1" s="1"/>
  <c r="DT227" i="1"/>
  <c r="DR227" i="1"/>
  <c r="BE227" i="1"/>
  <c r="BF227" i="1" s="1"/>
  <c r="FO227" i="1" s="1"/>
  <c r="BD227" i="1"/>
  <c r="FP227" i="1" s="1"/>
  <c r="BA227" i="1"/>
  <c r="FN227" i="1" s="1"/>
  <c r="AO227" i="1"/>
  <c r="EI227" i="1" s="1"/>
  <c r="AM227" i="1"/>
  <c r="EH227" i="1" s="1"/>
  <c r="AK227" i="1"/>
  <c r="Y227" i="1"/>
  <c r="Z227" i="1" s="1"/>
  <c r="AA227" i="1" s="1"/>
  <c r="DY227" i="1" s="1"/>
  <c r="EC227" i="1" s="1"/>
  <c r="GH227" i="1" s="1"/>
  <c r="GD226" i="1"/>
  <c r="GB226" i="1"/>
  <c r="FZ226" i="1"/>
  <c r="FW226" i="1"/>
  <c r="FV226" i="1"/>
  <c r="FX226" i="1" s="1"/>
  <c r="FS226" i="1"/>
  <c r="FM226" i="1"/>
  <c r="FJ226" i="1"/>
  <c r="FH226" i="1"/>
  <c r="FF226" i="1"/>
  <c r="FD226" i="1"/>
  <c r="FB226" i="1"/>
  <c r="FA226" i="1"/>
  <c r="EZ226" i="1"/>
  <c r="EX226" i="1"/>
  <c r="EV226" i="1"/>
  <c r="ET226" i="1"/>
  <c r="EL226" i="1"/>
  <c r="EF226" i="1"/>
  <c r="ED226" i="1"/>
  <c r="EB226" i="1"/>
  <c r="EA226" i="1"/>
  <c r="DZ226" i="1"/>
  <c r="DV226" i="1"/>
  <c r="DW226" i="1" s="1"/>
  <c r="ER226" i="1" s="1"/>
  <c r="DT226" i="1"/>
  <c r="DR226" i="1"/>
  <c r="BE226" i="1"/>
  <c r="BF226" i="1" s="1"/>
  <c r="FO226" i="1" s="1"/>
  <c r="BD226" i="1"/>
  <c r="FP226" i="1" s="1"/>
  <c r="BA226" i="1"/>
  <c r="FN226" i="1" s="1"/>
  <c r="FQ226" i="1" s="1"/>
  <c r="AO226" i="1"/>
  <c r="EI226" i="1" s="1"/>
  <c r="AM226" i="1"/>
  <c r="EH226" i="1" s="1"/>
  <c r="AK226" i="1"/>
  <c r="Y226" i="1"/>
  <c r="Z226" i="1" s="1"/>
  <c r="AA226" i="1" s="1"/>
  <c r="DY226" i="1" s="1"/>
  <c r="EC226" i="1" s="1"/>
  <c r="GH226" i="1" s="1"/>
  <c r="GD225" i="1"/>
  <c r="GB225" i="1"/>
  <c r="FZ225" i="1"/>
  <c r="FW225" i="1"/>
  <c r="FV225" i="1"/>
  <c r="FS225" i="1"/>
  <c r="FM225" i="1"/>
  <c r="FJ225" i="1"/>
  <c r="FH225" i="1"/>
  <c r="FF225" i="1"/>
  <c r="FD225" i="1"/>
  <c r="FB225" i="1"/>
  <c r="FA225" i="1"/>
  <c r="EZ225" i="1"/>
  <c r="EX225" i="1"/>
  <c r="EV225" i="1"/>
  <c r="ET225" i="1"/>
  <c r="EL225" i="1"/>
  <c r="EF225" i="1"/>
  <c r="ED225" i="1"/>
  <c r="EB225" i="1"/>
  <c r="EA225" i="1"/>
  <c r="DZ225" i="1"/>
  <c r="DV225" i="1"/>
  <c r="DW225" i="1" s="1"/>
  <c r="ER225" i="1" s="1"/>
  <c r="DT225" i="1"/>
  <c r="DR225" i="1"/>
  <c r="BE225" i="1"/>
  <c r="BF225" i="1" s="1"/>
  <c r="FO225" i="1" s="1"/>
  <c r="BD225" i="1"/>
  <c r="FP225" i="1" s="1"/>
  <c r="BA225" i="1"/>
  <c r="FN225" i="1" s="1"/>
  <c r="FQ225" i="1" s="1"/>
  <c r="AO225" i="1"/>
  <c r="EI225" i="1" s="1"/>
  <c r="AM225" i="1"/>
  <c r="EH225" i="1" s="1"/>
  <c r="AK225" i="1"/>
  <c r="Y225" i="1"/>
  <c r="Z225" i="1" s="1"/>
  <c r="AA225" i="1" s="1"/>
  <c r="DY225" i="1" s="1"/>
  <c r="EC225" i="1" s="1"/>
  <c r="GH225" i="1" s="1"/>
  <c r="GD224" i="1"/>
  <c r="GB224" i="1"/>
  <c r="FZ224" i="1"/>
  <c r="FW224" i="1"/>
  <c r="FV224" i="1"/>
  <c r="FX224" i="1" s="1"/>
  <c r="FS224" i="1"/>
  <c r="FM224" i="1"/>
  <c r="FJ224" i="1"/>
  <c r="FH224" i="1"/>
  <c r="FF224" i="1"/>
  <c r="FD224" i="1"/>
  <c r="FB224" i="1"/>
  <c r="FA224" i="1"/>
  <c r="EZ224" i="1"/>
  <c r="EX224" i="1"/>
  <c r="EV224" i="1"/>
  <c r="ET224" i="1"/>
  <c r="EL224" i="1"/>
  <c r="EF224" i="1"/>
  <c r="ED224" i="1"/>
  <c r="EB224" i="1"/>
  <c r="EA224" i="1"/>
  <c r="DZ224" i="1"/>
  <c r="DV224" i="1"/>
  <c r="DW224" i="1" s="1"/>
  <c r="ER224" i="1" s="1"/>
  <c r="DT224" i="1"/>
  <c r="DR224" i="1"/>
  <c r="BE224" i="1"/>
  <c r="BF224" i="1" s="1"/>
  <c r="FO224" i="1" s="1"/>
  <c r="BD224" i="1"/>
  <c r="FP224" i="1" s="1"/>
  <c r="BA224" i="1"/>
  <c r="FN224" i="1" s="1"/>
  <c r="AO224" i="1"/>
  <c r="EI224" i="1" s="1"/>
  <c r="AM224" i="1"/>
  <c r="EH224" i="1" s="1"/>
  <c r="AK224" i="1"/>
  <c r="Y224" i="1"/>
  <c r="Z224" i="1" s="1"/>
  <c r="AA224" i="1" s="1"/>
  <c r="DY224" i="1" s="1"/>
  <c r="EC224" i="1" s="1"/>
  <c r="GH224" i="1" s="1"/>
  <c r="GD223" i="1"/>
  <c r="GB223" i="1"/>
  <c r="FZ223" i="1"/>
  <c r="FW223" i="1"/>
  <c r="FV223" i="1"/>
  <c r="FS223" i="1"/>
  <c r="FM223" i="1"/>
  <c r="FJ223" i="1"/>
  <c r="FH223" i="1"/>
  <c r="FF223" i="1"/>
  <c r="FD223" i="1"/>
  <c r="FB223" i="1"/>
  <c r="FA223" i="1"/>
  <c r="EZ223" i="1"/>
  <c r="EX223" i="1"/>
  <c r="EV223" i="1"/>
  <c r="ET223" i="1"/>
  <c r="EL223" i="1"/>
  <c r="EF223" i="1"/>
  <c r="ED223" i="1"/>
  <c r="EB223" i="1"/>
  <c r="EA223" i="1"/>
  <c r="DZ223" i="1"/>
  <c r="DV223" i="1"/>
  <c r="DW223" i="1" s="1"/>
  <c r="ER223" i="1" s="1"/>
  <c r="DT223" i="1"/>
  <c r="DR223" i="1"/>
  <c r="BE223" i="1"/>
  <c r="BF223" i="1" s="1"/>
  <c r="FO223" i="1" s="1"/>
  <c r="BD223" i="1"/>
  <c r="FP223" i="1" s="1"/>
  <c r="BA223" i="1"/>
  <c r="FN223" i="1" s="1"/>
  <c r="FQ223" i="1" s="1"/>
  <c r="AO223" i="1"/>
  <c r="EI223" i="1" s="1"/>
  <c r="AM223" i="1"/>
  <c r="EH223" i="1" s="1"/>
  <c r="AK223" i="1"/>
  <c r="Y223" i="1"/>
  <c r="Z223" i="1" s="1"/>
  <c r="AA223" i="1" s="1"/>
  <c r="DY223" i="1" s="1"/>
  <c r="EC223" i="1" s="1"/>
  <c r="GH223" i="1" s="1"/>
  <c r="GD222" i="1"/>
  <c r="GB222" i="1"/>
  <c r="FZ222" i="1"/>
  <c r="FW222" i="1"/>
  <c r="FV222" i="1"/>
  <c r="FX222" i="1" s="1"/>
  <c r="FS222" i="1"/>
  <c r="FM222" i="1"/>
  <c r="FJ222" i="1"/>
  <c r="FH222" i="1"/>
  <c r="FF222" i="1"/>
  <c r="FD222" i="1"/>
  <c r="FB222" i="1"/>
  <c r="FA222" i="1"/>
  <c r="EZ222" i="1"/>
  <c r="EX222" i="1"/>
  <c r="EV222" i="1"/>
  <c r="ET222" i="1"/>
  <c r="EL222" i="1"/>
  <c r="EF222" i="1"/>
  <c r="ED222" i="1"/>
  <c r="EB222" i="1"/>
  <c r="EA222" i="1"/>
  <c r="DZ222" i="1"/>
  <c r="DV222" i="1"/>
  <c r="DW222" i="1" s="1"/>
  <c r="ER222" i="1" s="1"/>
  <c r="DT222" i="1"/>
  <c r="DR222" i="1"/>
  <c r="BE222" i="1"/>
  <c r="BF222" i="1" s="1"/>
  <c r="FO222" i="1" s="1"/>
  <c r="BD222" i="1"/>
  <c r="FP222" i="1" s="1"/>
  <c r="BA222" i="1"/>
  <c r="FN222" i="1" s="1"/>
  <c r="AO222" i="1"/>
  <c r="EI222" i="1" s="1"/>
  <c r="AM222" i="1"/>
  <c r="EH222" i="1" s="1"/>
  <c r="AK222" i="1"/>
  <c r="Y222" i="1"/>
  <c r="Z222" i="1" s="1"/>
  <c r="AA222" i="1" s="1"/>
  <c r="DY222" i="1" s="1"/>
  <c r="EC222" i="1" s="1"/>
  <c r="GH222" i="1" s="1"/>
  <c r="GD221" i="1"/>
  <c r="GB221" i="1"/>
  <c r="FZ221" i="1"/>
  <c r="FW221" i="1"/>
  <c r="FV221" i="1"/>
  <c r="FS221" i="1"/>
  <c r="FM221" i="1"/>
  <c r="FJ221" i="1"/>
  <c r="FH221" i="1"/>
  <c r="FF221" i="1"/>
  <c r="FD221" i="1"/>
  <c r="FB221" i="1"/>
  <c r="FA221" i="1"/>
  <c r="EZ221" i="1"/>
  <c r="EX221" i="1"/>
  <c r="EV221" i="1"/>
  <c r="ET221" i="1"/>
  <c r="EL221" i="1"/>
  <c r="EF221" i="1"/>
  <c r="ED221" i="1"/>
  <c r="EB221" i="1"/>
  <c r="EA221" i="1"/>
  <c r="DZ221" i="1"/>
  <c r="DV221" i="1"/>
  <c r="DW221" i="1" s="1"/>
  <c r="ER221" i="1" s="1"/>
  <c r="DT221" i="1"/>
  <c r="DR221" i="1"/>
  <c r="BE221" i="1"/>
  <c r="BF221" i="1" s="1"/>
  <c r="FO221" i="1" s="1"/>
  <c r="BD221" i="1"/>
  <c r="FP221" i="1" s="1"/>
  <c r="BA221" i="1"/>
  <c r="FN221" i="1" s="1"/>
  <c r="FQ221" i="1" s="1"/>
  <c r="AO221" i="1"/>
  <c r="EI221" i="1" s="1"/>
  <c r="AM221" i="1"/>
  <c r="EH221" i="1" s="1"/>
  <c r="AK221" i="1"/>
  <c r="Y221" i="1"/>
  <c r="Z221" i="1" s="1"/>
  <c r="AA221" i="1" s="1"/>
  <c r="DY221" i="1" s="1"/>
  <c r="EC221" i="1" s="1"/>
  <c r="GH221" i="1" s="1"/>
  <c r="GD220" i="1"/>
  <c r="GB220" i="1"/>
  <c r="FZ220" i="1"/>
  <c r="FW220" i="1"/>
  <c r="FV220" i="1"/>
  <c r="FX220" i="1" s="1"/>
  <c r="FS220" i="1"/>
  <c r="FM220" i="1"/>
  <c r="FJ220" i="1"/>
  <c r="FH220" i="1"/>
  <c r="FF220" i="1"/>
  <c r="FD220" i="1"/>
  <c r="FB220" i="1"/>
  <c r="FA220" i="1"/>
  <c r="EZ220" i="1"/>
  <c r="EX220" i="1"/>
  <c r="EV220" i="1"/>
  <c r="ET220" i="1"/>
  <c r="EL220" i="1"/>
  <c r="EF220" i="1"/>
  <c r="ED220" i="1"/>
  <c r="EB220" i="1"/>
  <c r="EA220" i="1"/>
  <c r="DZ220" i="1"/>
  <c r="DV220" i="1"/>
  <c r="DW220" i="1" s="1"/>
  <c r="ER220" i="1" s="1"/>
  <c r="DT220" i="1"/>
  <c r="DR220" i="1"/>
  <c r="BE220" i="1"/>
  <c r="BF220" i="1" s="1"/>
  <c r="FO220" i="1" s="1"/>
  <c r="BD220" i="1"/>
  <c r="FP220" i="1" s="1"/>
  <c r="BA220" i="1"/>
  <c r="FN220" i="1" s="1"/>
  <c r="AO220" i="1"/>
  <c r="EI220" i="1" s="1"/>
  <c r="AM220" i="1"/>
  <c r="EH220" i="1" s="1"/>
  <c r="AK220" i="1"/>
  <c r="Y220" i="1"/>
  <c r="Z220" i="1" s="1"/>
  <c r="AA220" i="1" s="1"/>
  <c r="DY220" i="1" s="1"/>
  <c r="EC220" i="1" s="1"/>
  <c r="GH220" i="1" s="1"/>
  <c r="GD219" i="1"/>
  <c r="GB219" i="1"/>
  <c r="FZ219" i="1"/>
  <c r="FW219" i="1"/>
  <c r="FV219" i="1"/>
  <c r="FX219" i="1" s="1"/>
  <c r="FS219" i="1"/>
  <c r="FM219" i="1"/>
  <c r="FJ219" i="1"/>
  <c r="FH219" i="1"/>
  <c r="FF219" i="1"/>
  <c r="FD219" i="1"/>
  <c r="FB219" i="1"/>
  <c r="FA219" i="1"/>
  <c r="EZ219" i="1"/>
  <c r="EX219" i="1"/>
  <c r="EV219" i="1"/>
  <c r="ET219" i="1"/>
  <c r="EL219" i="1"/>
  <c r="EF219" i="1"/>
  <c r="ED219" i="1"/>
  <c r="EB219" i="1"/>
  <c r="EA219" i="1"/>
  <c r="DZ219" i="1"/>
  <c r="DV219" i="1"/>
  <c r="DW219" i="1" s="1"/>
  <c r="ER219" i="1" s="1"/>
  <c r="DT219" i="1"/>
  <c r="DR219" i="1"/>
  <c r="BE219" i="1"/>
  <c r="BF219" i="1" s="1"/>
  <c r="FO219" i="1" s="1"/>
  <c r="BD219" i="1"/>
  <c r="FP219" i="1" s="1"/>
  <c r="BA219" i="1"/>
  <c r="FN219" i="1" s="1"/>
  <c r="AO219" i="1"/>
  <c r="EI219" i="1" s="1"/>
  <c r="AM219" i="1"/>
  <c r="EH219" i="1" s="1"/>
  <c r="AK219" i="1"/>
  <c r="Y219" i="1"/>
  <c r="Z219" i="1" s="1"/>
  <c r="AA219" i="1" s="1"/>
  <c r="DY219" i="1" s="1"/>
  <c r="EC219" i="1" s="1"/>
  <c r="GH219" i="1" s="1"/>
  <c r="GD218" i="1"/>
  <c r="GB218" i="1"/>
  <c r="FZ218" i="1"/>
  <c r="FW218" i="1"/>
  <c r="FV218" i="1"/>
  <c r="FX218" i="1" s="1"/>
  <c r="FS218" i="1"/>
  <c r="FM218" i="1"/>
  <c r="FJ218" i="1"/>
  <c r="FH218" i="1"/>
  <c r="FF218" i="1"/>
  <c r="FD218" i="1"/>
  <c r="FB218" i="1"/>
  <c r="FA218" i="1"/>
  <c r="EZ218" i="1"/>
  <c r="EX218" i="1"/>
  <c r="EV218" i="1"/>
  <c r="ET218" i="1"/>
  <c r="EL218" i="1"/>
  <c r="EF218" i="1"/>
  <c r="ED218" i="1"/>
  <c r="EB218" i="1"/>
  <c r="EA218" i="1"/>
  <c r="DZ218" i="1"/>
  <c r="DV218" i="1"/>
  <c r="DW218" i="1" s="1"/>
  <c r="ER218" i="1" s="1"/>
  <c r="DT218" i="1"/>
  <c r="DR218" i="1"/>
  <c r="BE218" i="1"/>
  <c r="BF218" i="1" s="1"/>
  <c r="FO218" i="1" s="1"/>
  <c r="BD218" i="1"/>
  <c r="FP218" i="1" s="1"/>
  <c r="BA218" i="1"/>
  <c r="FN218" i="1" s="1"/>
  <c r="AO218" i="1"/>
  <c r="EI218" i="1" s="1"/>
  <c r="AM218" i="1"/>
  <c r="EH218" i="1" s="1"/>
  <c r="AK218" i="1"/>
  <c r="Y218" i="1"/>
  <c r="Z218" i="1" s="1"/>
  <c r="AA218" i="1" s="1"/>
  <c r="DY218" i="1" s="1"/>
  <c r="EC218" i="1" s="1"/>
  <c r="GH218" i="1" s="1"/>
  <c r="GD217" i="1"/>
  <c r="GB217" i="1"/>
  <c r="FZ217" i="1"/>
  <c r="FW217" i="1"/>
  <c r="FV217" i="1"/>
  <c r="FX217" i="1" s="1"/>
  <c r="FS217" i="1"/>
  <c r="FM217" i="1"/>
  <c r="FJ217" i="1"/>
  <c r="FH217" i="1"/>
  <c r="FF217" i="1"/>
  <c r="FD217" i="1"/>
  <c r="FB217" i="1"/>
  <c r="FA217" i="1"/>
  <c r="EZ217" i="1"/>
  <c r="EX217" i="1"/>
  <c r="EV217" i="1"/>
  <c r="ET217" i="1"/>
  <c r="EL217" i="1"/>
  <c r="EF217" i="1"/>
  <c r="ED217" i="1"/>
  <c r="EB217" i="1"/>
  <c r="EA217" i="1"/>
  <c r="DZ217" i="1"/>
  <c r="DV217" i="1"/>
  <c r="DW217" i="1" s="1"/>
  <c r="ER217" i="1" s="1"/>
  <c r="DT217" i="1"/>
  <c r="DR217" i="1"/>
  <c r="BE217" i="1"/>
  <c r="BF217" i="1" s="1"/>
  <c r="FO217" i="1" s="1"/>
  <c r="BD217" i="1"/>
  <c r="FP217" i="1" s="1"/>
  <c r="BA217" i="1"/>
  <c r="FN217" i="1" s="1"/>
  <c r="AO217" i="1"/>
  <c r="EI217" i="1" s="1"/>
  <c r="AM217" i="1"/>
  <c r="EH217" i="1" s="1"/>
  <c r="AK217" i="1"/>
  <c r="Y217" i="1"/>
  <c r="Z217" i="1" s="1"/>
  <c r="AA217" i="1" s="1"/>
  <c r="DY217" i="1" s="1"/>
  <c r="EC217" i="1" s="1"/>
  <c r="GH217" i="1" s="1"/>
  <c r="GD216" i="1"/>
  <c r="GB216" i="1"/>
  <c r="FZ216" i="1"/>
  <c r="FW216" i="1"/>
  <c r="FV216" i="1"/>
  <c r="FX216" i="1" s="1"/>
  <c r="FS216" i="1"/>
  <c r="FM216" i="1"/>
  <c r="FJ216" i="1"/>
  <c r="FH216" i="1"/>
  <c r="FF216" i="1"/>
  <c r="FD216" i="1"/>
  <c r="FB216" i="1"/>
  <c r="FA216" i="1"/>
  <c r="EZ216" i="1"/>
  <c r="EX216" i="1"/>
  <c r="EV216" i="1"/>
  <c r="ET216" i="1"/>
  <c r="EL216" i="1"/>
  <c r="EF216" i="1"/>
  <c r="ED216" i="1"/>
  <c r="EB216" i="1"/>
  <c r="EA216" i="1"/>
  <c r="DZ216" i="1"/>
  <c r="DV216" i="1"/>
  <c r="DW216" i="1" s="1"/>
  <c r="ER216" i="1" s="1"/>
  <c r="DT216" i="1"/>
  <c r="DR216" i="1"/>
  <c r="BE216" i="1"/>
  <c r="BF216" i="1" s="1"/>
  <c r="FO216" i="1" s="1"/>
  <c r="BD216" i="1"/>
  <c r="FP216" i="1" s="1"/>
  <c r="BA216" i="1"/>
  <c r="FN216" i="1" s="1"/>
  <c r="AO216" i="1"/>
  <c r="EI216" i="1" s="1"/>
  <c r="AM216" i="1"/>
  <c r="EH216" i="1" s="1"/>
  <c r="AK216" i="1"/>
  <c r="Y216" i="1"/>
  <c r="Z216" i="1" s="1"/>
  <c r="AA216" i="1" s="1"/>
  <c r="DY216" i="1" s="1"/>
  <c r="EC216" i="1" s="1"/>
  <c r="GH216" i="1" s="1"/>
  <c r="GD215" i="1"/>
  <c r="GB215" i="1"/>
  <c r="FZ215" i="1"/>
  <c r="FW215" i="1"/>
  <c r="FV215" i="1"/>
  <c r="FX215" i="1" s="1"/>
  <c r="FS215" i="1"/>
  <c r="FM215" i="1"/>
  <c r="FJ215" i="1"/>
  <c r="FH215" i="1"/>
  <c r="FF215" i="1"/>
  <c r="FD215" i="1"/>
  <c r="FB215" i="1"/>
  <c r="FA215" i="1"/>
  <c r="EZ215" i="1"/>
  <c r="EX215" i="1"/>
  <c r="EV215" i="1"/>
  <c r="ET215" i="1"/>
  <c r="EL215" i="1"/>
  <c r="EF215" i="1"/>
  <c r="ED215" i="1"/>
  <c r="EB215" i="1"/>
  <c r="EA215" i="1"/>
  <c r="DZ215" i="1"/>
  <c r="DW215" i="1"/>
  <c r="ER215" i="1" s="1"/>
  <c r="DV215" i="1"/>
  <c r="DT215" i="1"/>
  <c r="DR215" i="1"/>
  <c r="BF215" i="1"/>
  <c r="FO215" i="1" s="1"/>
  <c r="BE215" i="1"/>
  <c r="BD215" i="1"/>
  <c r="FP215" i="1" s="1"/>
  <c r="BA215" i="1"/>
  <c r="FN215" i="1" s="1"/>
  <c r="FQ215" i="1" s="1"/>
  <c r="AO215" i="1"/>
  <c r="EI215" i="1" s="1"/>
  <c r="AM215" i="1"/>
  <c r="EH215" i="1" s="1"/>
  <c r="AK215" i="1"/>
  <c r="Z215" i="1"/>
  <c r="AA215" i="1" s="1"/>
  <c r="DY215" i="1" s="1"/>
  <c r="EC215" i="1" s="1"/>
  <c r="GH215" i="1" s="1"/>
  <c r="Y215" i="1"/>
  <c r="GD214" i="1"/>
  <c r="GB214" i="1"/>
  <c r="FZ214" i="1"/>
  <c r="FW214" i="1"/>
  <c r="FV214" i="1"/>
  <c r="FX214" i="1" s="1"/>
  <c r="FS214" i="1"/>
  <c r="FM214" i="1"/>
  <c r="FJ214" i="1"/>
  <c r="FH214" i="1"/>
  <c r="FF214" i="1"/>
  <c r="FD214" i="1"/>
  <c r="FB214" i="1"/>
  <c r="FA214" i="1"/>
  <c r="EZ214" i="1"/>
  <c r="EX214" i="1"/>
  <c r="EV214" i="1"/>
  <c r="ET214" i="1"/>
  <c r="EL214" i="1"/>
  <c r="EF214" i="1"/>
  <c r="ED214" i="1"/>
  <c r="EB214" i="1"/>
  <c r="EA214" i="1"/>
  <c r="DZ214" i="1"/>
  <c r="DV214" i="1"/>
  <c r="DW214" i="1" s="1"/>
  <c r="ER214" i="1" s="1"/>
  <c r="DT214" i="1"/>
  <c r="DR214" i="1"/>
  <c r="BE214" i="1"/>
  <c r="BF214" i="1" s="1"/>
  <c r="FO214" i="1" s="1"/>
  <c r="BD214" i="1"/>
  <c r="FP214" i="1" s="1"/>
  <c r="BA214" i="1"/>
  <c r="FN214" i="1" s="1"/>
  <c r="AO214" i="1"/>
  <c r="EI214" i="1" s="1"/>
  <c r="AM214" i="1"/>
  <c r="EH214" i="1" s="1"/>
  <c r="AK214" i="1"/>
  <c r="Y214" i="1"/>
  <c r="Z214" i="1" s="1"/>
  <c r="AA214" i="1" s="1"/>
  <c r="DY214" i="1" s="1"/>
  <c r="EC214" i="1" s="1"/>
  <c r="GH214" i="1" s="1"/>
  <c r="GD213" i="1"/>
  <c r="GB213" i="1"/>
  <c r="FZ213" i="1"/>
  <c r="FW213" i="1"/>
  <c r="FV213" i="1"/>
  <c r="FX213" i="1" s="1"/>
  <c r="FS213" i="1"/>
  <c r="FM213" i="1"/>
  <c r="FJ213" i="1"/>
  <c r="FH213" i="1"/>
  <c r="FF213" i="1"/>
  <c r="FD213" i="1"/>
  <c r="FB213" i="1"/>
  <c r="FA213" i="1"/>
  <c r="EZ213" i="1"/>
  <c r="EX213" i="1"/>
  <c r="EV213" i="1"/>
  <c r="ET213" i="1"/>
  <c r="EL213" i="1"/>
  <c r="EF213" i="1"/>
  <c r="ED213" i="1"/>
  <c r="EB213" i="1"/>
  <c r="EA213" i="1"/>
  <c r="DZ213" i="1"/>
  <c r="DW213" i="1"/>
  <c r="ER213" i="1" s="1"/>
  <c r="DV213" i="1"/>
  <c r="DT213" i="1"/>
  <c r="DR213" i="1"/>
  <c r="BF213" i="1"/>
  <c r="FO213" i="1" s="1"/>
  <c r="BE213" i="1"/>
  <c r="BD213" i="1"/>
  <c r="FP213" i="1" s="1"/>
  <c r="BA213" i="1"/>
  <c r="FN213" i="1" s="1"/>
  <c r="AO213" i="1"/>
  <c r="EI213" i="1" s="1"/>
  <c r="AM213" i="1"/>
  <c r="EH213" i="1" s="1"/>
  <c r="AK213" i="1"/>
  <c r="Y213" i="1"/>
  <c r="Z213" i="1" s="1"/>
  <c r="AA213" i="1" s="1"/>
  <c r="DY213" i="1" s="1"/>
  <c r="EC213" i="1" s="1"/>
  <c r="GH213" i="1" s="1"/>
  <c r="GD212" i="1"/>
  <c r="GB212" i="1"/>
  <c r="FZ212" i="1"/>
  <c r="FW212" i="1"/>
  <c r="FV212" i="1"/>
  <c r="FX212" i="1" s="1"/>
  <c r="FS212" i="1"/>
  <c r="FM212" i="1"/>
  <c r="FJ212" i="1"/>
  <c r="FH212" i="1"/>
  <c r="FF212" i="1"/>
  <c r="FD212" i="1"/>
  <c r="FB212" i="1"/>
  <c r="FA212" i="1"/>
  <c r="EZ212" i="1"/>
  <c r="EX212" i="1"/>
  <c r="EV212" i="1"/>
  <c r="ET212" i="1"/>
  <c r="EL212" i="1"/>
  <c r="EF212" i="1"/>
  <c r="ED212" i="1"/>
  <c r="EB212" i="1"/>
  <c r="EA212" i="1"/>
  <c r="DZ212" i="1"/>
  <c r="DV212" i="1"/>
  <c r="DW212" i="1" s="1"/>
  <c r="ER212" i="1" s="1"/>
  <c r="DT212" i="1"/>
  <c r="DR212" i="1"/>
  <c r="BE212" i="1"/>
  <c r="BF212" i="1" s="1"/>
  <c r="FO212" i="1" s="1"/>
  <c r="BD212" i="1"/>
  <c r="FP212" i="1" s="1"/>
  <c r="BA212" i="1"/>
  <c r="FN212" i="1" s="1"/>
  <c r="AO212" i="1"/>
  <c r="EI212" i="1" s="1"/>
  <c r="AM212" i="1"/>
  <c r="EH212" i="1" s="1"/>
  <c r="AK212" i="1"/>
  <c r="Z212" i="1"/>
  <c r="AA212" i="1" s="1"/>
  <c r="DY212" i="1" s="1"/>
  <c r="EC212" i="1" s="1"/>
  <c r="GH212" i="1" s="1"/>
  <c r="Y212" i="1"/>
  <c r="GD211" i="1"/>
  <c r="GB211" i="1"/>
  <c r="FZ211" i="1"/>
  <c r="FW211" i="1"/>
  <c r="FV211" i="1"/>
  <c r="FX211" i="1" s="1"/>
  <c r="FS211" i="1"/>
  <c r="FM211" i="1"/>
  <c r="FJ211" i="1"/>
  <c r="FH211" i="1"/>
  <c r="FF211" i="1"/>
  <c r="FD211" i="1"/>
  <c r="FB211" i="1"/>
  <c r="FA211" i="1"/>
  <c r="EZ211" i="1"/>
  <c r="EX211" i="1"/>
  <c r="EV211" i="1"/>
  <c r="ET211" i="1"/>
  <c r="EL211" i="1"/>
  <c r="EF211" i="1"/>
  <c r="ED211" i="1"/>
  <c r="EB211" i="1"/>
  <c r="EA211" i="1"/>
  <c r="DZ211" i="1"/>
  <c r="DW211" i="1"/>
  <c r="ER211" i="1" s="1"/>
  <c r="DV211" i="1"/>
  <c r="DT211" i="1"/>
  <c r="DR211" i="1"/>
  <c r="BF211" i="1"/>
  <c r="FO211" i="1" s="1"/>
  <c r="BE211" i="1"/>
  <c r="BD211" i="1"/>
  <c r="FP211" i="1" s="1"/>
  <c r="BA211" i="1"/>
  <c r="FN211" i="1" s="1"/>
  <c r="AO211" i="1"/>
  <c r="EI211" i="1" s="1"/>
  <c r="AM211" i="1"/>
  <c r="EH211" i="1" s="1"/>
  <c r="AK211" i="1"/>
  <c r="AA211" i="1"/>
  <c r="DY211" i="1" s="1"/>
  <c r="EC211" i="1" s="1"/>
  <c r="GH211" i="1" s="1"/>
  <c r="Z211" i="1"/>
  <c r="Y211" i="1"/>
  <c r="GD210" i="1"/>
  <c r="GB210" i="1"/>
  <c r="FZ210" i="1"/>
  <c r="FW210" i="1"/>
  <c r="FV210" i="1"/>
  <c r="FX210" i="1" s="1"/>
  <c r="FS210" i="1"/>
  <c r="FM210" i="1"/>
  <c r="FJ210" i="1"/>
  <c r="FH210" i="1"/>
  <c r="FF210" i="1"/>
  <c r="FD210" i="1"/>
  <c r="FB210" i="1"/>
  <c r="FA210" i="1"/>
  <c r="EZ210" i="1"/>
  <c r="EX210" i="1"/>
  <c r="EV210" i="1"/>
  <c r="ET210" i="1"/>
  <c r="EL210" i="1"/>
  <c r="EF210" i="1"/>
  <c r="ED210" i="1"/>
  <c r="EB210" i="1"/>
  <c r="EA210" i="1"/>
  <c r="DZ210" i="1"/>
  <c r="DV210" i="1"/>
  <c r="DW210" i="1" s="1"/>
  <c r="ER210" i="1" s="1"/>
  <c r="DT210" i="1"/>
  <c r="DR210" i="1"/>
  <c r="BE210" i="1"/>
  <c r="BF210" i="1" s="1"/>
  <c r="FO210" i="1" s="1"/>
  <c r="BD210" i="1"/>
  <c r="FP210" i="1" s="1"/>
  <c r="BA210" i="1"/>
  <c r="FN210" i="1" s="1"/>
  <c r="AO210" i="1"/>
  <c r="EI210" i="1" s="1"/>
  <c r="AM210" i="1"/>
  <c r="EH210" i="1" s="1"/>
  <c r="AK210" i="1"/>
  <c r="Y210" i="1"/>
  <c r="Z210" i="1" s="1"/>
  <c r="AA210" i="1" s="1"/>
  <c r="DY210" i="1" s="1"/>
  <c r="EC210" i="1" s="1"/>
  <c r="GH210" i="1" s="1"/>
  <c r="GD209" i="1"/>
  <c r="GB209" i="1"/>
  <c r="FZ209" i="1"/>
  <c r="FW209" i="1"/>
  <c r="FV209" i="1"/>
  <c r="FX209" i="1" s="1"/>
  <c r="FS209" i="1"/>
  <c r="FM209" i="1"/>
  <c r="FJ209" i="1"/>
  <c r="FH209" i="1"/>
  <c r="FF209" i="1"/>
  <c r="FD209" i="1"/>
  <c r="FB209" i="1"/>
  <c r="FA209" i="1"/>
  <c r="EZ209" i="1"/>
  <c r="EX209" i="1"/>
  <c r="EV209" i="1"/>
  <c r="ET209" i="1"/>
  <c r="EL209" i="1"/>
  <c r="EF209" i="1"/>
  <c r="ED209" i="1"/>
  <c r="EB209" i="1"/>
  <c r="EA209" i="1"/>
  <c r="DZ209" i="1"/>
  <c r="DV209" i="1"/>
  <c r="DW209" i="1" s="1"/>
  <c r="ER209" i="1" s="1"/>
  <c r="DT209" i="1"/>
  <c r="DR209" i="1"/>
  <c r="BE209" i="1"/>
  <c r="BF209" i="1" s="1"/>
  <c r="FO209" i="1" s="1"/>
  <c r="BD209" i="1"/>
  <c r="FP209" i="1" s="1"/>
  <c r="BA209" i="1"/>
  <c r="FN209" i="1" s="1"/>
  <c r="AO209" i="1"/>
  <c r="EI209" i="1" s="1"/>
  <c r="AM209" i="1"/>
  <c r="EH209" i="1" s="1"/>
  <c r="AK209" i="1"/>
  <c r="Y209" i="1"/>
  <c r="Z209" i="1" s="1"/>
  <c r="AA209" i="1" s="1"/>
  <c r="DY209" i="1" s="1"/>
  <c r="EC209" i="1" s="1"/>
  <c r="GH209" i="1" s="1"/>
  <c r="GD208" i="1"/>
  <c r="GB208" i="1"/>
  <c r="FZ208" i="1"/>
  <c r="FW208" i="1"/>
  <c r="FV208" i="1"/>
  <c r="FX208" i="1" s="1"/>
  <c r="FS208" i="1"/>
  <c r="FM208" i="1"/>
  <c r="FJ208" i="1"/>
  <c r="FH208" i="1"/>
  <c r="FF208" i="1"/>
  <c r="FD208" i="1"/>
  <c r="FB208" i="1"/>
  <c r="FA208" i="1"/>
  <c r="EZ208" i="1"/>
  <c r="EX208" i="1"/>
  <c r="EV208" i="1"/>
  <c r="ET208" i="1"/>
  <c r="EL208" i="1"/>
  <c r="EF208" i="1"/>
  <c r="ED208" i="1"/>
  <c r="EB208" i="1"/>
  <c r="EA208" i="1"/>
  <c r="DZ208" i="1"/>
  <c r="DV208" i="1"/>
  <c r="DW208" i="1" s="1"/>
  <c r="ER208" i="1" s="1"/>
  <c r="DT208" i="1"/>
  <c r="DR208" i="1"/>
  <c r="BE208" i="1"/>
  <c r="BF208" i="1" s="1"/>
  <c r="FO208" i="1" s="1"/>
  <c r="BD208" i="1"/>
  <c r="FP208" i="1" s="1"/>
  <c r="BA208" i="1"/>
  <c r="FN208" i="1" s="1"/>
  <c r="AO208" i="1"/>
  <c r="EI208" i="1" s="1"/>
  <c r="AM208" i="1"/>
  <c r="EH208" i="1" s="1"/>
  <c r="AK208" i="1"/>
  <c r="Y208" i="1"/>
  <c r="Z208" i="1" s="1"/>
  <c r="AA208" i="1" s="1"/>
  <c r="DY208" i="1" s="1"/>
  <c r="EC208" i="1" s="1"/>
  <c r="GH208" i="1" s="1"/>
  <c r="GD207" i="1"/>
  <c r="GB207" i="1"/>
  <c r="FZ207" i="1"/>
  <c r="FW207" i="1"/>
  <c r="FV207" i="1"/>
  <c r="FX207" i="1" s="1"/>
  <c r="FS207" i="1"/>
  <c r="FM207" i="1"/>
  <c r="FJ207" i="1"/>
  <c r="FH207" i="1"/>
  <c r="FF207" i="1"/>
  <c r="FD207" i="1"/>
  <c r="FB207" i="1"/>
  <c r="FA207" i="1"/>
  <c r="EZ207" i="1"/>
  <c r="EX207" i="1"/>
  <c r="EV207" i="1"/>
  <c r="ET207" i="1"/>
  <c r="EL207" i="1"/>
  <c r="EF207" i="1"/>
  <c r="ED207" i="1"/>
  <c r="EB207" i="1"/>
  <c r="EA207" i="1"/>
  <c r="DZ207" i="1"/>
  <c r="DW207" i="1"/>
  <c r="ER207" i="1" s="1"/>
  <c r="DV207" i="1"/>
  <c r="DT207" i="1"/>
  <c r="DR207" i="1"/>
  <c r="BF207" i="1"/>
  <c r="FO207" i="1" s="1"/>
  <c r="BE207" i="1"/>
  <c r="BD207" i="1"/>
  <c r="FP207" i="1" s="1"/>
  <c r="BA207" i="1"/>
  <c r="FN207" i="1" s="1"/>
  <c r="FQ207" i="1" s="1"/>
  <c r="AO207" i="1"/>
  <c r="EI207" i="1" s="1"/>
  <c r="AM207" i="1"/>
  <c r="EH207" i="1" s="1"/>
  <c r="AK207" i="1"/>
  <c r="Z207" i="1"/>
  <c r="AA207" i="1" s="1"/>
  <c r="DY207" i="1" s="1"/>
  <c r="EC207" i="1" s="1"/>
  <c r="GH207" i="1" s="1"/>
  <c r="Y207" i="1"/>
  <c r="GD206" i="1"/>
  <c r="GB206" i="1"/>
  <c r="FZ206" i="1"/>
  <c r="FW206" i="1"/>
  <c r="FV206" i="1"/>
  <c r="FX206" i="1" s="1"/>
  <c r="FS206" i="1"/>
  <c r="FM206" i="1"/>
  <c r="FJ206" i="1"/>
  <c r="FH206" i="1"/>
  <c r="FF206" i="1"/>
  <c r="FD206" i="1"/>
  <c r="FB206" i="1"/>
  <c r="FA206" i="1"/>
  <c r="EZ206" i="1"/>
  <c r="EX206" i="1"/>
  <c r="EV206" i="1"/>
  <c r="ET206" i="1"/>
  <c r="EL206" i="1"/>
  <c r="EF206" i="1"/>
  <c r="ED206" i="1"/>
  <c r="EB206" i="1"/>
  <c r="EA206" i="1"/>
  <c r="DZ206" i="1"/>
  <c r="DV206" i="1"/>
  <c r="DW206" i="1" s="1"/>
  <c r="ER206" i="1" s="1"/>
  <c r="DT206" i="1"/>
  <c r="DR206" i="1"/>
  <c r="BE206" i="1"/>
  <c r="BF206" i="1" s="1"/>
  <c r="FO206" i="1" s="1"/>
  <c r="BD206" i="1"/>
  <c r="FP206" i="1" s="1"/>
  <c r="BA206" i="1"/>
  <c r="FN206" i="1" s="1"/>
  <c r="AO206" i="1"/>
  <c r="EI206" i="1" s="1"/>
  <c r="AM206" i="1"/>
  <c r="EH206" i="1" s="1"/>
  <c r="AK206" i="1"/>
  <c r="Y206" i="1"/>
  <c r="Z206" i="1" s="1"/>
  <c r="AA206" i="1" s="1"/>
  <c r="DY206" i="1" s="1"/>
  <c r="EC206" i="1" s="1"/>
  <c r="GH206" i="1" s="1"/>
  <c r="GD205" i="1"/>
  <c r="GB205" i="1"/>
  <c r="FZ205" i="1"/>
  <c r="FW205" i="1"/>
  <c r="FV205" i="1"/>
  <c r="FX205" i="1" s="1"/>
  <c r="FS205" i="1"/>
  <c r="FM205" i="1"/>
  <c r="FJ205" i="1"/>
  <c r="FH205" i="1"/>
  <c r="FF205" i="1"/>
  <c r="FD205" i="1"/>
  <c r="FB205" i="1"/>
  <c r="FA205" i="1"/>
  <c r="EZ205" i="1"/>
  <c r="EX205" i="1"/>
  <c r="EV205" i="1"/>
  <c r="ET205" i="1"/>
  <c r="EL205" i="1"/>
  <c r="EF205" i="1"/>
  <c r="ED205" i="1"/>
  <c r="EB205" i="1"/>
  <c r="EA205" i="1"/>
  <c r="DZ205" i="1"/>
  <c r="DV205" i="1"/>
  <c r="DW205" i="1" s="1"/>
  <c r="ER205" i="1" s="1"/>
  <c r="DT205" i="1"/>
  <c r="DR205" i="1"/>
  <c r="BE205" i="1"/>
  <c r="BF205" i="1" s="1"/>
  <c r="FO205" i="1" s="1"/>
  <c r="BD205" i="1"/>
  <c r="FP205" i="1" s="1"/>
  <c r="BA205" i="1"/>
  <c r="FN205" i="1" s="1"/>
  <c r="FQ205" i="1" s="1"/>
  <c r="AO205" i="1"/>
  <c r="EI205" i="1" s="1"/>
  <c r="AM205" i="1"/>
  <c r="EH205" i="1" s="1"/>
  <c r="AK205" i="1"/>
  <c r="Y205" i="1"/>
  <c r="Z205" i="1" s="1"/>
  <c r="AA205" i="1" s="1"/>
  <c r="DY205" i="1" s="1"/>
  <c r="EC205" i="1" s="1"/>
  <c r="GH205" i="1" s="1"/>
  <c r="GD204" i="1"/>
  <c r="GB204" i="1"/>
  <c r="FZ204" i="1"/>
  <c r="FW204" i="1"/>
  <c r="FV204" i="1"/>
  <c r="FX204" i="1" s="1"/>
  <c r="FS204" i="1"/>
  <c r="FM204" i="1"/>
  <c r="FJ204" i="1"/>
  <c r="FH204" i="1"/>
  <c r="FF204" i="1"/>
  <c r="FD204" i="1"/>
  <c r="FB204" i="1"/>
  <c r="FA204" i="1"/>
  <c r="EZ204" i="1"/>
  <c r="EX204" i="1"/>
  <c r="EV204" i="1"/>
  <c r="ET204" i="1"/>
  <c r="EL204" i="1"/>
  <c r="EF204" i="1"/>
  <c r="ED204" i="1"/>
  <c r="EB204" i="1"/>
  <c r="EA204" i="1"/>
  <c r="DZ204" i="1"/>
  <c r="DW204" i="1"/>
  <c r="ER204" i="1" s="1"/>
  <c r="DV204" i="1"/>
  <c r="DT204" i="1"/>
  <c r="DR204" i="1"/>
  <c r="BF204" i="1"/>
  <c r="FO204" i="1" s="1"/>
  <c r="BE204" i="1"/>
  <c r="BD204" i="1"/>
  <c r="FP204" i="1" s="1"/>
  <c r="BA204" i="1"/>
  <c r="FN204" i="1" s="1"/>
  <c r="AO204" i="1"/>
  <c r="EI204" i="1" s="1"/>
  <c r="AM204" i="1"/>
  <c r="EH204" i="1" s="1"/>
  <c r="AK204" i="1"/>
  <c r="Y204" i="1"/>
  <c r="Z204" i="1" s="1"/>
  <c r="AA204" i="1" s="1"/>
  <c r="DY204" i="1" s="1"/>
  <c r="EC204" i="1" s="1"/>
  <c r="GH204" i="1" s="1"/>
  <c r="GD203" i="1"/>
  <c r="GB203" i="1"/>
  <c r="FZ203" i="1"/>
  <c r="FW203" i="1"/>
  <c r="FV203" i="1"/>
  <c r="FX203" i="1" s="1"/>
  <c r="FS203" i="1"/>
  <c r="FM203" i="1"/>
  <c r="FJ203" i="1"/>
  <c r="FH203" i="1"/>
  <c r="FF203" i="1"/>
  <c r="FD203" i="1"/>
  <c r="FB203" i="1"/>
  <c r="FA203" i="1"/>
  <c r="EZ203" i="1"/>
  <c r="EX203" i="1"/>
  <c r="EV203" i="1"/>
  <c r="ET203" i="1"/>
  <c r="EL203" i="1"/>
  <c r="EF203" i="1"/>
  <c r="ED203" i="1"/>
  <c r="EB203" i="1"/>
  <c r="EA203" i="1"/>
  <c r="DZ203" i="1"/>
  <c r="DW203" i="1"/>
  <c r="ER203" i="1" s="1"/>
  <c r="DV203" i="1"/>
  <c r="DT203" i="1"/>
  <c r="DR203" i="1"/>
  <c r="BF203" i="1"/>
  <c r="FO203" i="1" s="1"/>
  <c r="BE203" i="1"/>
  <c r="BD203" i="1"/>
  <c r="FP203" i="1" s="1"/>
  <c r="BA203" i="1"/>
  <c r="FN203" i="1" s="1"/>
  <c r="AO203" i="1"/>
  <c r="EI203" i="1" s="1"/>
  <c r="AM203" i="1"/>
  <c r="EH203" i="1" s="1"/>
  <c r="AK203" i="1"/>
  <c r="AA203" i="1"/>
  <c r="DY203" i="1" s="1"/>
  <c r="EC203" i="1" s="1"/>
  <c r="GH203" i="1" s="1"/>
  <c r="Z203" i="1"/>
  <c r="Y203" i="1"/>
  <c r="GD202" i="1"/>
  <c r="GB202" i="1"/>
  <c r="FZ202" i="1"/>
  <c r="FW202" i="1"/>
  <c r="FV202" i="1"/>
  <c r="FX202" i="1" s="1"/>
  <c r="FS202" i="1"/>
  <c r="FM202" i="1"/>
  <c r="FJ202" i="1"/>
  <c r="FH202" i="1"/>
  <c r="FF202" i="1"/>
  <c r="FD202" i="1"/>
  <c r="FB202" i="1"/>
  <c r="FA202" i="1"/>
  <c r="EZ202" i="1"/>
  <c r="EX202" i="1"/>
  <c r="EV202" i="1"/>
  <c r="ET202" i="1"/>
  <c r="EL202" i="1"/>
  <c r="EF202" i="1"/>
  <c r="ED202" i="1"/>
  <c r="EB202" i="1"/>
  <c r="EA202" i="1"/>
  <c r="DZ202" i="1"/>
  <c r="DV202" i="1"/>
  <c r="DW202" i="1" s="1"/>
  <c r="ER202" i="1" s="1"/>
  <c r="DT202" i="1"/>
  <c r="DR202" i="1"/>
  <c r="BE202" i="1"/>
  <c r="BF202" i="1" s="1"/>
  <c r="FO202" i="1" s="1"/>
  <c r="BD202" i="1"/>
  <c r="FP202" i="1" s="1"/>
  <c r="BA202" i="1"/>
  <c r="FN202" i="1" s="1"/>
  <c r="AO202" i="1"/>
  <c r="EI202" i="1" s="1"/>
  <c r="AM202" i="1"/>
  <c r="EH202" i="1" s="1"/>
  <c r="AK202" i="1"/>
  <c r="Y202" i="1"/>
  <c r="Z202" i="1" s="1"/>
  <c r="AA202" i="1" s="1"/>
  <c r="DY202" i="1" s="1"/>
  <c r="EC202" i="1" s="1"/>
  <c r="GH202" i="1" s="1"/>
  <c r="GD201" i="1"/>
  <c r="GB201" i="1"/>
  <c r="FZ201" i="1"/>
  <c r="FW201" i="1"/>
  <c r="FV201" i="1"/>
  <c r="FX201" i="1" s="1"/>
  <c r="FS201" i="1"/>
  <c r="FM201" i="1"/>
  <c r="FJ201" i="1"/>
  <c r="FH201" i="1"/>
  <c r="FF201" i="1"/>
  <c r="FD201" i="1"/>
  <c r="FB201" i="1"/>
  <c r="FA201" i="1"/>
  <c r="EZ201" i="1"/>
  <c r="EX201" i="1"/>
  <c r="EV201" i="1"/>
  <c r="ET201" i="1"/>
  <c r="EL201" i="1"/>
  <c r="EF201" i="1"/>
  <c r="ED201" i="1"/>
  <c r="EB201" i="1"/>
  <c r="EA201" i="1"/>
  <c r="DZ201" i="1"/>
  <c r="DV201" i="1"/>
  <c r="DW201" i="1" s="1"/>
  <c r="ER201" i="1" s="1"/>
  <c r="DT201" i="1"/>
  <c r="DR201" i="1"/>
  <c r="BE201" i="1"/>
  <c r="BF201" i="1" s="1"/>
  <c r="FO201" i="1" s="1"/>
  <c r="BD201" i="1"/>
  <c r="FP201" i="1" s="1"/>
  <c r="BA201" i="1"/>
  <c r="FN201" i="1" s="1"/>
  <c r="AO201" i="1"/>
  <c r="EI201" i="1" s="1"/>
  <c r="AM201" i="1"/>
  <c r="EH201" i="1" s="1"/>
  <c r="AK201" i="1"/>
  <c r="Y201" i="1"/>
  <c r="Z201" i="1" s="1"/>
  <c r="AA201" i="1" s="1"/>
  <c r="DY201" i="1" s="1"/>
  <c r="EC201" i="1" s="1"/>
  <c r="GH201" i="1" s="1"/>
  <c r="GD200" i="1"/>
  <c r="GB200" i="1"/>
  <c r="FZ200" i="1"/>
  <c r="FW200" i="1"/>
  <c r="FV200" i="1"/>
  <c r="FX200" i="1" s="1"/>
  <c r="FS200" i="1"/>
  <c r="FM200" i="1"/>
  <c r="FJ200" i="1"/>
  <c r="FH200" i="1"/>
  <c r="FF200" i="1"/>
  <c r="FD200" i="1"/>
  <c r="FB200" i="1"/>
  <c r="FA200" i="1"/>
  <c r="EZ200" i="1"/>
  <c r="EX200" i="1"/>
  <c r="EV200" i="1"/>
  <c r="ET200" i="1"/>
  <c r="EL200" i="1"/>
  <c r="EF200" i="1"/>
  <c r="ED200" i="1"/>
  <c r="EB200" i="1"/>
  <c r="EA200" i="1"/>
  <c r="DZ200" i="1"/>
  <c r="DV200" i="1"/>
  <c r="DW200" i="1" s="1"/>
  <c r="ER200" i="1" s="1"/>
  <c r="DT200" i="1"/>
  <c r="DR200" i="1"/>
  <c r="BE200" i="1"/>
  <c r="BF200" i="1" s="1"/>
  <c r="FO200" i="1" s="1"/>
  <c r="BD200" i="1"/>
  <c r="FP200" i="1" s="1"/>
  <c r="BA200" i="1"/>
  <c r="FN200" i="1" s="1"/>
  <c r="AO200" i="1"/>
  <c r="EI200" i="1" s="1"/>
  <c r="AM200" i="1"/>
  <c r="EH200" i="1" s="1"/>
  <c r="AK200" i="1"/>
  <c r="Z200" i="1"/>
  <c r="AA200" i="1" s="1"/>
  <c r="DY200" i="1" s="1"/>
  <c r="EC200" i="1" s="1"/>
  <c r="GH200" i="1" s="1"/>
  <c r="Y200" i="1"/>
  <c r="GD199" i="1"/>
  <c r="GB199" i="1"/>
  <c r="FZ199" i="1"/>
  <c r="FW199" i="1"/>
  <c r="FV199" i="1"/>
  <c r="FX199" i="1" s="1"/>
  <c r="FS199" i="1"/>
  <c r="FM199" i="1"/>
  <c r="FJ199" i="1"/>
  <c r="FH199" i="1"/>
  <c r="FF199" i="1"/>
  <c r="FD199" i="1"/>
  <c r="FB199" i="1"/>
  <c r="FA199" i="1"/>
  <c r="EZ199" i="1"/>
  <c r="EX199" i="1"/>
  <c r="EV199" i="1"/>
  <c r="ET199" i="1"/>
  <c r="EL199" i="1"/>
  <c r="EF199" i="1"/>
  <c r="ED199" i="1"/>
  <c r="EB199" i="1"/>
  <c r="EA199" i="1"/>
  <c r="DZ199" i="1"/>
  <c r="DW199" i="1"/>
  <c r="ER199" i="1" s="1"/>
  <c r="DV199" i="1"/>
  <c r="DT199" i="1"/>
  <c r="DR199" i="1"/>
  <c r="BF199" i="1"/>
  <c r="FO199" i="1" s="1"/>
  <c r="BE199" i="1"/>
  <c r="BD199" i="1"/>
  <c r="FP199" i="1" s="1"/>
  <c r="BA199" i="1"/>
  <c r="FN199" i="1" s="1"/>
  <c r="AO199" i="1"/>
  <c r="EI199" i="1" s="1"/>
  <c r="AM199" i="1"/>
  <c r="EH199" i="1" s="1"/>
  <c r="AK199" i="1"/>
  <c r="Z199" i="1"/>
  <c r="AA199" i="1" s="1"/>
  <c r="DY199" i="1" s="1"/>
  <c r="EC199" i="1" s="1"/>
  <c r="GH199" i="1" s="1"/>
  <c r="Y199" i="1"/>
  <c r="GD198" i="1"/>
  <c r="GB198" i="1"/>
  <c r="FZ198" i="1"/>
  <c r="FW198" i="1"/>
  <c r="FV198" i="1"/>
  <c r="FX198" i="1" s="1"/>
  <c r="FS198" i="1"/>
  <c r="FM198" i="1"/>
  <c r="FJ198" i="1"/>
  <c r="FH198" i="1"/>
  <c r="FF198" i="1"/>
  <c r="FD198" i="1"/>
  <c r="FB198" i="1"/>
  <c r="FA198" i="1"/>
  <c r="EZ198" i="1"/>
  <c r="EX198" i="1"/>
  <c r="EV198" i="1"/>
  <c r="ET198" i="1"/>
  <c r="EL198" i="1"/>
  <c r="EF198" i="1"/>
  <c r="ED198" i="1"/>
  <c r="EB198" i="1"/>
  <c r="EA198" i="1"/>
  <c r="DZ198" i="1"/>
  <c r="DV198" i="1"/>
  <c r="DW198" i="1" s="1"/>
  <c r="ER198" i="1" s="1"/>
  <c r="DT198" i="1"/>
  <c r="DR198" i="1"/>
  <c r="BE198" i="1"/>
  <c r="BF198" i="1" s="1"/>
  <c r="FO198" i="1" s="1"/>
  <c r="BD198" i="1"/>
  <c r="FP198" i="1" s="1"/>
  <c r="BA198" i="1"/>
  <c r="FN198" i="1" s="1"/>
  <c r="AO198" i="1"/>
  <c r="EI198" i="1" s="1"/>
  <c r="AM198" i="1"/>
  <c r="EH198" i="1" s="1"/>
  <c r="AK198" i="1"/>
  <c r="Y198" i="1"/>
  <c r="Z198" i="1" s="1"/>
  <c r="AA198" i="1" s="1"/>
  <c r="DY198" i="1" s="1"/>
  <c r="EC198" i="1" s="1"/>
  <c r="GH198" i="1" s="1"/>
  <c r="GD197" i="1"/>
  <c r="GB197" i="1"/>
  <c r="FZ197" i="1"/>
  <c r="FW197" i="1"/>
  <c r="FV197" i="1"/>
  <c r="FX197" i="1" s="1"/>
  <c r="FS197" i="1"/>
  <c r="FM197" i="1"/>
  <c r="FJ197" i="1"/>
  <c r="FH197" i="1"/>
  <c r="FF197" i="1"/>
  <c r="FD197" i="1"/>
  <c r="FB197" i="1"/>
  <c r="FA197" i="1"/>
  <c r="EZ197" i="1"/>
  <c r="EX197" i="1"/>
  <c r="EV197" i="1"/>
  <c r="ET197" i="1"/>
  <c r="EL197" i="1"/>
  <c r="EF197" i="1"/>
  <c r="ED197" i="1"/>
  <c r="EB197" i="1"/>
  <c r="EA197" i="1"/>
  <c r="DZ197" i="1"/>
  <c r="DV197" i="1"/>
  <c r="DW197" i="1" s="1"/>
  <c r="ER197" i="1" s="1"/>
  <c r="DT197" i="1"/>
  <c r="DR197" i="1"/>
  <c r="BE197" i="1"/>
  <c r="BF197" i="1" s="1"/>
  <c r="FO197" i="1" s="1"/>
  <c r="BD197" i="1"/>
  <c r="FP197" i="1" s="1"/>
  <c r="BA197" i="1"/>
  <c r="FN197" i="1" s="1"/>
  <c r="FQ197" i="1" s="1"/>
  <c r="AO197" i="1"/>
  <c r="EI197" i="1" s="1"/>
  <c r="AM197" i="1"/>
  <c r="EH197" i="1" s="1"/>
  <c r="AK197" i="1"/>
  <c r="Y197" i="1"/>
  <c r="Z197" i="1" s="1"/>
  <c r="AA197" i="1" s="1"/>
  <c r="DY197" i="1" s="1"/>
  <c r="EC197" i="1" s="1"/>
  <c r="GH197" i="1" s="1"/>
  <c r="GD196" i="1"/>
  <c r="GB196" i="1"/>
  <c r="FZ196" i="1"/>
  <c r="FW196" i="1"/>
  <c r="FV196" i="1"/>
  <c r="FX196" i="1" s="1"/>
  <c r="FS196" i="1"/>
  <c r="FM196" i="1"/>
  <c r="FJ196" i="1"/>
  <c r="FH196" i="1"/>
  <c r="FF196" i="1"/>
  <c r="FD196" i="1"/>
  <c r="FB196" i="1"/>
  <c r="FA196" i="1"/>
  <c r="EZ196" i="1"/>
  <c r="EX196" i="1"/>
  <c r="EV196" i="1"/>
  <c r="ET196" i="1"/>
  <c r="EL196" i="1"/>
  <c r="EF196" i="1"/>
  <c r="ED196" i="1"/>
  <c r="EB196" i="1"/>
  <c r="EA196" i="1"/>
  <c r="DZ196" i="1"/>
  <c r="DV196" i="1"/>
  <c r="DW196" i="1" s="1"/>
  <c r="ER196" i="1" s="1"/>
  <c r="DT196" i="1"/>
  <c r="DR196" i="1"/>
  <c r="BE196" i="1"/>
  <c r="BF196" i="1" s="1"/>
  <c r="FO196" i="1" s="1"/>
  <c r="BD196" i="1"/>
  <c r="FP196" i="1" s="1"/>
  <c r="BA196" i="1"/>
  <c r="FN196" i="1" s="1"/>
  <c r="AO196" i="1"/>
  <c r="EI196" i="1" s="1"/>
  <c r="AM196" i="1"/>
  <c r="EH196" i="1" s="1"/>
  <c r="AK196" i="1"/>
  <c r="Z196" i="1"/>
  <c r="AA196" i="1" s="1"/>
  <c r="DY196" i="1" s="1"/>
  <c r="EC196" i="1" s="1"/>
  <c r="GH196" i="1" s="1"/>
  <c r="Y196" i="1"/>
  <c r="GD195" i="1"/>
  <c r="GB195" i="1"/>
  <c r="FZ195" i="1"/>
  <c r="FW195" i="1"/>
  <c r="FV195" i="1"/>
  <c r="FX195" i="1" s="1"/>
  <c r="FS195" i="1"/>
  <c r="FM195" i="1"/>
  <c r="FJ195" i="1"/>
  <c r="FH195" i="1"/>
  <c r="FF195" i="1"/>
  <c r="FD195" i="1"/>
  <c r="FB195" i="1"/>
  <c r="FA195" i="1"/>
  <c r="EZ195" i="1"/>
  <c r="EX195" i="1"/>
  <c r="EV195" i="1"/>
  <c r="ET195" i="1"/>
  <c r="EL195" i="1"/>
  <c r="EF195" i="1"/>
  <c r="ED195" i="1"/>
  <c r="EB195" i="1"/>
  <c r="EA195" i="1"/>
  <c r="DZ195" i="1"/>
  <c r="DV195" i="1"/>
  <c r="DW195" i="1" s="1"/>
  <c r="ER195" i="1" s="1"/>
  <c r="DT195" i="1"/>
  <c r="DR195" i="1"/>
  <c r="BE195" i="1"/>
  <c r="BF195" i="1" s="1"/>
  <c r="FO195" i="1" s="1"/>
  <c r="BD195" i="1"/>
  <c r="FP195" i="1" s="1"/>
  <c r="BA195" i="1"/>
  <c r="FN195" i="1" s="1"/>
  <c r="AO195" i="1"/>
  <c r="EI195" i="1" s="1"/>
  <c r="AM195" i="1"/>
  <c r="EH195" i="1" s="1"/>
  <c r="AK195" i="1"/>
  <c r="Y195" i="1"/>
  <c r="Z195" i="1" s="1"/>
  <c r="AA195" i="1" s="1"/>
  <c r="DY195" i="1" s="1"/>
  <c r="EC195" i="1" s="1"/>
  <c r="GH195" i="1" s="1"/>
  <c r="GD194" i="1"/>
  <c r="GB194" i="1"/>
  <c r="FZ194" i="1"/>
  <c r="FW194" i="1"/>
  <c r="FV194" i="1"/>
  <c r="FS194" i="1"/>
  <c r="FM194" i="1"/>
  <c r="FJ194" i="1"/>
  <c r="FH194" i="1"/>
  <c r="FF194" i="1"/>
  <c r="FD194" i="1"/>
  <c r="FB194" i="1"/>
  <c r="FA194" i="1"/>
  <c r="EZ194" i="1"/>
  <c r="EX194" i="1"/>
  <c r="EV194" i="1"/>
  <c r="ET194" i="1"/>
  <c r="EL194" i="1"/>
  <c r="EF194" i="1"/>
  <c r="ED194" i="1"/>
  <c r="EB194" i="1"/>
  <c r="EA194" i="1"/>
  <c r="DZ194" i="1"/>
  <c r="DV194" i="1"/>
  <c r="DW194" i="1" s="1"/>
  <c r="ER194" i="1" s="1"/>
  <c r="DT194" i="1"/>
  <c r="DR194" i="1"/>
  <c r="BE194" i="1"/>
  <c r="BF194" i="1" s="1"/>
  <c r="FO194" i="1" s="1"/>
  <c r="BD194" i="1"/>
  <c r="FP194" i="1" s="1"/>
  <c r="BA194" i="1"/>
  <c r="FN194" i="1" s="1"/>
  <c r="AO194" i="1"/>
  <c r="EI194" i="1" s="1"/>
  <c r="AM194" i="1"/>
  <c r="EH194" i="1" s="1"/>
  <c r="AK194" i="1"/>
  <c r="Y194" i="1"/>
  <c r="Z194" i="1" s="1"/>
  <c r="AA194" i="1" s="1"/>
  <c r="DY194" i="1" s="1"/>
  <c r="EC194" i="1" s="1"/>
  <c r="GH194" i="1" s="1"/>
  <c r="GD193" i="1"/>
  <c r="GB193" i="1"/>
  <c r="FZ193" i="1"/>
  <c r="FW193" i="1"/>
  <c r="FV193" i="1"/>
  <c r="FX193" i="1" s="1"/>
  <c r="FS193" i="1"/>
  <c r="FM193" i="1"/>
  <c r="FJ193" i="1"/>
  <c r="FH193" i="1"/>
  <c r="FF193" i="1"/>
  <c r="FD193" i="1"/>
  <c r="FB193" i="1"/>
  <c r="FA193" i="1"/>
  <c r="EZ193" i="1"/>
  <c r="EX193" i="1"/>
  <c r="EV193" i="1"/>
  <c r="ET193" i="1"/>
  <c r="EL193" i="1"/>
  <c r="EF193" i="1"/>
  <c r="ED193" i="1"/>
  <c r="EB193" i="1"/>
  <c r="EA193" i="1"/>
  <c r="DZ193" i="1"/>
  <c r="DV193" i="1"/>
  <c r="DW193" i="1" s="1"/>
  <c r="ER193" i="1" s="1"/>
  <c r="DT193" i="1"/>
  <c r="DR193" i="1"/>
  <c r="BE193" i="1"/>
  <c r="BF193" i="1" s="1"/>
  <c r="FO193" i="1" s="1"/>
  <c r="BD193" i="1"/>
  <c r="FP193" i="1" s="1"/>
  <c r="BA193" i="1"/>
  <c r="FN193" i="1" s="1"/>
  <c r="AO193" i="1"/>
  <c r="EI193" i="1" s="1"/>
  <c r="AM193" i="1"/>
  <c r="EH193" i="1" s="1"/>
  <c r="AK193" i="1"/>
  <c r="Y193" i="1"/>
  <c r="Z193" i="1" s="1"/>
  <c r="AA193" i="1" s="1"/>
  <c r="DY193" i="1" s="1"/>
  <c r="EC193" i="1" s="1"/>
  <c r="GH193" i="1" s="1"/>
  <c r="GD192" i="1"/>
  <c r="GB192" i="1"/>
  <c r="FZ192" i="1"/>
  <c r="FW192" i="1"/>
  <c r="FV192" i="1"/>
  <c r="FX192" i="1" s="1"/>
  <c r="FS192" i="1"/>
  <c r="FM192" i="1"/>
  <c r="FJ192" i="1"/>
  <c r="FH192" i="1"/>
  <c r="FF192" i="1"/>
  <c r="FD192" i="1"/>
  <c r="FB192" i="1"/>
  <c r="FA192" i="1"/>
  <c r="EZ192" i="1"/>
  <c r="EX192" i="1"/>
  <c r="EV192" i="1"/>
  <c r="ET192" i="1"/>
  <c r="EL192" i="1"/>
  <c r="EF192" i="1"/>
  <c r="ED192" i="1"/>
  <c r="EB192" i="1"/>
  <c r="EA192" i="1"/>
  <c r="DZ192" i="1"/>
  <c r="DW192" i="1"/>
  <c r="ER192" i="1" s="1"/>
  <c r="DV192" i="1"/>
  <c r="DT192" i="1"/>
  <c r="DR192" i="1"/>
  <c r="BF192" i="1"/>
  <c r="FO192" i="1" s="1"/>
  <c r="BE192" i="1"/>
  <c r="BD192" i="1"/>
  <c r="FP192" i="1" s="1"/>
  <c r="BA192" i="1"/>
  <c r="FN192" i="1" s="1"/>
  <c r="AO192" i="1"/>
  <c r="EI192" i="1" s="1"/>
  <c r="AM192" i="1"/>
  <c r="EH192" i="1" s="1"/>
  <c r="AK192" i="1"/>
  <c r="Y192" i="1"/>
  <c r="Z192" i="1" s="1"/>
  <c r="AA192" i="1" s="1"/>
  <c r="DY192" i="1" s="1"/>
  <c r="EC192" i="1" s="1"/>
  <c r="GH192" i="1" s="1"/>
  <c r="GD191" i="1"/>
  <c r="GB191" i="1"/>
  <c r="FZ191" i="1"/>
  <c r="FW191" i="1"/>
  <c r="FV191" i="1"/>
  <c r="FX191" i="1" s="1"/>
  <c r="FS191" i="1"/>
  <c r="FM191" i="1"/>
  <c r="FJ191" i="1"/>
  <c r="FH191" i="1"/>
  <c r="FF191" i="1"/>
  <c r="FD191" i="1"/>
  <c r="FB191" i="1"/>
  <c r="FA191" i="1"/>
  <c r="EZ191" i="1"/>
  <c r="EX191" i="1"/>
  <c r="EV191" i="1"/>
  <c r="ET191" i="1"/>
  <c r="EL191" i="1"/>
  <c r="EF191" i="1"/>
  <c r="ED191" i="1"/>
  <c r="EB191" i="1"/>
  <c r="EA191" i="1"/>
  <c r="DZ191" i="1"/>
  <c r="DV191" i="1"/>
  <c r="DW191" i="1" s="1"/>
  <c r="ER191" i="1" s="1"/>
  <c r="DT191" i="1"/>
  <c r="DR191" i="1"/>
  <c r="BE191" i="1"/>
  <c r="BF191" i="1" s="1"/>
  <c r="FO191" i="1" s="1"/>
  <c r="BD191" i="1"/>
  <c r="FP191" i="1" s="1"/>
  <c r="BA191" i="1"/>
  <c r="FN191" i="1" s="1"/>
  <c r="AO191" i="1"/>
  <c r="EI191" i="1" s="1"/>
  <c r="AM191" i="1"/>
  <c r="EH191" i="1" s="1"/>
  <c r="AK191" i="1"/>
  <c r="Y191" i="1"/>
  <c r="Z191" i="1" s="1"/>
  <c r="AA191" i="1" s="1"/>
  <c r="DY191" i="1" s="1"/>
  <c r="EC191" i="1" s="1"/>
  <c r="GH191" i="1" s="1"/>
  <c r="GD190" i="1"/>
  <c r="GB190" i="1"/>
  <c r="FZ190" i="1"/>
  <c r="FW190" i="1"/>
  <c r="FV190" i="1"/>
  <c r="FX190" i="1" s="1"/>
  <c r="FS190" i="1"/>
  <c r="FM190" i="1"/>
  <c r="FJ190" i="1"/>
  <c r="FH190" i="1"/>
  <c r="FF190" i="1"/>
  <c r="FD190" i="1"/>
  <c r="FB190" i="1"/>
  <c r="FA190" i="1"/>
  <c r="EZ190" i="1"/>
  <c r="EX190" i="1"/>
  <c r="EV190" i="1"/>
  <c r="ET190" i="1"/>
  <c r="EL190" i="1"/>
  <c r="EF190" i="1"/>
  <c r="ED190" i="1"/>
  <c r="EB190" i="1"/>
  <c r="EA190" i="1"/>
  <c r="DZ190" i="1"/>
  <c r="DV190" i="1"/>
  <c r="DW190" i="1" s="1"/>
  <c r="ER190" i="1" s="1"/>
  <c r="DT190" i="1"/>
  <c r="DR190" i="1"/>
  <c r="BE190" i="1"/>
  <c r="BF190" i="1" s="1"/>
  <c r="FO190" i="1" s="1"/>
  <c r="BD190" i="1"/>
  <c r="FP190" i="1" s="1"/>
  <c r="BA190" i="1"/>
  <c r="FN190" i="1" s="1"/>
  <c r="AO190" i="1"/>
  <c r="EI190" i="1" s="1"/>
  <c r="AM190" i="1"/>
  <c r="EH190" i="1" s="1"/>
  <c r="AK190" i="1"/>
  <c r="Y190" i="1"/>
  <c r="Z190" i="1" s="1"/>
  <c r="AA190" i="1" s="1"/>
  <c r="DY190" i="1" s="1"/>
  <c r="EC190" i="1" s="1"/>
  <c r="GH190" i="1" s="1"/>
  <c r="GD189" i="1"/>
  <c r="GB189" i="1"/>
  <c r="FZ189" i="1"/>
  <c r="FW189" i="1"/>
  <c r="FV189" i="1"/>
  <c r="FX189" i="1" s="1"/>
  <c r="FS189" i="1"/>
  <c r="FM189" i="1"/>
  <c r="FJ189" i="1"/>
  <c r="FH189" i="1"/>
  <c r="FF189" i="1"/>
  <c r="FD189" i="1"/>
  <c r="FB189" i="1"/>
  <c r="FA189" i="1"/>
  <c r="EZ189" i="1"/>
  <c r="EX189" i="1"/>
  <c r="EV189" i="1"/>
  <c r="ET189" i="1"/>
  <c r="EL189" i="1"/>
  <c r="EF189" i="1"/>
  <c r="ED189" i="1"/>
  <c r="EB189" i="1"/>
  <c r="EA189" i="1"/>
  <c r="DZ189" i="1"/>
  <c r="DV189" i="1"/>
  <c r="DW189" i="1" s="1"/>
  <c r="ER189" i="1" s="1"/>
  <c r="DT189" i="1"/>
  <c r="DR189" i="1"/>
  <c r="BE189" i="1"/>
  <c r="BF189" i="1" s="1"/>
  <c r="FO189" i="1" s="1"/>
  <c r="BD189" i="1"/>
  <c r="FP189" i="1" s="1"/>
  <c r="BA189" i="1"/>
  <c r="FN189" i="1" s="1"/>
  <c r="AO189" i="1"/>
  <c r="EI189" i="1" s="1"/>
  <c r="AM189" i="1"/>
  <c r="EH189" i="1" s="1"/>
  <c r="AK189" i="1"/>
  <c r="Y189" i="1"/>
  <c r="Z189" i="1" s="1"/>
  <c r="AA189" i="1" s="1"/>
  <c r="DY189" i="1" s="1"/>
  <c r="EC189" i="1" s="1"/>
  <c r="GH189" i="1" s="1"/>
  <c r="GD188" i="1"/>
  <c r="GB188" i="1"/>
  <c r="FZ188" i="1"/>
  <c r="FW188" i="1"/>
  <c r="FV188" i="1"/>
  <c r="FS188" i="1"/>
  <c r="FM188" i="1"/>
  <c r="FJ188" i="1"/>
  <c r="FH188" i="1"/>
  <c r="FF188" i="1"/>
  <c r="FD188" i="1"/>
  <c r="FB188" i="1"/>
  <c r="FA188" i="1"/>
  <c r="EZ188" i="1"/>
  <c r="EX188" i="1"/>
  <c r="EV188" i="1"/>
  <c r="ET188" i="1"/>
  <c r="EL188" i="1"/>
  <c r="EF188" i="1"/>
  <c r="ED188" i="1"/>
  <c r="EB188" i="1"/>
  <c r="EA188" i="1"/>
  <c r="DZ188" i="1"/>
  <c r="DV188" i="1"/>
  <c r="DW188" i="1" s="1"/>
  <c r="ER188" i="1" s="1"/>
  <c r="DT188" i="1"/>
  <c r="DR188" i="1"/>
  <c r="BE188" i="1"/>
  <c r="BF188" i="1" s="1"/>
  <c r="FO188" i="1" s="1"/>
  <c r="BD188" i="1"/>
  <c r="FP188" i="1" s="1"/>
  <c r="BA188" i="1"/>
  <c r="FN188" i="1" s="1"/>
  <c r="AO188" i="1"/>
  <c r="EI188" i="1" s="1"/>
  <c r="AM188" i="1"/>
  <c r="EH188" i="1" s="1"/>
  <c r="AK188" i="1"/>
  <c r="Y188" i="1"/>
  <c r="Z188" i="1" s="1"/>
  <c r="AA188" i="1" s="1"/>
  <c r="DY188" i="1" s="1"/>
  <c r="EC188" i="1" s="1"/>
  <c r="GH188" i="1" s="1"/>
  <c r="GD187" i="1"/>
  <c r="GB187" i="1"/>
  <c r="FZ187" i="1"/>
  <c r="FW187" i="1"/>
  <c r="FV187" i="1"/>
  <c r="FX187" i="1" s="1"/>
  <c r="FS187" i="1"/>
  <c r="FM187" i="1"/>
  <c r="FJ187" i="1"/>
  <c r="FH187" i="1"/>
  <c r="FF187" i="1"/>
  <c r="FD187" i="1"/>
  <c r="FB187" i="1"/>
  <c r="FA187" i="1"/>
  <c r="EZ187" i="1"/>
  <c r="EX187" i="1"/>
  <c r="EV187" i="1"/>
  <c r="ET187" i="1"/>
  <c r="EL187" i="1"/>
  <c r="EF187" i="1"/>
  <c r="ED187" i="1"/>
  <c r="EB187" i="1"/>
  <c r="EA187" i="1"/>
  <c r="DZ187" i="1"/>
  <c r="DV187" i="1"/>
  <c r="DW187" i="1" s="1"/>
  <c r="ER187" i="1" s="1"/>
  <c r="DT187" i="1"/>
  <c r="DR187" i="1"/>
  <c r="BE187" i="1"/>
  <c r="BF187" i="1" s="1"/>
  <c r="FO187" i="1" s="1"/>
  <c r="BD187" i="1"/>
  <c r="FP187" i="1" s="1"/>
  <c r="BA187" i="1"/>
  <c r="FN187" i="1" s="1"/>
  <c r="AO187" i="1"/>
  <c r="EI187" i="1" s="1"/>
  <c r="AM187" i="1"/>
  <c r="EH187" i="1" s="1"/>
  <c r="AK187" i="1"/>
  <c r="Y187" i="1"/>
  <c r="Z187" i="1" s="1"/>
  <c r="AA187" i="1" s="1"/>
  <c r="DY187" i="1" s="1"/>
  <c r="EC187" i="1" s="1"/>
  <c r="GH187" i="1" s="1"/>
  <c r="GD186" i="1"/>
  <c r="GB186" i="1"/>
  <c r="FZ186" i="1"/>
  <c r="FW186" i="1"/>
  <c r="FV186" i="1"/>
  <c r="FS186" i="1"/>
  <c r="FM186" i="1"/>
  <c r="FJ186" i="1"/>
  <c r="FH186" i="1"/>
  <c r="FF186" i="1"/>
  <c r="FD186" i="1"/>
  <c r="FB186" i="1"/>
  <c r="FA186" i="1"/>
  <c r="EZ186" i="1"/>
  <c r="EX186" i="1"/>
  <c r="EV186" i="1"/>
  <c r="ET186" i="1"/>
  <c r="EL186" i="1"/>
  <c r="EF186" i="1"/>
  <c r="ED186" i="1"/>
  <c r="EB186" i="1"/>
  <c r="EA186" i="1"/>
  <c r="DZ186" i="1"/>
  <c r="DV186" i="1"/>
  <c r="DW186" i="1" s="1"/>
  <c r="ER186" i="1" s="1"/>
  <c r="DT186" i="1"/>
  <c r="DR186" i="1"/>
  <c r="BE186" i="1"/>
  <c r="BF186" i="1" s="1"/>
  <c r="FO186" i="1" s="1"/>
  <c r="BD186" i="1"/>
  <c r="FP186" i="1" s="1"/>
  <c r="BA186" i="1"/>
  <c r="FN186" i="1" s="1"/>
  <c r="AO186" i="1"/>
  <c r="EI186" i="1" s="1"/>
  <c r="AM186" i="1"/>
  <c r="EH186" i="1" s="1"/>
  <c r="AK186" i="1"/>
  <c r="Z186" i="1"/>
  <c r="AA186" i="1" s="1"/>
  <c r="DY186" i="1" s="1"/>
  <c r="EC186" i="1" s="1"/>
  <c r="GH186" i="1" s="1"/>
  <c r="Y186" i="1"/>
  <c r="GD185" i="1"/>
  <c r="GB185" i="1"/>
  <c r="FZ185" i="1"/>
  <c r="FW185" i="1"/>
  <c r="FV185" i="1"/>
  <c r="FX185" i="1" s="1"/>
  <c r="FS185" i="1"/>
  <c r="FM185" i="1"/>
  <c r="FJ185" i="1"/>
  <c r="FH185" i="1"/>
  <c r="FF185" i="1"/>
  <c r="FD185" i="1"/>
  <c r="FB185" i="1"/>
  <c r="FA185" i="1"/>
  <c r="EZ185" i="1"/>
  <c r="EX185" i="1"/>
  <c r="EV185" i="1"/>
  <c r="ET185" i="1"/>
  <c r="EL185" i="1"/>
  <c r="EF185" i="1"/>
  <c r="ED185" i="1"/>
  <c r="EB185" i="1"/>
  <c r="EA185" i="1"/>
  <c r="DZ185" i="1"/>
  <c r="DV185" i="1"/>
  <c r="DW185" i="1" s="1"/>
  <c r="ER185" i="1" s="1"/>
  <c r="DT185" i="1"/>
  <c r="DR185" i="1"/>
  <c r="BE185" i="1"/>
  <c r="BF185" i="1" s="1"/>
  <c r="FO185" i="1" s="1"/>
  <c r="BD185" i="1"/>
  <c r="FP185" i="1" s="1"/>
  <c r="BA185" i="1"/>
  <c r="FN185" i="1" s="1"/>
  <c r="AO185" i="1"/>
  <c r="EI185" i="1" s="1"/>
  <c r="AM185" i="1"/>
  <c r="EH185" i="1" s="1"/>
  <c r="AK185" i="1"/>
  <c r="Y185" i="1"/>
  <c r="Z185" i="1" s="1"/>
  <c r="AA185" i="1" s="1"/>
  <c r="DY185" i="1" s="1"/>
  <c r="EC185" i="1" s="1"/>
  <c r="GH185" i="1" s="1"/>
  <c r="GD184" i="1"/>
  <c r="GB184" i="1"/>
  <c r="FZ184" i="1"/>
  <c r="FW184" i="1"/>
  <c r="FX184" i="1" s="1"/>
  <c r="FV184" i="1"/>
  <c r="FS184" i="1"/>
  <c r="FM184" i="1"/>
  <c r="FJ184" i="1"/>
  <c r="FH184" i="1"/>
  <c r="FF184" i="1"/>
  <c r="FD184" i="1"/>
  <c r="FB184" i="1"/>
  <c r="FA184" i="1"/>
  <c r="EZ184" i="1"/>
  <c r="EX184" i="1"/>
  <c r="EV184" i="1"/>
  <c r="ET184" i="1"/>
  <c r="EL184" i="1"/>
  <c r="EF184" i="1"/>
  <c r="ED184" i="1"/>
  <c r="EB184" i="1"/>
  <c r="EA184" i="1"/>
  <c r="DZ184" i="1"/>
  <c r="DV184" i="1"/>
  <c r="DW184" i="1" s="1"/>
  <c r="ER184" i="1" s="1"/>
  <c r="DT184" i="1"/>
  <c r="DR184" i="1"/>
  <c r="BE184" i="1"/>
  <c r="BF184" i="1" s="1"/>
  <c r="FO184" i="1" s="1"/>
  <c r="BD184" i="1"/>
  <c r="FP184" i="1" s="1"/>
  <c r="BA184" i="1"/>
  <c r="FN184" i="1" s="1"/>
  <c r="AO184" i="1"/>
  <c r="EI184" i="1" s="1"/>
  <c r="AM184" i="1"/>
  <c r="EH184" i="1" s="1"/>
  <c r="AK184" i="1"/>
  <c r="Z184" i="1"/>
  <c r="AA184" i="1" s="1"/>
  <c r="DY184" i="1" s="1"/>
  <c r="EC184" i="1" s="1"/>
  <c r="GH184" i="1" s="1"/>
  <c r="Y184" i="1"/>
  <c r="GD183" i="1"/>
  <c r="GB183" i="1"/>
  <c r="FZ183" i="1"/>
  <c r="FW183" i="1"/>
  <c r="FV183" i="1"/>
  <c r="FS183" i="1"/>
  <c r="FM183" i="1"/>
  <c r="FJ183" i="1"/>
  <c r="FH183" i="1"/>
  <c r="FF183" i="1"/>
  <c r="FD183" i="1"/>
  <c r="FB183" i="1"/>
  <c r="FA183" i="1"/>
  <c r="EZ183" i="1"/>
  <c r="EX183" i="1"/>
  <c r="EV183" i="1"/>
  <c r="ET183" i="1"/>
  <c r="EL183" i="1"/>
  <c r="EF183" i="1"/>
  <c r="ED183" i="1"/>
  <c r="EB183" i="1"/>
  <c r="EA183" i="1"/>
  <c r="DZ183" i="1"/>
  <c r="DV183" i="1"/>
  <c r="DW183" i="1" s="1"/>
  <c r="ER183" i="1" s="1"/>
  <c r="DT183" i="1"/>
  <c r="DR183" i="1"/>
  <c r="BE183" i="1"/>
  <c r="BF183" i="1" s="1"/>
  <c r="FO183" i="1" s="1"/>
  <c r="BD183" i="1"/>
  <c r="FP183" i="1" s="1"/>
  <c r="BA183" i="1"/>
  <c r="FN183" i="1" s="1"/>
  <c r="AO183" i="1"/>
  <c r="EI183" i="1" s="1"/>
  <c r="AM183" i="1"/>
  <c r="EH183" i="1" s="1"/>
  <c r="AK183" i="1"/>
  <c r="Y183" i="1"/>
  <c r="Z183" i="1" s="1"/>
  <c r="AA183" i="1" s="1"/>
  <c r="DY183" i="1" s="1"/>
  <c r="EC183" i="1" s="1"/>
  <c r="GH183" i="1" s="1"/>
  <c r="GD182" i="1"/>
  <c r="GB182" i="1"/>
  <c r="FZ182" i="1"/>
  <c r="FW182" i="1"/>
  <c r="FV182" i="1"/>
  <c r="FX182" i="1" s="1"/>
  <c r="FS182" i="1"/>
  <c r="FM182" i="1"/>
  <c r="FJ182" i="1"/>
  <c r="FH182" i="1"/>
  <c r="FF182" i="1"/>
  <c r="FD182" i="1"/>
  <c r="FB182" i="1"/>
  <c r="FA182" i="1"/>
  <c r="EZ182" i="1"/>
  <c r="EX182" i="1"/>
  <c r="EV182" i="1"/>
  <c r="ET182" i="1"/>
  <c r="EL182" i="1"/>
  <c r="EF182" i="1"/>
  <c r="ED182" i="1"/>
  <c r="EB182" i="1"/>
  <c r="EA182" i="1"/>
  <c r="DZ182" i="1"/>
  <c r="DW182" i="1"/>
  <c r="ER182" i="1" s="1"/>
  <c r="DV182" i="1"/>
  <c r="DT182" i="1"/>
  <c r="DR182" i="1"/>
  <c r="BF182" i="1"/>
  <c r="FO182" i="1" s="1"/>
  <c r="BE182" i="1"/>
  <c r="BD182" i="1"/>
  <c r="FP182" i="1" s="1"/>
  <c r="BA182" i="1"/>
  <c r="FN182" i="1" s="1"/>
  <c r="AO182" i="1"/>
  <c r="EI182" i="1" s="1"/>
  <c r="AM182" i="1"/>
  <c r="EH182" i="1" s="1"/>
  <c r="AK182" i="1"/>
  <c r="Y182" i="1"/>
  <c r="Z182" i="1" s="1"/>
  <c r="AA182" i="1" s="1"/>
  <c r="DY182" i="1" s="1"/>
  <c r="EC182" i="1" s="1"/>
  <c r="GH182" i="1" s="1"/>
  <c r="GD181" i="1"/>
  <c r="GB181" i="1"/>
  <c r="FZ181" i="1"/>
  <c r="FW181" i="1"/>
  <c r="FV181" i="1"/>
  <c r="FX181" i="1" s="1"/>
  <c r="FS181" i="1"/>
  <c r="FM181" i="1"/>
  <c r="FJ181" i="1"/>
  <c r="FH181" i="1"/>
  <c r="FF181" i="1"/>
  <c r="FD181" i="1"/>
  <c r="FB181" i="1"/>
  <c r="FA181" i="1"/>
  <c r="EZ181" i="1"/>
  <c r="EX181" i="1"/>
  <c r="EV181" i="1"/>
  <c r="ET181" i="1"/>
  <c r="EL181" i="1"/>
  <c r="EF181" i="1"/>
  <c r="ED181" i="1"/>
  <c r="EB181" i="1"/>
  <c r="EA181" i="1"/>
  <c r="DZ181" i="1"/>
  <c r="DV181" i="1"/>
  <c r="DW181" i="1" s="1"/>
  <c r="ER181" i="1" s="1"/>
  <c r="DT181" i="1"/>
  <c r="DR181" i="1"/>
  <c r="BE181" i="1"/>
  <c r="BF181" i="1" s="1"/>
  <c r="FO181" i="1" s="1"/>
  <c r="BD181" i="1"/>
  <c r="FP181" i="1" s="1"/>
  <c r="BA181" i="1"/>
  <c r="FN181" i="1" s="1"/>
  <c r="AO181" i="1"/>
  <c r="EI181" i="1" s="1"/>
  <c r="AM181" i="1"/>
  <c r="EH181" i="1" s="1"/>
  <c r="AK181" i="1"/>
  <c r="Y181" i="1"/>
  <c r="Z181" i="1" s="1"/>
  <c r="AA181" i="1" s="1"/>
  <c r="DY181" i="1" s="1"/>
  <c r="EC181" i="1" s="1"/>
  <c r="GH181" i="1" s="1"/>
  <c r="GD180" i="1"/>
  <c r="GB180" i="1"/>
  <c r="FZ180" i="1"/>
  <c r="FW180" i="1"/>
  <c r="FX180" i="1" s="1"/>
  <c r="FV180" i="1"/>
  <c r="FS180" i="1"/>
  <c r="FM180" i="1"/>
  <c r="FJ180" i="1"/>
  <c r="FH180" i="1"/>
  <c r="FF180" i="1"/>
  <c r="FD180" i="1"/>
  <c r="FB180" i="1"/>
  <c r="FA180" i="1"/>
  <c r="EZ180" i="1"/>
  <c r="EX180" i="1"/>
  <c r="EV180" i="1"/>
  <c r="ET180" i="1"/>
  <c r="EL180" i="1"/>
  <c r="EF180" i="1"/>
  <c r="ED180" i="1"/>
  <c r="EB180" i="1"/>
  <c r="EA180" i="1"/>
  <c r="DZ180" i="1"/>
  <c r="DV180" i="1"/>
  <c r="DW180" i="1" s="1"/>
  <c r="ER180" i="1" s="1"/>
  <c r="DT180" i="1"/>
  <c r="DR180" i="1"/>
  <c r="BE180" i="1"/>
  <c r="BF180" i="1" s="1"/>
  <c r="FO180" i="1" s="1"/>
  <c r="BD180" i="1"/>
  <c r="FP180" i="1" s="1"/>
  <c r="BA180" i="1"/>
  <c r="FN180" i="1" s="1"/>
  <c r="AO180" i="1"/>
  <c r="EI180" i="1" s="1"/>
  <c r="AM180" i="1"/>
  <c r="EH180" i="1" s="1"/>
  <c r="AK180" i="1"/>
  <c r="Z180" i="1"/>
  <c r="AA180" i="1" s="1"/>
  <c r="DY180" i="1" s="1"/>
  <c r="EC180" i="1" s="1"/>
  <c r="GH180" i="1" s="1"/>
  <c r="Y180" i="1"/>
  <c r="GD179" i="1"/>
  <c r="GB179" i="1"/>
  <c r="FZ179" i="1"/>
  <c r="FW179" i="1"/>
  <c r="FV179" i="1"/>
  <c r="FX179" i="1" s="1"/>
  <c r="FS179" i="1"/>
  <c r="FM179" i="1"/>
  <c r="FJ179" i="1"/>
  <c r="FH179" i="1"/>
  <c r="FF179" i="1"/>
  <c r="FD179" i="1"/>
  <c r="FB179" i="1"/>
  <c r="FA179" i="1"/>
  <c r="EZ179" i="1"/>
  <c r="EX179" i="1"/>
  <c r="EV179" i="1"/>
  <c r="ET179" i="1"/>
  <c r="EL179" i="1"/>
  <c r="EF179" i="1"/>
  <c r="ED179" i="1"/>
  <c r="EB179" i="1"/>
  <c r="EA179" i="1"/>
  <c r="DZ179" i="1"/>
  <c r="DV179" i="1"/>
  <c r="DW179" i="1" s="1"/>
  <c r="ER179" i="1" s="1"/>
  <c r="DT179" i="1"/>
  <c r="DR179" i="1"/>
  <c r="BE179" i="1"/>
  <c r="BF179" i="1" s="1"/>
  <c r="FO179" i="1" s="1"/>
  <c r="BD179" i="1"/>
  <c r="FP179" i="1" s="1"/>
  <c r="BA179" i="1"/>
  <c r="FN179" i="1" s="1"/>
  <c r="AO179" i="1"/>
  <c r="EI179" i="1" s="1"/>
  <c r="AM179" i="1"/>
  <c r="EH179" i="1" s="1"/>
  <c r="AK179" i="1"/>
  <c r="Y179" i="1"/>
  <c r="Z179" i="1" s="1"/>
  <c r="AA179" i="1" s="1"/>
  <c r="DY179" i="1" s="1"/>
  <c r="EC179" i="1" s="1"/>
  <c r="GH179" i="1" s="1"/>
  <c r="GD178" i="1"/>
  <c r="GB178" i="1"/>
  <c r="FZ178" i="1"/>
  <c r="FW178" i="1"/>
  <c r="FV178" i="1"/>
  <c r="FX178" i="1" s="1"/>
  <c r="FS178" i="1"/>
  <c r="FM178" i="1"/>
  <c r="FJ178" i="1"/>
  <c r="FH178" i="1"/>
  <c r="FF178" i="1"/>
  <c r="FD178" i="1"/>
  <c r="FB178" i="1"/>
  <c r="FA178" i="1"/>
  <c r="EZ178" i="1"/>
  <c r="EX178" i="1"/>
  <c r="EV178" i="1"/>
  <c r="ET178" i="1"/>
  <c r="EL178" i="1"/>
  <c r="EF178" i="1"/>
  <c r="ED178" i="1"/>
  <c r="EB178" i="1"/>
  <c r="EA178" i="1"/>
  <c r="DZ178" i="1"/>
  <c r="DV178" i="1"/>
  <c r="DW178" i="1" s="1"/>
  <c r="ER178" i="1" s="1"/>
  <c r="DT178" i="1"/>
  <c r="DR178" i="1"/>
  <c r="BE178" i="1"/>
  <c r="BF178" i="1" s="1"/>
  <c r="FO178" i="1" s="1"/>
  <c r="BD178" i="1"/>
  <c r="FP178" i="1" s="1"/>
  <c r="BA178" i="1"/>
  <c r="FN178" i="1" s="1"/>
  <c r="AO178" i="1"/>
  <c r="EI178" i="1" s="1"/>
  <c r="AM178" i="1"/>
  <c r="EH178" i="1" s="1"/>
  <c r="AK178" i="1"/>
  <c r="Z178" i="1"/>
  <c r="AA178" i="1" s="1"/>
  <c r="DY178" i="1" s="1"/>
  <c r="EC178" i="1" s="1"/>
  <c r="GH178" i="1" s="1"/>
  <c r="Y178" i="1"/>
  <c r="GD177" i="1"/>
  <c r="GB177" i="1"/>
  <c r="FZ177" i="1"/>
  <c r="FW177" i="1"/>
  <c r="FV177" i="1"/>
  <c r="FX177" i="1" s="1"/>
  <c r="FS177" i="1"/>
  <c r="FM177" i="1"/>
  <c r="FJ177" i="1"/>
  <c r="FH177" i="1"/>
  <c r="FF177" i="1"/>
  <c r="FD177" i="1"/>
  <c r="FB177" i="1"/>
  <c r="FA177" i="1"/>
  <c r="EZ177" i="1"/>
  <c r="EX177" i="1"/>
  <c r="EV177" i="1"/>
  <c r="ET177" i="1"/>
  <c r="EL177" i="1"/>
  <c r="EF177" i="1"/>
  <c r="ED177" i="1"/>
  <c r="EB177" i="1"/>
  <c r="EA177" i="1"/>
  <c r="DZ177" i="1"/>
  <c r="DV177" i="1"/>
  <c r="DW177" i="1" s="1"/>
  <c r="ER177" i="1" s="1"/>
  <c r="DT177" i="1"/>
  <c r="DR177" i="1"/>
  <c r="BE177" i="1"/>
  <c r="BF177" i="1" s="1"/>
  <c r="FO177" i="1" s="1"/>
  <c r="BD177" i="1"/>
  <c r="FP177" i="1" s="1"/>
  <c r="BA177" i="1"/>
  <c r="FN177" i="1" s="1"/>
  <c r="AO177" i="1"/>
  <c r="EI177" i="1" s="1"/>
  <c r="AM177" i="1"/>
  <c r="EH177" i="1" s="1"/>
  <c r="AK177" i="1"/>
  <c r="Y177" i="1"/>
  <c r="Z177" i="1" s="1"/>
  <c r="AA177" i="1" s="1"/>
  <c r="DY177" i="1" s="1"/>
  <c r="EC177" i="1" s="1"/>
  <c r="GH177" i="1" s="1"/>
  <c r="GD176" i="1"/>
  <c r="GB176" i="1"/>
  <c r="FZ176" i="1"/>
  <c r="FW176" i="1"/>
  <c r="FX176" i="1" s="1"/>
  <c r="FV176" i="1"/>
  <c r="FS176" i="1"/>
  <c r="FM176" i="1"/>
  <c r="FJ176" i="1"/>
  <c r="FH176" i="1"/>
  <c r="FF176" i="1"/>
  <c r="FD176" i="1"/>
  <c r="FB176" i="1"/>
  <c r="FA176" i="1"/>
  <c r="EZ176" i="1"/>
  <c r="EX176" i="1"/>
  <c r="EV176" i="1"/>
  <c r="ET176" i="1"/>
  <c r="EL176" i="1"/>
  <c r="EF176" i="1"/>
  <c r="ED176" i="1"/>
  <c r="EB176" i="1"/>
  <c r="EA176" i="1"/>
  <c r="DZ176" i="1"/>
  <c r="DV176" i="1"/>
  <c r="DW176" i="1" s="1"/>
  <c r="ER176" i="1" s="1"/>
  <c r="DT176" i="1"/>
  <c r="DR176" i="1"/>
  <c r="BE176" i="1"/>
  <c r="BF176" i="1" s="1"/>
  <c r="FO176" i="1" s="1"/>
  <c r="BD176" i="1"/>
  <c r="FP176" i="1" s="1"/>
  <c r="BA176" i="1"/>
  <c r="FN176" i="1" s="1"/>
  <c r="AO176" i="1"/>
  <c r="EI176" i="1" s="1"/>
  <c r="AM176" i="1"/>
  <c r="EH176" i="1" s="1"/>
  <c r="AK176" i="1"/>
  <c r="Z176" i="1"/>
  <c r="AA176" i="1" s="1"/>
  <c r="DY176" i="1" s="1"/>
  <c r="EC176" i="1" s="1"/>
  <c r="GH176" i="1" s="1"/>
  <c r="Y176" i="1"/>
  <c r="GD175" i="1"/>
  <c r="GB175" i="1"/>
  <c r="FZ175" i="1"/>
  <c r="FW175" i="1"/>
  <c r="FV175" i="1"/>
  <c r="FX175" i="1" s="1"/>
  <c r="FS175" i="1"/>
  <c r="FM175" i="1"/>
  <c r="FJ175" i="1"/>
  <c r="FH175" i="1"/>
  <c r="FF175" i="1"/>
  <c r="FD175" i="1"/>
  <c r="FB175" i="1"/>
  <c r="FA175" i="1"/>
  <c r="EZ175" i="1"/>
  <c r="EX175" i="1"/>
  <c r="EV175" i="1"/>
  <c r="ET175" i="1"/>
  <c r="EL175" i="1"/>
  <c r="EF175" i="1"/>
  <c r="ED175" i="1"/>
  <c r="EB175" i="1"/>
  <c r="EA175" i="1"/>
  <c r="DZ175" i="1"/>
  <c r="DW175" i="1"/>
  <c r="ER175" i="1" s="1"/>
  <c r="DV175" i="1"/>
  <c r="DT175" i="1"/>
  <c r="DR175" i="1"/>
  <c r="BF175" i="1"/>
  <c r="FO175" i="1" s="1"/>
  <c r="BE175" i="1"/>
  <c r="BD175" i="1"/>
  <c r="FP175" i="1" s="1"/>
  <c r="BA175" i="1"/>
  <c r="FN175" i="1" s="1"/>
  <c r="AO175" i="1"/>
  <c r="EI175" i="1" s="1"/>
  <c r="AM175" i="1"/>
  <c r="EH175" i="1" s="1"/>
  <c r="AK175" i="1"/>
  <c r="Z175" i="1"/>
  <c r="AA175" i="1" s="1"/>
  <c r="DY175" i="1" s="1"/>
  <c r="EC175" i="1" s="1"/>
  <c r="GH175" i="1" s="1"/>
  <c r="Y175" i="1"/>
  <c r="GD174" i="1"/>
  <c r="GB174" i="1"/>
  <c r="FZ174" i="1"/>
  <c r="FW174" i="1"/>
  <c r="FV174" i="1"/>
  <c r="FX174" i="1" s="1"/>
  <c r="FS174" i="1"/>
  <c r="FM174" i="1"/>
  <c r="FJ174" i="1"/>
  <c r="FH174" i="1"/>
  <c r="FF174" i="1"/>
  <c r="FD174" i="1"/>
  <c r="FB174" i="1"/>
  <c r="FA174" i="1"/>
  <c r="EZ174" i="1"/>
  <c r="EX174" i="1"/>
  <c r="EV174" i="1"/>
  <c r="ET174" i="1"/>
  <c r="EL174" i="1"/>
  <c r="EF174" i="1"/>
  <c r="ED174" i="1"/>
  <c r="EB174" i="1"/>
  <c r="EA174" i="1"/>
  <c r="DZ174" i="1"/>
  <c r="DV174" i="1"/>
  <c r="DW174" i="1" s="1"/>
  <c r="ER174" i="1" s="1"/>
  <c r="DT174" i="1"/>
  <c r="DR174" i="1"/>
  <c r="BE174" i="1"/>
  <c r="BF174" i="1" s="1"/>
  <c r="FO174" i="1" s="1"/>
  <c r="BD174" i="1"/>
  <c r="FP174" i="1" s="1"/>
  <c r="BA174" i="1"/>
  <c r="FN174" i="1" s="1"/>
  <c r="AO174" i="1"/>
  <c r="EI174" i="1" s="1"/>
  <c r="AM174" i="1"/>
  <c r="EH174" i="1" s="1"/>
  <c r="AK174" i="1"/>
  <c r="Y174" i="1"/>
  <c r="Z174" i="1" s="1"/>
  <c r="AA174" i="1" s="1"/>
  <c r="DY174" i="1" s="1"/>
  <c r="EC174" i="1" s="1"/>
  <c r="GH174" i="1" s="1"/>
  <c r="GD173" i="1"/>
  <c r="GB173" i="1"/>
  <c r="FZ173" i="1"/>
  <c r="FW173" i="1"/>
  <c r="FV173" i="1"/>
  <c r="FX173" i="1" s="1"/>
  <c r="FS173" i="1"/>
  <c r="FM173" i="1"/>
  <c r="FJ173" i="1"/>
  <c r="FH173" i="1"/>
  <c r="FF173" i="1"/>
  <c r="FD173" i="1"/>
  <c r="FB173" i="1"/>
  <c r="FA173" i="1"/>
  <c r="EZ173" i="1"/>
  <c r="EX173" i="1"/>
  <c r="EV173" i="1"/>
  <c r="ET173" i="1"/>
  <c r="EL173" i="1"/>
  <c r="EF173" i="1"/>
  <c r="ED173" i="1"/>
  <c r="EB173" i="1"/>
  <c r="EA173" i="1"/>
  <c r="DZ173" i="1"/>
  <c r="DW173" i="1"/>
  <c r="ER173" i="1" s="1"/>
  <c r="DV173" i="1"/>
  <c r="DT173" i="1"/>
  <c r="DR173" i="1"/>
  <c r="BF173" i="1"/>
  <c r="FO173" i="1" s="1"/>
  <c r="BE173" i="1"/>
  <c r="BD173" i="1"/>
  <c r="FP173" i="1" s="1"/>
  <c r="BA173" i="1"/>
  <c r="FN173" i="1" s="1"/>
  <c r="AO173" i="1"/>
  <c r="EI173" i="1" s="1"/>
  <c r="AM173" i="1"/>
  <c r="EH173" i="1" s="1"/>
  <c r="AK173" i="1"/>
  <c r="Z173" i="1"/>
  <c r="AA173" i="1" s="1"/>
  <c r="DY173" i="1" s="1"/>
  <c r="EC173" i="1" s="1"/>
  <c r="GH173" i="1" s="1"/>
  <c r="Y173" i="1"/>
  <c r="GD172" i="1"/>
  <c r="GB172" i="1"/>
  <c r="FZ172" i="1"/>
  <c r="FW172" i="1"/>
  <c r="FV172" i="1"/>
  <c r="FX172" i="1" s="1"/>
  <c r="FS172" i="1"/>
  <c r="FM172" i="1"/>
  <c r="FJ172" i="1"/>
  <c r="FH172" i="1"/>
  <c r="FF172" i="1"/>
  <c r="FD172" i="1"/>
  <c r="FB172" i="1"/>
  <c r="FA172" i="1"/>
  <c r="EZ172" i="1"/>
  <c r="EX172" i="1"/>
  <c r="EV172" i="1"/>
  <c r="ET172" i="1"/>
  <c r="EL172" i="1"/>
  <c r="EF172" i="1"/>
  <c r="ED172" i="1"/>
  <c r="EB172" i="1"/>
  <c r="EA172" i="1"/>
  <c r="DZ172" i="1"/>
  <c r="DV172" i="1"/>
  <c r="DW172" i="1" s="1"/>
  <c r="ER172" i="1" s="1"/>
  <c r="DT172" i="1"/>
  <c r="DR172" i="1"/>
  <c r="BE172" i="1"/>
  <c r="BF172" i="1" s="1"/>
  <c r="FO172" i="1" s="1"/>
  <c r="BD172" i="1"/>
  <c r="FP172" i="1" s="1"/>
  <c r="BA172" i="1"/>
  <c r="FN172" i="1" s="1"/>
  <c r="AO172" i="1"/>
  <c r="EI172" i="1" s="1"/>
  <c r="AM172" i="1"/>
  <c r="EH172" i="1" s="1"/>
  <c r="AK172" i="1"/>
  <c r="Z172" i="1"/>
  <c r="AA172" i="1" s="1"/>
  <c r="DY172" i="1" s="1"/>
  <c r="EC172" i="1" s="1"/>
  <c r="GH172" i="1" s="1"/>
  <c r="Y172" i="1"/>
  <c r="GD171" i="1"/>
  <c r="GB171" i="1"/>
  <c r="FZ171" i="1"/>
  <c r="FW171" i="1"/>
  <c r="FV171" i="1"/>
  <c r="FX171" i="1" s="1"/>
  <c r="FS171" i="1"/>
  <c r="FM171" i="1"/>
  <c r="FJ171" i="1"/>
  <c r="FH171" i="1"/>
  <c r="FF171" i="1"/>
  <c r="FD171" i="1"/>
  <c r="FB171" i="1"/>
  <c r="FA171" i="1"/>
  <c r="EZ171" i="1"/>
  <c r="EX171" i="1"/>
  <c r="EV171" i="1"/>
  <c r="ET171" i="1"/>
  <c r="EL171" i="1"/>
  <c r="EF171" i="1"/>
  <c r="ED171" i="1"/>
  <c r="EB171" i="1"/>
  <c r="EA171" i="1"/>
  <c r="DZ171" i="1"/>
  <c r="DV171" i="1"/>
  <c r="DW171" i="1" s="1"/>
  <c r="ER171" i="1" s="1"/>
  <c r="DT171" i="1"/>
  <c r="DR171" i="1"/>
  <c r="BE171" i="1"/>
  <c r="BF171" i="1" s="1"/>
  <c r="FO171" i="1" s="1"/>
  <c r="BD171" i="1"/>
  <c r="FP171" i="1" s="1"/>
  <c r="BA171" i="1"/>
  <c r="FN171" i="1" s="1"/>
  <c r="AO171" i="1"/>
  <c r="EI171" i="1" s="1"/>
  <c r="AM171" i="1"/>
  <c r="EH171" i="1" s="1"/>
  <c r="AK171" i="1"/>
  <c r="Y171" i="1"/>
  <c r="Z171" i="1" s="1"/>
  <c r="AA171" i="1" s="1"/>
  <c r="DY171" i="1" s="1"/>
  <c r="EC171" i="1" s="1"/>
  <c r="GH171" i="1" s="1"/>
  <c r="GD170" i="1"/>
  <c r="GB170" i="1"/>
  <c r="FZ170" i="1"/>
  <c r="FW170" i="1"/>
  <c r="FX170" i="1" s="1"/>
  <c r="FV170" i="1"/>
  <c r="FS170" i="1"/>
  <c r="FM170" i="1"/>
  <c r="FJ170" i="1"/>
  <c r="FH170" i="1"/>
  <c r="FF170" i="1"/>
  <c r="FD170" i="1"/>
  <c r="FB170" i="1"/>
  <c r="FA170" i="1"/>
  <c r="EZ170" i="1"/>
  <c r="EX170" i="1"/>
  <c r="EV170" i="1"/>
  <c r="ET170" i="1"/>
  <c r="EL170" i="1"/>
  <c r="EF170" i="1"/>
  <c r="ED170" i="1"/>
  <c r="EB170" i="1"/>
  <c r="EA170" i="1"/>
  <c r="DZ170" i="1"/>
  <c r="DW170" i="1"/>
  <c r="ER170" i="1" s="1"/>
  <c r="DV170" i="1"/>
  <c r="DT170" i="1"/>
  <c r="DR170" i="1"/>
  <c r="BF170" i="1"/>
  <c r="FO170" i="1" s="1"/>
  <c r="BE170" i="1"/>
  <c r="BD170" i="1"/>
  <c r="FP170" i="1" s="1"/>
  <c r="BA170" i="1"/>
  <c r="FN170" i="1" s="1"/>
  <c r="AO170" i="1"/>
  <c r="EI170" i="1" s="1"/>
  <c r="AM170" i="1"/>
  <c r="EH170" i="1" s="1"/>
  <c r="AK170" i="1"/>
  <c r="Y170" i="1"/>
  <c r="Z170" i="1" s="1"/>
  <c r="AA170" i="1" s="1"/>
  <c r="DY170" i="1" s="1"/>
  <c r="EC170" i="1" s="1"/>
  <c r="GH170" i="1" s="1"/>
  <c r="GD169" i="1"/>
  <c r="GB169" i="1"/>
  <c r="FZ169" i="1"/>
  <c r="FW169" i="1"/>
  <c r="FV169" i="1"/>
  <c r="FX169" i="1" s="1"/>
  <c r="FS169" i="1"/>
  <c r="FM169" i="1"/>
  <c r="FJ169" i="1"/>
  <c r="FH169" i="1"/>
  <c r="FF169" i="1"/>
  <c r="FD169" i="1"/>
  <c r="FB169" i="1"/>
  <c r="FA169" i="1"/>
  <c r="EZ169" i="1"/>
  <c r="EX169" i="1"/>
  <c r="EV169" i="1"/>
  <c r="ET169" i="1"/>
  <c r="EL169" i="1"/>
  <c r="EF169" i="1"/>
  <c r="ED169" i="1"/>
  <c r="EB169" i="1"/>
  <c r="EA169" i="1"/>
  <c r="DZ169" i="1"/>
  <c r="DW169" i="1"/>
  <c r="ER169" i="1" s="1"/>
  <c r="DV169" i="1"/>
  <c r="DT169" i="1"/>
  <c r="DR169" i="1"/>
  <c r="BF169" i="1"/>
  <c r="FO169" i="1" s="1"/>
  <c r="BE169" i="1"/>
  <c r="BD169" i="1"/>
  <c r="FP169" i="1" s="1"/>
  <c r="BA169" i="1"/>
  <c r="FN169" i="1" s="1"/>
  <c r="AO169" i="1"/>
  <c r="EI169" i="1" s="1"/>
  <c r="AM169" i="1"/>
  <c r="EH169" i="1" s="1"/>
  <c r="AK169" i="1"/>
  <c r="Z169" i="1"/>
  <c r="AA169" i="1" s="1"/>
  <c r="DY169" i="1" s="1"/>
  <c r="EC169" i="1" s="1"/>
  <c r="GH169" i="1" s="1"/>
  <c r="Y169" i="1"/>
  <c r="GD168" i="1"/>
  <c r="GB168" i="1"/>
  <c r="FZ168" i="1"/>
  <c r="FW168" i="1"/>
  <c r="FV168" i="1"/>
  <c r="FX168" i="1" s="1"/>
  <c r="FS168" i="1"/>
  <c r="FM168" i="1"/>
  <c r="FJ168" i="1"/>
  <c r="FH168" i="1"/>
  <c r="FF168" i="1"/>
  <c r="FD168" i="1"/>
  <c r="FB168" i="1"/>
  <c r="FA168" i="1"/>
  <c r="EZ168" i="1"/>
  <c r="EX168" i="1"/>
  <c r="EV168" i="1"/>
  <c r="ET168" i="1"/>
  <c r="EL168" i="1"/>
  <c r="EF168" i="1"/>
  <c r="ED168" i="1"/>
  <c r="EB168" i="1"/>
  <c r="EA168" i="1"/>
  <c r="DZ168" i="1"/>
  <c r="DV168" i="1"/>
  <c r="DW168" i="1" s="1"/>
  <c r="ER168" i="1" s="1"/>
  <c r="DT168" i="1"/>
  <c r="DR168" i="1"/>
  <c r="BE168" i="1"/>
  <c r="BF168" i="1" s="1"/>
  <c r="FO168" i="1" s="1"/>
  <c r="BD168" i="1"/>
  <c r="FP168" i="1" s="1"/>
  <c r="BA168" i="1"/>
  <c r="FN168" i="1" s="1"/>
  <c r="AO168" i="1"/>
  <c r="EI168" i="1" s="1"/>
  <c r="AM168" i="1"/>
  <c r="EH168" i="1" s="1"/>
  <c r="AK168" i="1"/>
  <c r="Y168" i="1"/>
  <c r="Z168" i="1" s="1"/>
  <c r="AA168" i="1" s="1"/>
  <c r="DY168" i="1" s="1"/>
  <c r="EC168" i="1" s="1"/>
  <c r="GH168" i="1" s="1"/>
  <c r="GD167" i="1"/>
  <c r="GB167" i="1"/>
  <c r="FZ167" i="1"/>
  <c r="FW167" i="1"/>
  <c r="FV167" i="1"/>
  <c r="FX167" i="1" s="1"/>
  <c r="FS167" i="1"/>
  <c r="FM167" i="1"/>
  <c r="FJ167" i="1"/>
  <c r="FH167" i="1"/>
  <c r="FF167" i="1"/>
  <c r="FD167" i="1"/>
  <c r="FB167" i="1"/>
  <c r="FA167" i="1"/>
  <c r="EZ167" i="1"/>
  <c r="EX167" i="1"/>
  <c r="EV167" i="1"/>
  <c r="ET167" i="1"/>
  <c r="EL167" i="1"/>
  <c r="EF167" i="1"/>
  <c r="ED167" i="1"/>
  <c r="EB167" i="1"/>
  <c r="EA167" i="1"/>
  <c r="DZ167" i="1"/>
  <c r="DV167" i="1"/>
  <c r="DW167" i="1" s="1"/>
  <c r="ER167" i="1" s="1"/>
  <c r="DT167" i="1"/>
  <c r="DR167" i="1"/>
  <c r="BE167" i="1"/>
  <c r="BF167" i="1" s="1"/>
  <c r="FO167" i="1" s="1"/>
  <c r="BD167" i="1"/>
  <c r="FP167" i="1" s="1"/>
  <c r="BA167" i="1"/>
  <c r="FN167" i="1" s="1"/>
  <c r="AO167" i="1"/>
  <c r="EI167" i="1" s="1"/>
  <c r="AM167" i="1"/>
  <c r="EH167" i="1" s="1"/>
  <c r="AK167" i="1"/>
  <c r="Y167" i="1"/>
  <c r="Z167" i="1" s="1"/>
  <c r="AA167" i="1" s="1"/>
  <c r="DY167" i="1" s="1"/>
  <c r="EC167" i="1" s="1"/>
  <c r="GH167" i="1" s="1"/>
  <c r="GD166" i="1"/>
  <c r="GB166" i="1"/>
  <c r="FZ166" i="1"/>
  <c r="FW166" i="1"/>
  <c r="FX166" i="1" s="1"/>
  <c r="FV166" i="1"/>
  <c r="FS166" i="1"/>
  <c r="FM166" i="1"/>
  <c r="FJ166" i="1"/>
  <c r="FH166" i="1"/>
  <c r="FF166" i="1"/>
  <c r="FD166" i="1"/>
  <c r="FB166" i="1"/>
  <c r="FA166" i="1"/>
  <c r="EZ166" i="1"/>
  <c r="EX166" i="1"/>
  <c r="EV166" i="1"/>
  <c r="ET166" i="1"/>
  <c r="EL166" i="1"/>
  <c r="EF166" i="1"/>
  <c r="ED166" i="1"/>
  <c r="EB166" i="1"/>
  <c r="EA166" i="1"/>
  <c r="DZ166" i="1"/>
  <c r="DW166" i="1"/>
  <c r="ER166" i="1" s="1"/>
  <c r="DV166" i="1"/>
  <c r="DT166" i="1"/>
  <c r="DR166" i="1"/>
  <c r="BF166" i="1"/>
  <c r="FO166" i="1" s="1"/>
  <c r="BE166" i="1"/>
  <c r="BD166" i="1"/>
  <c r="FP166" i="1" s="1"/>
  <c r="BA166" i="1"/>
  <c r="FN166" i="1" s="1"/>
  <c r="AO166" i="1"/>
  <c r="EI166" i="1" s="1"/>
  <c r="AM166" i="1"/>
  <c r="EH166" i="1" s="1"/>
  <c r="AK166" i="1"/>
  <c r="Y166" i="1"/>
  <c r="Z166" i="1" s="1"/>
  <c r="AA166" i="1" s="1"/>
  <c r="DY166" i="1" s="1"/>
  <c r="EC166" i="1" s="1"/>
  <c r="GH166" i="1" s="1"/>
  <c r="GD165" i="1"/>
  <c r="GB165" i="1"/>
  <c r="FZ165" i="1"/>
  <c r="FW165" i="1"/>
  <c r="FV165" i="1"/>
  <c r="FS165" i="1"/>
  <c r="FM165" i="1"/>
  <c r="FJ165" i="1"/>
  <c r="FH165" i="1"/>
  <c r="FF165" i="1"/>
  <c r="FD165" i="1"/>
  <c r="FB165" i="1"/>
  <c r="FA165" i="1"/>
  <c r="EZ165" i="1"/>
  <c r="EX165" i="1"/>
  <c r="EV165" i="1"/>
  <c r="ET165" i="1"/>
  <c r="EL165" i="1"/>
  <c r="EF165" i="1"/>
  <c r="ED165" i="1"/>
  <c r="EB165" i="1"/>
  <c r="EA165" i="1"/>
  <c r="DZ165" i="1"/>
  <c r="DW165" i="1"/>
  <c r="ER165" i="1" s="1"/>
  <c r="DV165" i="1"/>
  <c r="DT165" i="1"/>
  <c r="DR165" i="1"/>
  <c r="BF165" i="1"/>
  <c r="FO165" i="1" s="1"/>
  <c r="BE165" i="1"/>
  <c r="BD165" i="1"/>
  <c r="FP165" i="1" s="1"/>
  <c r="BA165" i="1"/>
  <c r="FN165" i="1" s="1"/>
  <c r="AO165" i="1"/>
  <c r="EI165" i="1" s="1"/>
  <c r="AM165" i="1"/>
  <c r="EH165" i="1" s="1"/>
  <c r="AK165" i="1"/>
  <c r="Z165" i="1"/>
  <c r="AA165" i="1" s="1"/>
  <c r="DY165" i="1" s="1"/>
  <c r="EC165" i="1" s="1"/>
  <c r="GH165" i="1" s="1"/>
  <c r="Y165" i="1"/>
  <c r="GD164" i="1"/>
  <c r="GB164" i="1"/>
  <c r="FZ164" i="1"/>
  <c r="FW164" i="1"/>
  <c r="FV164" i="1"/>
  <c r="FX164" i="1" s="1"/>
  <c r="FS164" i="1"/>
  <c r="FM164" i="1"/>
  <c r="FJ164" i="1"/>
  <c r="FH164" i="1"/>
  <c r="FF164" i="1"/>
  <c r="FD164" i="1"/>
  <c r="FB164" i="1"/>
  <c r="FA164" i="1"/>
  <c r="EZ164" i="1"/>
  <c r="EX164" i="1"/>
  <c r="EV164" i="1"/>
  <c r="ET164" i="1"/>
  <c r="EL164" i="1"/>
  <c r="EF164" i="1"/>
  <c r="ED164" i="1"/>
  <c r="EB164" i="1"/>
  <c r="EA164" i="1"/>
  <c r="DZ164" i="1"/>
  <c r="DV164" i="1"/>
  <c r="DW164" i="1" s="1"/>
  <c r="ER164" i="1" s="1"/>
  <c r="DT164" i="1"/>
  <c r="DR164" i="1"/>
  <c r="BE164" i="1"/>
  <c r="BF164" i="1" s="1"/>
  <c r="FO164" i="1" s="1"/>
  <c r="BD164" i="1"/>
  <c r="FP164" i="1" s="1"/>
  <c r="BA164" i="1"/>
  <c r="FN164" i="1" s="1"/>
  <c r="AO164" i="1"/>
  <c r="EI164" i="1" s="1"/>
  <c r="AM164" i="1"/>
  <c r="EH164" i="1" s="1"/>
  <c r="AK164" i="1"/>
  <c r="Y164" i="1"/>
  <c r="Z164" i="1" s="1"/>
  <c r="AA164" i="1" s="1"/>
  <c r="DY164" i="1" s="1"/>
  <c r="EC164" i="1" s="1"/>
  <c r="GH164" i="1" s="1"/>
  <c r="GD163" i="1"/>
  <c r="GB163" i="1"/>
  <c r="FZ163" i="1"/>
  <c r="FW163" i="1"/>
  <c r="FV163" i="1"/>
  <c r="FS163" i="1"/>
  <c r="FM163" i="1"/>
  <c r="FJ163" i="1"/>
  <c r="FH163" i="1"/>
  <c r="FF163" i="1"/>
  <c r="FD163" i="1"/>
  <c r="FB163" i="1"/>
  <c r="FA163" i="1"/>
  <c r="EZ163" i="1"/>
  <c r="EX163" i="1"/>
  <c r="EV163" i="1"/>
  <c r="ET163" i="1"/>
  <c r="EL163" i="1"/>
  <c r="EF163" i="1"/>
  <c r="ED163" i="1"/>
  <c r="EB163" i="1"/>
  <c r="EA163" i="1"/>
  <c r="DZ163" i="1"/>
  <c r="DV163" i="1"/>
  <c r="DW163" i="1" s="1"/>
  <c r="ER163" i="1" s="1"/>
  <c r="DT163" i="1"/>
  <c r="DR163" i="1"/>
  <c r="BE163" i="1"/>
  <c r="BF163" i="1" s="1"/>
  <c r="FO163" i="1" s="1"/>
  <c r="BD163" i="1"/>
  <c r="FP163" i="1" s="1"/>
  <c r="BA163" i="1"/>
  <c r="FN163" i="1" s="1"/>
  <c r="AO163" i="1"/>
  <c r="EI163" i="1" s="1"/>
  <c r="AM163" i="1"/>
  <c r="EH163" i="1" s="1"/>
  <c r="AK163" i="1"/>
  <c r="AA163" i="1"/>
  <c r="DY163" i="1" s="1"/>
  <c r="EC163" i="1" s="1"/>
  <c r="GH163" i="1" s="1"/>
  <c r="Y163" i="1"/>
  <c r="Z163" i="1" s="1"/>
  <c r="GD162" i="1"/>
  <c r="GB162" i="1"/>
  <c r="FZ162" i="1"/>
  <c r="FW162" i="1"/>
  <c r="FV162" i="1"/>
  <c r="FX162" i="1" s="1"/>
  <c r="FS162" i="1"/>
  <c r="FM162" i="1"/>
  <c r="FJ162" i="1"/>
  <c r="FH162" i="1"/>
  <c r="FF162" i="1"/>
  <c r="FD162" i="1"/>
  <c r="FB162" i="1"/>
  <c r="FA162" i="1"/>
  <c r="EZ162" i="1"/>
  <c r="EX162" i="1"/>
  <c r="EV162" i="1"/>
  <c r="ET162" i="1"/>
  <c r="EL162" i="1"/>
  <c r="EF162" i="1"/>
  <c r="ED162" i="1"/>
  <c r="EB162" i="1"/>
  <c r="EA162" i="1"/>
  <c r="DZ162" i="1"/>
  <c r="DW162" i="1"/>
  <c r="ER162" i="1" s="1"/>
  <c r="DV162" i="1"/>
  <c r="DT162" i="1"/>
  <c r="DR162" i="1"/>
  <c r="BF162" i="1"/>
  <c r="FO162" i="1" s="1"/>
  <c r="BE162" i="1"/>
  <c r="BD162" i="1"/>
  <c r="FP162" i="1" s="1"/>
  <c r="BA162" i="1"/>
  <c r="FN162" i="1" s="1"/>
  <c r="AO162" i="1"/>
  <c r="EI162" i="1" s="1"/>
  <c r="AM162" i="1"/>
  <c r="EH162" i="1" s="1"/>
  <c r="AK162" i="1"/>
  <c r="Y162" i="1"/>
  <c r="Z162" i="1" s="1"/>
  <c r="AA162" i="1" s="1"/>
  <c r="DY162" i="1" s="1"/>
  <c r="EC162" i="1" s="1"/>
  <c r="GH162" i="1" s="1"/>
  <c r="GD161" i="1"/>
  <c r="GB161" i="1"/>
  <c r="FZ161" i="1"/>
  <c r="FW161" i="1"/>
  <c r="FV161" i="1"/>
  <c r="FX161" i="1" s="1"/>
  <c r="FS161" i="1"/>
  <c r="FM161" i="1"/>
  <c r="FJ161" i="1"/>
  <c r="FH161" i="1"/>
  <c r="FF161" i="1"/>
  <c r="FD161" i="1"/>
  <c r="FB161" i="1"/>
  <c r="FA161" i="1"/>
  <c r="EZ161" i="1"/>
  <c r="EX161" i="1"/>
  <c r="EV161" i="1"/>
  <c r="ET161" i="1"/>
  <c r="EL161" i="1"/>
  <c r="EF161" i="1"/>
  <c r="ED161" i="1"/>
  <c r="EB161" i="1"/>
  <c r="EA161" i="1"/>
  <c r="DZ161" i="1"/>
  <c r="DV161" i="1"/>
  <c r="DW161" i="1" s="1"/>
  <c r="ER161" i="1" s="1"/>
  <c r="DT161" i="1"/>
  <c r="DR161" i="1"/>
  <c r="BE161" i="1"/>
  <c r="BF161" i="1" s="1"/>
  <c r="FO161" i="1" s="1"/>
  <c r="BD161" i="1"/>
  <c r="FP161" i="1" s="1"/>
  <c r="BA161" i="1"/>
  <c r="FN161" i="1" s="1"/>
  <c r="AO161" i="1"/>
  <c r="EI161" i="1" s="1"/>
  <c r="AM161" i="1"/>
  <c r="EH161" i="1" s="1"/>
  <c r="AK161" i="1"/>
  <c r="Z161" i="1"/>
  <c r="AA161" i="1" s="1"/>
  <c r="DY161" i="1" s="1"/>
  <c r="EC161" i="1" s="1"/>
  <c r="GH161" i="1" s="1"/>
  <c r="Y161" i="1"/>
  <c r="GD160" i="1"/>
  <c r="GB160" i="1"/>
  <c r="FZ160" i="1"/>
  <c r="FW160" i="1"/>
  <c r="FV160" i="1"/>
  <c r="FX160" i="1" s="1"/>
  <c r="FS160" i="1"/>
  <c r="FM160" i="1"/>
  <c r="FJ160" i="1"/>
  <c r="FH160" i="1"/>
  <c r="FF160" i="1"/>
  <c r="FD160" i="1"/>
  <c r="FB160" i="1"/>
  <c r="FA160" i="1"/>
  <c r="EZ160" i="1"/>
  <c r="EX160" i="1"/>
  <c r="EV160" i="1"/>
  <c r="ET160" i="1"/>
  <c r="EL160" i="1"/>
  <c r="EF160" i="1"/>
  <c r="ED160" i="1"/>
  <c r="EB160" i="1"/>
  <c r="EA160" i="1"/>
  <c r="DZ160" i="1"/>
  <c r="DW160" i="1"/>
  <c r="ER160" i="1" s="1"/>
  <c r="DV160" i="1"/>
  <c r="DT160" i="1"/>
  <c r="DR160" i="1"/>
  <c r="BF160" i="1"/>
  <c r="FO160" i="1" s="1"/>
  <c r="BE160" i="1"/>
  <c r="BD160" i="1"/>
  <c r="FP160" i="1" s="1"/>
  <c r="BA160" i="1"/>
  <c r="FN160" i="1" s="1"/>
  <c r="AO160" i="1"/>
  <c r="EI160" i="1" s="1"/>
  <c r="AM160" i="1"/>
  <c r="EH160" i="1" s="1"/>
  <c r="AK160" i="1"/>
  <c r="Y160" i="1"/>
  <c r="Z160" i="1" s="1"/>
  <c r="AA160" i="1" s="1"/>
  <c r="DY160" i="1" s="1"/>
  <c r="EC160" i="1" s="1"/>
  <c r="GH160" i="1" s="1"/>
  <c r="GD159" i="1"/>
  <c r="GB159" i="1"/>
  <c r="FZ159" i="1"/>
  <c r="FW159" i="1"/>
  <c r="FV159" i="1"/>
  <c r="FX159" i="1" s="1"/>
  <c r="FS159" i="1"/>
  <c r="FM159" i="1"/>
  <c r="FJ159" i="1"/>
  <c r="FH159" i="1"/>
  <c r="FF159" i="1"/>
  <c r="FD159" i="1"/>
  <c r="FB159" i="1"/>
  <c r="FA159" i="1"/>
  <c r="EZ159" i="1"/>
  <c r="EX159" i="1"/>
  <c r="EV159" i="1"/>
  <c r="ET159" i="1"/>
  <c r="EL159" i="1"/>
  <c r="EF159" i="1"/>
  <c r="ED159" i="1"/>
  <c r="EB159" i="1"/>
  <c r="EA159" i="1"/>
  <c r="DZ159" i="1"/>
  <c r="DV159" i="1"/>
  <c r="DW159" i="1" s="1"/>
  <c r="ER159" i="1" s="1"/>
  <c r="DT159" i="1"/>
  <c r="DR159" i="1"/>
  <c r="BE159" i="1"/>
  <c r="BF159" i="1" s="1"/>
  <c r="FO159" i="1" s="1"/>
  <c r="BD159" i="1"/>
  <c r="FP159" i="1" s="1"/>
  <c r="BA159" i="1"/>
  <c r="FN159" i="1" s="1"/>
  <c r="AO159" i="1"/>
  <c r="EI159" i="1" s="1"/>
  <c r="AM159" i="1"/>
  <c r="EH159" i="1" s="1"/>
  <c r="AK159" i="1"/>
  <c r="Y159" i="1"/>
  <c r="Z159" i="1" s="1"/>
  <c r="AA159" i="1" s="1"/>
  <c r="DY159" i="1" s="1"/>
  <c r="EC159" i="1" s="1"/>
  <c r="GH159" i="1" s="1"/>
  <c r="GD158" i="1"/>
  <c r="GB158" i="1"/>
  <c r="FZ158" i="1"/>
  <c r="FW158" i="1"/>
  <c r="FV158" i="1"/>
  <c r="FX158" i="1" s="1"/>
  <c r="FS158" i="1"/>
  <c r="FM158" i="1"/>
  <c r="FJ158" i="1"/>
  <c r="FH158" i="1"/>
  <c r="FF158" i="1"/>
  <c r="FD158" i="1"/>
  <c r="FB158" i="1"/>
  <c r="FA158" i="1"/>
  <c r="EZ158" i="1"/>
  <c r="EX158" i="1"/>
  <c r="EV158" i="1"/>
  <c r="ET158" i="1"/>
  <c r="EL158" i="1"/>
  <c r="EF158" i="1"/>
  <c r="ED158" i="1"/>
  <c r="EB158" i="1"/>
  <c r="EA158" i="1"/>
  <c r="DZ158" i="1"/>
  <c r="DW158" i="1"/>
  <c r="ER158" i="1" s="1"/>
  <c r="DV158" i="1"/>
  <c r="DT158" i="1"/>
  <c r="DR158" i="1"/>
  <c r="BF158" i="1"/>
  <c r="FO158" i="1" s="1"/>
  <c r="BE158" i="1"/>
  <c r="BD158" i="1"/>
  <c r="FP158" i="1" s="1"/>
  <c r="BA158" i="1"/>
  <c r="FN158" i="1" s="1"/>
  <c r="AO158" i="1"/>
  <c r="EI158" i="1" s="1"/>
  <c r="AM158" i="1"/>
  <c r="EH158" i="1" s="1"/>
  <c r="AK158" i="1"/>
  <c r="Y158" i="1"/>
  <c r="Z158" i="1" s="1"/>
  <c r="AA158" i="1" s="1"/>
  <c r="DY158" i="1" s="1"/>
  <c r="EC158" i="1" s="1"/>
  <c r="GH158" i="1" s="1"/>
  <c r="GD157" i="1"/>
  <c r="GB157" i="1"/>
  <c r="FZ157" i="1"/>
  <c r="FW157" i="1"/>
  <c r="FV157" i="1"/>
  <c r="FX157" i="1" s="1"/>
  <c r="FS157" i="1"/>
  <c r="FM157" i="1"/>
  <c r="FJ157" i="1"/>
  <c r="FH157" i="1"/>
  <c r="FF157" i="1"/>
  <c r="FD157" i="1"/>
  <c r="FB157" i="1"/>
  <c r="FA157" i="1"/>
  <c r="EZ157" i="1"/>
  <c r="EX157" i="1"/>
  <c r="EV157" i="1"/>
  <c r="ET157" i="1"/>
  <c r="EL157" i="1"/>
  <c r="EF157" i="1"/>
  <c r="ED157" i="1"/>
  <c r="EB157" i="1"/>
  <c r="EA157" i="1"/>
  <c r="DZ157" i="1"/>
  <c r="DV157" i="1"/>
  <c r="DW157" i="1" s="1"/>
  <c r="ER157" i="1" s="1"/>
  <c r="DT157" i="1"/>
  <c r="DR157" i="1"/>
  <c r="BE157" i="1"/>
  <c r="BF157" i="1" s="1"/>
  <c r="FO157" i="1" s="1"/>
  <c r="BD157" i="1"/>
  <c r="FP157" i="1" s="1"/>
  <c r="BA157" i="1"/>
  <c r="FN157" i="1" s="1"/>
  <c r="AO157" i="1"/>
  <c r="EI157" i="1" s="1"/>
  <c r="AM157" i="1"/>
  <c r="EH157" i="1" s="1"/>
  <c r="AK157" i="1"/>
  <c r="Y157" i="1"/>
  <c r="Z157" i="1" s="1"/>
  <c r="AA157" i="1" s="1"/>
  <c r="DY157" i="1" s="1"/>
  <c r="EC157" i="1" s="1"/>
  <c r="GH157" i="1" s="1"/>
  <c r="GD156" i="1"/>
  <c r="GB156" i="1"/>
  <c r="FZ156" i="1"/>
  <c r="FW156" i="1"/>
  <c r="FV156" i="1"/>
  <c r="FX156" i="1" s="1"/>
  <c r="FS156" i="1"/>
  <c r="FM156" i="1"/>
  <c r="FJ156" i="1"/>
  <c r="FH156" i="1"/>
  <c r="FF156" i="1"/>
  <c r="FD156" i="1"/>
  <c r="FB156" i="1"/>
  <c r="FA156" i="1"/>
  <c r="EZ156" i="1"/>
  <c r="EX156" i="1"/>
  <c r="EV156" i="1"/>
  <c r="ET156" i="1"/>
  <c r="EL156" i="1"/>
  <c r="EF156" i="1"/>
  <c r="ED156" i="1"/>
  <c r="EB156" i="1"/>
  <c r="EA156" i="1"/>
  <c r="DZ156" i="1"/>
  <c r="DW156" i="1"/>
  <c r="ER156" i="1" s="1"/>
  <c r="DV156" i="1"/>
  <c r="DT156" i="1"/>
  <c r="DR156" i="1"/>
  <c r="BF156" i="1"/>
  <c r="FO156" i="1" s="1"/>
  <c r="BE156" i="1"/>
  <c r="BD156" i="1"/>
  <c r="FP156" i="1" s="1"/>
  <c r="BA156" i="1"/>
  <c r="FN156" i="1" s="1"/>
  <c r="AO156" i="1"/>
  <c r="EI156" i="1" s="1"/>
  <c r="AM156" i="1"/>
  <c r="EH156" i="1" s="1"/>
  <c r="AK156" i="1"/>
  <c r="Y156" i="1"/>
  <c r="Z156" i="1" s="1"/>
  <c r="AA156" i="1" s="1"/>
  <c r="DY156" i="1" s="1"/>
  <c r="EC156" i="1" s="1"/>
  <c r="GH156" i="1" s="1"/>
  <c r="GD155" i="1"/>
  <c r="GB155" i="1"/>
  <c r="FZ155" i="1"/>
  <c r="FW155" i="1"/>
  <c r="FV155" i="1"/>
  <c r="FX155" i="1" s="1"/>
  <c r="FS155" i="1"/>
  <c r="FM155" i="1"/>
  <c r="FJ155" i="1"/>
  <c r="FH155" i="1"/>
  <c r="FF155" i="1"/>
  <c r="FD155" i="1"/>
  <c r="FB155" i="1"/>
  <c r="FA155" i="1"/>
  <c r="EZ155" i="1"/>
  <c r="EX155" i="1"/>
  <c r="EV155" i="1"/>
  <c r="ET155" i="1"/>
  <c r="EL155" i="1"/>
  <c r="EF155" i="1"/>
  <c r="ED155" i="1"/>
  <c r="EB155" i="1"/>
  <c r="EA155" i="1"/>
  <c r="DZ155" i="1"/>
  <c r="DV155" i="1"/>
  <c r="DW155" i="1" s="1"/>
  <c r="ER155" i="1" s="1"/>
  <c r="DT155" i="1"/>
  <c r="DR155" i="1"/>
  <c r="BE155" i="1"/>
  <c r="BF155" i="1" s="1"/>
  <c r="FO155" i="1" s="1"/>
  <c r="BD155" i="1"/>
  <c r="FP155" i="1" s="1"/>
  <c r="BA155" i="1"/>
  <c r="FN155" i="1" s="1"/>
  <c r="AO155" i="1"/>
  <c r="EI155" i="1" s="1"/>
  <c r="AM155" i="1"/>
  <c r="EH155" i="1" s="1"/>
  <c r="AK155" i="1"/>
  <c r="Y155" i="1"/>
  <c r="Z155" i="1" s="1"/>
  <c r="AA155" i="1" s="1"/>
  <c r="DY155" i="1" s="1"/>
  <c r="EC155" i="1" s="1"/>
  <c r="GH155" i="1" s="1"/>
  <c r="GD154" i="1"/>
  <c r="GB154" i="1"/>
  <c r="FZ154" i="1"/>
  <c r="FW154" i="1"/>
  <c r="FV154" i="1"/>
  <c r="FX154" i="1" s="1"/>
  <c r="FS154" i="1"/>
  <c r="FM154" i="1"/>
  <c r="FJ154" i="1"/>
  <c r="FH154" i="1"/>
  <c r="FF154" i="1"/>
  <c r="FD154" i="1"/>
  <c r="FB154" i="1"/>
  <c r="FA154" i="1"/>
  <c r="EZ154" i="1"/>
  <c r="EX154" i="1"/>
  <c r="EV154" i="1"/>
  <c r="ET154" i="1"/>
  <c r="EL154" i="1"/>
  <c r="EF154" i="1"/>
  <c r="ED154" i="1"/>
  <c r="EB154" i="1"/>
  <c r="EA154" i="1"/>
  <c r="DZ154" i="1"/>
  <c r="DW154" i="1"/>
  <c r="ER154" i="1" s="1"/>
  <c r="DV154" i="1"/>
  <c r="DT154" i="1"/>
  <c r="DR154" i="1"/>
  <c r="BF154" i="1"/>
  <c r="FO154" i="1" s="1"/>
  <c r="BE154" i="1"/>
  <c r="BD154" i="1"/>
  <c r="FP154" i="1" s="1"/>
  <c r="BA154" i="1"/>
  <c r="FN154" i="1" s="1"/>
  <c r="AO154" i="1"/>
  <c r="EI154" i="1" s="1"/>
  <c r="AM154" i="1"/>
  <c r="EH154" i="1" s="1"/>
  <c r="AK154" i="1"/>
  <c r="Y154" i="1"/>
  <c r="Z154" i="1" s="1"/>
  <c r="AA154" i="1" s="1"/>
  <c r="DY154" i="1" s="1"/>
  <c r="EC154" i="1" s="1"/>
  <c r="GH154" i="1" s="1"/>
  <c r="GD153" i="1"/>
  <c r="GB153" i="1"/>
  <c r="FZ153" i="1"/>
  <c r="FW153" i="1"/>
  <c r="FV153" i="1"/>
  <c r="FX153" i="1" s="1"/>
  <c r="FS153" i="1"/>
  <c r="FM153" i="1"/>
  <c r="FJ153" i="1"/>
  <c r="FH153" i="1"/>
  <c r="FF153" i="1"/>
  <c r="FD153" i="1"/>
  <c r="FB153" i="1"/>
  <c r="FA153" i="1"/>
  <c r="EZ153" i="1"/>
  <c r="EX153" i="1"/>
  <c r="EV153" i="1"/>
  <c r="ET153" i="1"/>
  <c r="EL153" i="1"/>
  <c r="EF153" i="1"/>
  <c r="ED153" i="1"/>
  <c r="EB153" i="1"/>
  <c r="EA153" i="1"/>
  <c r="DZ153" i="1"/>
  <c r="DV153" i="1"/>
  <c r="DW153" i="1" s="1"/>
  <c r="ER153" i="1" s="1"/>
  <c r="DT153" i="1"/>
  <c r="DR153" i="1"/>
  <c r="BE153" i="1"/>
  <c r="BF153" i="1" s="1"/>
  <c r="FO153" i="1" s="1"/>
  <c r="BD153" i="1"/>
  <c r="FP153" i="1" s="1"/>
  <c r="BA153" i="1"/>
  <c r="FN153" i="1" s="1"/>
  <c r="AO153" i="1"/>
  <c r="EI153" i="1" s="1"/>
  <c r="AM153" i="1"/>
  <c r="EH153" i="1" s="1"/>
  <c r="AK153" i="1"/>
  <c r="Y153" i="1"/>
  <c r="Z153" i="1" s="1"/>
  <c r="AA153" i="1" s="1"/>
  <c r="DY153" i="1" s="1"/>
  <c r="EC153" i="1" s="1"/>
  <c r="GH153" i="1" s="1"/>
  <c r="GD152" i="1"/>
  <c r="GB152" i="1"/>
  <c r="FZ152" i="1"/>
  <c r="FW152" i="1"/>
  <c r="FV152" i="1"/>
  <c r="FX152" i="1" s="1"/>
  <c r="FS152" i="1"/>
  <c r="FM152" i="1"/>
  <c r="FJ152" i="1"/>
  <c r="FH152" i="1"/>
  <c r="FF152" i="1"/>
  <c r="FD152" i="1"/>
  <c r="FB152" i="1"/>
  <c r="FA152" i="1"/>
  <c r="EZ152" i="1"/>
  <c r="EX152" i="1"/>
  <c r="EV152" i="1"/>
  <c r="ET152" i="1"/>
  <c r="EL152" i="1"/>
  <c r="EF152" i="1"/>
  <c r="ED152" i="1"/>
  <c r="EB152" i="1"/>
  <c r="EA152" i="1"/>
  <c r="DZ152" i="1"/>
  <c r="DV152" i="1"/>
  <c r="DW152" i="1" s="1"/>
  <c r="ER152" i="1" s="1"/>
  <c r="DT152" i="1"/>
  <c r="DR152" i="1"/>
  <c r="BE152" i="1"/>
  <c r="BF152" i="1" s="1"/>
  <c r="FO152" i="1" s="1"/>
  <c r="BD152" i="1"/>
  <c r="FP152" i="1" s="1"/>
  <c r="BA152" i="1"/>
  <c r="FN152" i="1" s="1"/>
  <c r="AO152" i="1"/>
  <c r="EI152" i="1" s="1"/>
  <c r="AM152" i="1"/>
  <c r="EH152" i="1" s="1"/>
  <c r="AK152" i="1"/>
  <c r="Z152" i="1"/>
  <c r="AA152" i="1" s="1"/>
  <c r="DY152" i="1" s="1"/>
  <c r="EC152" i="1" s="1"/>
  <c r="GH152" i="1" s="1"/>
  <c r="Y152" i="1"/>
  <c r="GD151" i="1"/>
  <c r="GB151" i="1"/>
  <c r="FZ151" i="1"/>
  <c r="FW151" i="1"/>
  <c r="FV151" i="1"/>
  <c r="FS151" i="1"/>
  <c r="FM151" i="1"/>
  <c r="FJ151" i="1"/>
  <c r="FH151" i="1"/>
  <c r="FF151" i="1"/>
  <c r="FD151" i="1"/>
  <c r="FB151" i="1"/>
  <c r="FA151" i="1"/>
  <c r="EZ151" i="1"/>
  <c r="EX151" i="1"/>
  <c r="EV151" i="1"/>
  <c r="ET151" i="1"/>
  <c r="EL151" i="1"/>
  <c r="EF151" i="1"/>
  <c r="ED151" i="1"/>
  <c r="EB151" i="1"/>
  <c r="EA151" i="1"/>
  <c r="DZ151" i="1"/>
  <c r="DV151" i="1"/>
  <c r="DW151" i="1" s="1"/>
  <c r="ER151" i="1" s="1"/>
  <c r="DT151" i="1"/>
  <c r="DR151" i="1"/>
  <c r="BE151" i="1"/>
  <c r="BF151" i="1" s="1"/>
  <c r="FO151" i="1" s="1"/>
  <c r="BD151" i="1"/>
  <c r="FP151" i="1" s="1"/>
  <c r="BA151" i="1"/>
  <c r="FN151" i="1" s="1"/>
  <c r="AO151" i="1"/>
  <c r="EI151" i="1" s="1"/>
  <c r="AM151" i="1"/>
  <c r="EH151" i="1" s="1"/>
  <c r="AK151" i="1"/>
  <c r="Y151" i="1"/>
  <c r="Z151" i="1" s="1"/>
  <c r="AA151" i="1" s="1"/>
  <c r="DY151" i="1" s="1"/>
  <c r="EC151" i="1" s="1"/>
  <c r="GH151" i="1" s="1"/>
  <c r="GD150" i="1"/>
  <c r="GB150" i="1"/>
  <c r="FZ150" i="1"/>
  <c r="FW150" i="1"/>
  <c r="FV150" i="1"/>
  <c r="FS150" i="1"/>
  <c r="FM150" i="1"/>
  <c r="FJ150" i="1"/>
  <c r="FH150" i="1"/>
  <c r="FF150" i="1"/>
  <c r="FD150" i="1"/>
  <c r="FB150" i="1"/>
  <c r="FA150" i="1"/>
  <c r="EZ150" i="1"/>
  <c r="EX150" i="1"/>
  <c r="EV150" i="1"/>
  <c r="ET150" i="1"/>
  <c r="EL150" i="1"/>
  <c r="EF150" i="1"/>
  <c r="ED150" i="1"/>
  <c r="EB150" i="1"/>
  <c r="EA150" i="1"/>
  <c r="DZ150" i="1"/>
  <c r="DW150" i="1"/>
  <c r="ER150" i="1" s="1"/>
  <c r="DV150" i="1"/>
  <c r="DT150" i="1"/>
  <c r="DR150" i="1"/>
  <c r="BF150" i="1"/>
  <c r="FO150" i="1" s="1"/>
  <c r="BE150" i="1"/>
  <c r="BD150" i="1"/>
  <c r="FP150" i="1" s="1"/>
  <c r="BA150" i="1"/>
  <c r="FN150" i="1" s="1"/>
  <c r="AO150" i="1"/>
  <c r="EI150" i="1" s="1"/>
  <c r="AM150" i="1"/>
  <c r="EH150" i="1" s="1"/>
  <c r="AK150" i="1"/>
  <c r="Y150" i="1"/>
  <c r="Z150" i="1" s="1"/>
  <c r="AA150" i="1" s="1"/>
  <c r="DY150" i="1" s="1"/>
  <c r="EC150" i="1" s="1"/>
  <c r="GH150" i="1" s="1"/>
  <c r="GD149" i="1"/>
  <c r="GB149" i="1"/>
  <c r="FZ149" i="1"/>
  <c r="FW149" i="1"/>
  <c r="FV149" i="1"/>
  <c r="FX149" i="1" s="1"/>
  <c r="FS149" i="1"/>
  <c r="FM149" i="1"/>
  <c r="FJ149" i="1"/>
  <c r="FH149" i="1"/>
  <c r="FF149" i="1"/>
  <c r="FD149" i="1"/>
  <c r="FB149" i="1"/>
  <c r="FA149" i="1"/>
  <c r="EZ149" i="1"/>
  <c r="EX149" i="1"/>
  <c r="EV149" i="1"/>
  <c r="ET149" i="1"/>
  <c r="EL149" i="1"/>
  <c r="EF149" i="1"/>
  <c r="ED149" i="1"/>
  <c r="EB149" i="1"/>
  <c r="EA149" i="1"/>
  <c r="DZ149" i="1"/>
  <c r="DV149" i="1"/>
  <c r="DW149" i="1" s="1"/>
  <c r="ER149" i="1" s="1"/>
  <c r="DT149" i="1"/>
  <c r="DR149" i="1"/>
  <c r="BE149" i="1"/>
  <c r="BF149" i="1" s="1"/>
  <c r="FO149" i="1" s="1"/>
  <c r="BD149" i="1"/>
  <c r="FP149" i="1" s="1"/>
  <c r="BA149" i="1"/>
  <c r="FN149" i="1" s="1"/>
  <c r="AO149" i="1"/>
  <c r="EI149" i="1" s="1"/>
  <c r="AM149" i="1"/>
  <c r="EH149" i="1" s="1"/>
  <c r="AK149" i="1"/>
  <c r="Y149" i="1"/>
  <c r="Z149" i="1" s="1"/>
  <c r="AA149" i="1" s="1"/>
  <c r="DY149" i="1" s="1"/>
  <c r="EC149" i="1" s="1"/>
  <c r="GH149" i="1" s="1"/>
  <c r="GD148" i="1"/>
  <c r="GB148" i="1"/>
  <c r="FZ148" i="1"/>
  <c r="FW148" i="1"/>
  <c r="FV148" i="1"/>
  <c r="FX148" i="1" s="1"/>
  <c r="FS148" i="1"/>
  <c r="FM148" i="1"/>
  <c r="FJ148" i="1"/>
  <c r="FH148" i="1"/>
  <c r="FF148" i="1"/>
  <c r="FD148" i="1"/>
  <c r="FB148" i="1"/>
  <c r="FA148" i="1"/>
  <c r="EZ148" i="1"/>
  <c r="EX148" i="1"/>
  <c r="EV148" i="1"/>
  <c r="ET148" i="1"/>
  <c r="EL148" i="1"/>
  <c r="EF148" i="1"/>
  <c r="ED148" i="1"/>
  <c r="EB148" i="1"/>
  <c r="EA148" i="1"/>
  <c r="DZ148" i="1"/>
  <c r="DW148" i="1"/>
  <c r="ER148" i="1" s="1"/>
  <c r="DV148" i="1"/>
  <c r="DT148" i="1"/>
  <c r="DR148" i="1"/>
  <c r="BF148" i="1"/>
  <c r="FO148" i="1" s="1"/>
  <c r="BE148" i="1"/>
  <c r="BD148" i="1"/>
  <c r="FP148" i="1" s="1"/>
  <c r="BA148" i="1"/>
  <c r="FN148" i="1" s="1"/>
  <c r="AO148" i="1"/>
  <c r="EI148" i="1" s="1"/>
  <c r="AM148" i="1"/>
  <c r="EH148" i="1" s="1"/>
  <c r="AK148" i="1"/>
  <c r="Y148" i="1"/>
  <c r="Z148" i="1" s="1"/>
  <c r="AA148" i="1" s="1"/>
  <c r="DY148" i="1" s="1"/>
  <c r="EC148" i="1" s="1"/>
  <c r="GH148" i="1" s="1"/>
  <c r="GD147" i="1"/>
  <c r="GB147" i="1"/>
  <c r="FZ147" i="1"/>
  <c r="FW147" i="1"/>
  <c r="FV147" i="1"/>
  <c r="FX147" i="1" s="1"/>
  <c r="FS147" i="1"/>
  <c r="FM147" i="1"/>
  <c r="FJ147" i="1"/>
  <c r="FH147" i="1"/>
  <c r="FF147" i="1"/>
  <c r="FD147" i="1"/>
  <c r="FB147" i="1"/>
  <c r="FA147" i="1"/>
  <c r="EZ147" i="1"/>
  <c r="EX147" i="1"/>
  <c r="EV147" i="1"/>
  <c r="ET147" i="1"/>
  <c r="EL147" i="1"/>
  <c r="EF147" i="1"/>
  <c r="ED147" i="1"/>
  <c r="EB147" i="1"/>
  <c r="EA147" i="1"/>
  <c r="DZ147" i="1"/>
  <c r="DV147" i="1"/>
  <c r="DW147" i="1" s="1"/>
  <c r="ER147" i="1" s="1"/>
  <c r="DT147" i="1"/>
  <c r="DR147" i="1"/>
  <c r="BE147" i="1"/>
  <c r="BF147" i="1" s="1"/>
  <c r="FO147" i="1" s="1"/>
  <c r="BD147" i="1"/>
  <c r="FP147" i="1" s="1"/>
  <c r="BA147" i="1"/>
  <c r="FN147" i="1" s="1"/>
  <c r="AO147" i="1"/>
  <c r="EI147" i="1" s="1"/>
  <c r="AM147" i="1"/>
  <c r="EH147" i="1" s="1"/>
  <c r="AK147" i="1"/>
  <c r="Z147" i="1"/>
  <c r="AA147" i="1" s="1"/>
  <c r="DY147" i="1" s="1"/>
  <c r="EC147" i="1" s="1"/>
  <c r="GH147" i="1" s="1"/>
  <c r="Y147" i="1"/>
  <c r="GD146" i="1"/>
  <c r="GB146" i="1"/>
  <c r="FZ146" i="1"/>
  <c r="FW146" i="1"/>
  <c r="FV146" i="1"/>
  <c r="FS146" i="1"/>
  <c r="FM146" i="1"/>
  <c r="FJ146" i="1"/>
  <c r="FH146" i="1"/>
  <c r="FF146" i="1"/>
  <c r="FD146" i="1"/>
  <c r="FB146" i="1"/>
  <c r="FA146" i="1"/>
  <c r="EZ146" i="1"/>
  <c r="EX146" i="1"/>
  <c r="EV146" i="1"/>
  <c r="ET146" i="1"/>
  <c r="EL146" i="1"/>
  <c r="EF146" i="1"/>
  <c r="ED146" i="1"/>
  <c r="EB146" i="1"/>
  <c r="EA146" i="1"/>
  <c r="DZ146" i="1"/>
  <c r="DV146" i="1"/>
  <c r="DW146" i="1" s="1"/>
  <c r="ER146" i="1" s="1"/>
  <c r="DT146" i="1"/>
  <c r="DR146" i="1"/>
  <c r="BE146" i="1"/>
  <c r="BF146" i="1" s="1"/>
  <c r="FO146" i="1" s="1"/>
  <c r="BD146" i="1"/>
  <c r="FP146" i="1" s="1"/>
  <c r="BA146" i="1"/>
  <c r="FN146" i="1" s="1"/>
  <c r="AO146" i="1"/>
  <c r="EI146" i="1" s="1"/>
  <c r="AM146" i="1"/>
  <c r="EH146" i="1" s="1"/>
  <c r="AK146" i="1"/>
  <c r="Z146" i="1"/>
  <c r="AA146" i="1" s="1"/>
  <c r="DY146" i="1" s="1"/>
  <c r="EC146" i="1" s="1"/>
  <c r="GH146" i="1" s="1"/>
  <c r="Y146" i="1"/>
  <c r="GD145" i="1"/>
  <c r="GB145" i="1"/>
  <c r="FZ145" i="1"/>
  <c r="FW145" i="1"/>
  <c r="FV145" i="1"/>
  <c r="FS145" i="1"/>
  <c r="FM145" i="1"/>
  <c r="FJ145" i="1"/>
  <c r="FH145" i="1"/>
  <c r="FF145" i="1"/>
  <c r="FD145" i="1"/>
  <c r="FB145" i="1"/>
  <c r="FA145" i="1"/>
  <c r="EZ145" i="1"/>
  <c r="EX145" i="1"/>
  <c r="EV145" i="1"/>
  <c r="ET145" i="1"/>
  <c r="EL145" i="1"/>
  <c r="EF145" i="1"/>
  <c r="ED145" i="1"/>
  <c r="EB145" i="1"/>
  <c r="EA145" i="1"/>
  <c r="DZ145" i="1"/>
  <c r="DV145" i="1"/>
  <c r="DW145" i="1" s="1"/>
  <c r="ER145" i="1" s="1"/>
  <c r="DT145" i="1"/>
  <c r="DR145" i="1"/>
  <c r="BE145" i="1"/>
  <c r="BF145" i="1" s="1"/>
  <c r="FO145" i="1" s="1"/>
  <c r="BD145" i="1"/>
  <c r="FP145" i="1" s="1"/>
  <c r="BA145" i="1"/>
  <c r="FN145" i="1" s="1"/>
  <c r="AO145" i="1"/>
  <c r="EI145" i="1" s="1"/>
  <c r="AM145" i="1"/>
  <c r="EH145" i="1" s="1"/>
  <c r="AK145" i="1"/>
  <c r="Z145" i="1"/>
  <c r="AA145" i="1" s="1"/>
  <c r="DY145" i="1" s="1"/>
  <c r="EC145" i="1" s="1"/>
  <c r="GH145" i="1" s="1"/>
  <c r="Y145" i="1"/>
  <c r="GD144" i="1"/>
  <c r="GB144" i="1"/>
  <c r="FZ144" i="1"/>
  <c r="FW144" i="1"/>
  <c r="FV144" i="1"/>
  <c r="FX144" i="1" s="1"/>
  <c r="FS144" i="1"/>
  <c r="FM144" i="1"/>
  <c r="FJ144" i="1"/>
  <c r="FH144" i="1"/>
  <c r="FF144" i="1"/>
  <c r="FD144" i="1"/>
  <c r="FB144" i="1"/>
  <c r="FA144" i="1"/>
  <c r="EZ144" i="1"/>
  <c r="EX144" i="1"/>
  <c r="EV144" i="1"/>
  <c r="ET144" i="1"/>
  <c r="EL144" i="1"/>
  <c r="EF144" i="1"/>
  <c r="ED144" i="1"/>
  <c r="EB144" i="1"/>
  <c r="EA144" i="1"/>
  <c r="DZ144" i="1"/>
  <c r="DV144" i="1"/>
  <c r="DW144" i="1" s="1"/>
  <c r="ER144" i="1" s="1"/>
  <c r="DT144" i="1"/>
  <c r="DR144" i="1"/>
  <c r="BE144" i="1"/>
  <c r="BF144" i="1" s="1"/>
  <c r="FO144" i="1" s="1"/>
  <c r="BD144" i="1"/>
  <c r="FP144" i="1" s="1"/>
  <c r="BA144" i="1"/>
  <c r="FN144" i="1" s="1"/>
  <c r="AO144" i="1"/>
  <c r="EI144" i="1" s="1"/>
  <c r="AM144" i="1"/>
  <c r="EH144" i="1" s="1"/>
  <c r="AK144" i="1"/>
  <c r="Z144" i="1"/>
  <c r="AA144" i="1" s="1"/>
  <c r="DY144" i="1" s="1"/>
  <c r="EC144" i="1" s="1"/>
  <c r="GH144" i="1" s="1"/>
  <c r="Y144" i="1"/>
  <c r="GD143" i="1"/>
  <c r="GB143" i="1"/>
  <c r="FZ143" i="1"/>
  <c r="FW143" i="1"/>
  <c r="FV143" i="1"/>
  <c r="FX143" i="1" s="1"/>
  <c r="FS143" i="1"/>
  <c r="FM143" i="1"/>
  <c r="FJ143" i="1"/>
  <c r="FH143" i="1"/>
  <c r="FF143" i="1"/>
  <c r="FD143" i="1"/>
  <c r="FB143" i="1"/>
  <c r="FA143" i="1"/>
  <c r="EZ143" i="1"/>
  <c r="EX143" i="1"/>
  <c r="EV143" i="1"/>
  <c r="ET143" i="1"/>
  <c r="EL143" i="1"/>
  <c r="EF143" i="1"/>
  <c r="ED143" i="1"/>
  <c r="EB143" i="1"/>
  <c r="EA143" i="1"/>
  <c r="DZ143" i="1"/>
  <c r="DW143" i="1"/>
  <c r="ER143" i="1" s="1"/>
  <c r="DV143" i="1"/>
  <c r="DT143" i="1"/>
  <c r="DR143" i="1"/>
  <c r="BF143" i="1"/>
  <c r="FO143" i="1" s="1"/>
  <c r="BE143" i="1"/>
  <c r="BD143" i="1"/>
  <c r="FP143" i="1" s="1"/>
  <c r="BA143" i="1"/>
  <c r="FN143" i="1" s="1"/>
  <c r="AO143" i="1"/>
  <c r="EI143" i="1" s="1"/>
  <c r="AM143" i="1"/>
  <c r="EH143" i="1" s="1"/>
  <c r="AK143" i="1"/>
  <c r="Y143" i="1"/>
  <c r="Z143" i="1" s="1"/>
  <c r="AA143" i="1" s="1"/>
  <c r="DY143" i="1" s="1"/>
  <c r="EC143" i="1" s="1"/>
  <c r="GH143" i="1" s="1"/>
  <c r="GD142" i="1"/>
  <c r="GB142" i="1"/>
  <c r="FZ142" i="1"/>
  <c r="FW142" i="1"/>
  <c r="FV142" i="1"/>
  <c r="FX142" i="1" s="1"/>
  <c r="FS142" i="1"/>
  <c r="FM142" i="1"/>
  <c r="FJ142" i="1"/>
  <c r="FH142" i="1"/>
  <c r="FF142" i="1"/>
  <c r="FD142" i="1"/>
  <c r="FB142" i="1"/>
  <c r="FA142" i="1"/>
  <c r="EZ142" i="1"/>
  <c r="EX142" i="1"/>
  <c r="EV142" i="1"/>
  <c r="ET142" i="1"/>
  <c r="EL142" i="1"/>
  <c r="EF142" i="1"/>
  <c r="ED142" i="1"/>
  <c r="EB142" i="1"/>
  <c r="EA142" i="1"/>
  <c r="DZ142" i="1"/>
  <c r="DV142" i="1"/>
  <c r="DW142" i="1" s="1"/>
  <c r="ER142" i="1" s="1"/>
  <c r="DT142" i="1"/>
  <c r="DR142" i="1"/>
  <c r="BE142" i="1"/>
  <c r="BF142" i="1" s="1"/>
  <c r="FO142" i="1" s="1"/>
  <c r="BD142" i="1"/>
  <c r="FP142" i="1" s="1"/>
  <c r="BA142" i="1"/>
  <c r="FN142" i="1" s="1"/>
  <c r="AO142" i="1"/>
  <c r="EI142" i="1" s="1"/>
  <c r="AM142" i="1"/>
  <c r="EH142" i="1" s="1"/>
  <c r="AK142" i="1"/>
  <c r="Z142" i="1"/>
  <c r="AA142" i="1" s="1"/>
  <c r="DY142" i="1" s="1"/>
  <c r="EC142" i="1" s="1"/>
  <c r="GH142" i="1" s="1"/>
  <c r="Y142" i="1"/>
  <c r="GD141" i="1"/>
  <c r="GB141" i="1"/>
  <c r="FZ141" i="1"/>
  <c r="FW141" i="1"/>
  <c r="FV141" i="1"/>
  <c r="FX141" i="1" s="1"/>
  <c r="FS141" i="1"/>
  <c r="FM141" i="1"/>
  <c r="FJ141" i="1"/>
  <c r="FH141" i="1"/>
  <c r="FF141" i="1"/>
  <c r="FD141" i="1"/>
  <c r="FB141" i="1"/>
  <c r="FA141" i="1"/>
  <c r="EZ141" i="1"/>
  <c r="EX141" i="1"/>
  <c r="EV141" i="1"/>
  <c r="ET141" i="1"/>
  <c r="EL141" i="1"/>
  <c r="EF141" i="1"/>
  <c r="ED141" i="1"/>
  <c r="EB141" i="1"/>
  <c r="EA141" i="1"/>
  <c r="DZ141" i="1"/>
  <c r="DW141" i="1"/>
  <c r="ER141" i="1" s="1"/>
  <c r="DV141" i="1"/>
  <c r="DT141" i="1"/>
  <c r="DR141" i="1"/>
  <c r="BF141" i="1"/>
  <c r="FO141" i="1" s="1"/>
  <c r="BE141" i="1"/>
  <c r="BD141" i="1"/>
  <c r="FP141" i="1" s="1"/>
  <c r="BA141" i="1"/>
  <c r="FN141" i="1" s="1"/>
  <c r="AO141" i="1"/>
  <c r="EI141" i="1" s="1"/>
  <c r="AM141" i="1"/>
  <c r="EH141" i="1" s="1"/>
  <c r="AK141" i="1"/>
  <c r="Y141" i="1"/>
  <c r="Z141" i="1" s="1"/>
  <c r="AA141" i="1" s="1"/>
  <c r="DY141" i="1" s="1"/>
  <c r="EC141" i="1" s="1"/>
  <c r="GH141" i="1" s="1"/>
  <c r="GD140" i="1"/>
  <c r="GB140" i="1"/>
  <c r="FZ140" i="1"/>
  <c r="FW140" i="1"/>
  <c r="FV140" i="1"/>
  <c r="FX140" i="1" s="1"/>
  <c r="FS140" i="1"/>
  <c r="FM140" i="1"/>
  <c r="FJ140" i="1"/>
  <c r="FH140" i="1"/>
  <c r="FF140" i="1"/>
  <c r="FD140" i="1"/>
  <c r="FB140" i="1"/>
  <c r="FA140" i="1"/>
  <c r="EZ140" i="1"/>
  <c r="EX140" i="1"/>
  <c r="EV140" i="1"/>
  <c r="ET140" i="1"/>
  <c r="EL140" i="1"/>
  <c r="EF140" i="1"/>
  <c r="ED140" i="1"/>
  <c r="EB140" i="1"/>
  <c r="EA140" i="1"/>
  <c r="DZ140" i="1"/>
  <c r="DV140" i="1"/>
  <c r="DW140" i="1" s="1"/>
  <c r="ER140" i="1" s="1"/>
  <c r="DT140" i="1"/>
  <c r="DR140" i="1"/>
  <c r="BE140" i="1"/>
  <c r="BF140" i="1" s="1"/>
  <c r="FO140" i="1" s="1"/>
  <c r="BD140" i="1"/>
  <c r="FP140" i="1" s="1"/>
  <c r="BA140" i="1"/>
  <c r="FN140" i="1" s="1"/>
  <c r="AO140" i="1"/>
  <c r="EI140" i="1" s="1"/>
  <c r="AM140" i="1"/>
  <c r="EH140" i="1" s="1"/>
  <c r="AK140" i="1"/>
  <c r="Y140" i="1"/>
  <c r="Z140" i="1" s="1"/>
  <c r="AA140" i="1" s="1"/>
  <c r="DY140" i="1" s="1"/>
  <c r="EC140" i="1" s="1"/>
  <c r="GH140" i="1" s="1"/>
  <c r="GD139" i="1"/>
  <c r="GB139" i="1"/>
  <c r="FZ139" i="1"/>
  <c r="FW139" i="1"/>
  <c r="FV139" i="1"/>
  <c r="FX139" i="1" s="1"/>
  <c r="FS139" i="1"/>
  <c r="FM139" i="1"/>
  <c r="FJ139" i="1"/>
  <c r="FH139" i="1"/>
  <c r="FF139" i="1"/>
  <c r="FD139" i="1"/>
  <c r="FB139" i="1"/>
  <c r="FA139" i="1"/>
  <c r="EZ139" i="1"/>
  <c r="EX139" i="1"/>
  <c r="EV139" i="1"/>
  <c r="ET139" i="1"/>
  <c r="EL139" i="1"/>
  <c r="EF139" i="1"/>
  <c r="ED139" i="1"/>
  <c r="EB139" i="1"/>
  <c r="EA139" i="1"/>
  <c r="DZ139" i="1"/>
  <c r="DW139" i="1"/>
  <c r="ER139" i="1" s="1"/>
  <c r="DV139" i="1"/>
  <c r="DT139" i="1"/>
  <c r="DR139" i="1"/>
  <c r="BF139" i="1"/>
  <c r="FO139" i="1" s="1"/>
  <c r="BE139" i="1"/>
  <c r="BD139" i="1"/>
  <c r="FP139" i="1" s="1"/>
  <c r="BA139" i="1"/>
  <c r="FN139" i="1" s="1"/>
  <c r="AO139" i="1"/>
  <c r="EI139" i="1" s="1"/>
  <c r="AM139" i="1"/>
  <c r="EH139" i="1" s="1"/>
  <c r="AK139" i="1"/>
  <c r="Y139" i="1"/>
  <c r="Z139" i="1" s="1"/>
  <c r="AA139" i="1" s="1"/>
  <c r="DY139" i="1" s="1"/>
  <c r="EC139" i="1" s="1"/>
  <c r="GH139" i="1" s="1"/>
  <c r="GD138" i="1"/>
  <c r="GB138" i="1"/>
  <c r="FZ138" i="1"/>
  <c r="FW138" i="1"/>
  <c r="FV138" i="1"/>
  <c r="FS138" i="1"/>
  <c r="FM138" i="1"/>
  <c r="FJ138" i="1"/>
  <c r="FH138" i="1"/>
  <c r="FF138" i="1"/>
  <c r="FD138" i="1"/>
  <c r="FB138" i="1"/>
  <c r="FA138" i="1"/>
  <c r="EZ138" i="1"/>
  <c r="EX138" i="1"/>
  <c r="EV138" i="1"/>
  <c r="ET138" i="1"/>
  <c r="EL138" i="1"/>
  <c r="EF138" i="1"/>
  <c r="ED138" i="1"/>
  <c r="EB138" i="1"/>
  <c r="EA138" i="1"/>
  <c r="DZ138" i="1"/>
  <c r="DV138" i="1"/>
  <c r="DW138" i="1" s="1"/>
  <c r="ER138" i="1" s="1"/>
  <c r="DT138" i="1"/>
  <c r="DR138" i="1"/>
  <c r="BE138" i="1"/>
  <c r="BF138" i="1" s="1"/>
  <c r="FO138" i="1" s="1"/>
  <c r="BD138" i="1"/>
  <c r="FP138" i="1" s="1"/>
  <c r="BA138" i="1"/>
  <c r="FN138" i="1" s="1"/>
  <c r="AO138" i="1"/>
  <c r="EI138" i="1" s="1"/>
  <c r="AM138" i="1"/>
  <c r="EH138" i="1" s="1"/>
  <c r="AK138" i="1"/>
  <c r="Y138" i="1"/>
  <c r="Z138" i="1" s="1"/>
  <c r="AA138" i="1" s="1"/>
  <c r="DY138" i="1" s="1"/>
  <c r="EC138" i="1" s="1"/>
  <c r="GH138" i="1" s="1"/>
  <c r="GD137" i="1"/>
  <c r="GB137" i="1"/>
  <c r="FZ137" i="1"/>
  <c r="FW137" i="1"/>
  <c r="FV137" i="1"/>
  <c r="FS137" i="1"/>
  <c r="FM137" i="1"/>
  <c r="FJ137" i="1"/>
  <c r="FH137" i="1"/>
  <c r="FF137" i="1"/>
  <c r="FD137" i="1"/>
  <c r="FB137" i="1"/>
  <c r="FA137" i="1"/>
  <c r="EZ137" i="1"/>
  <c r="EX137" i="1"/>
  <c r="EV137" i="1"/>
  <c r="ET137" i="1"/>
  <c r="EL137" i="1"/>
  <c r="EF137" i="1"/>
  <c r="ED137" i="1"/>
  <c r="EB137" i="1"/>
  <c r="EA137" i="1"/>
  <c r="DZ137" i="1"/>
  <c r="DW137" i="1"/>
  <c r="ER137" i="1" s="1"/>
  <c r="DV137" i="1"/>
  <c r="DT137" i="1"/>
  <c r="DR137" i="1"/>
  <c r="BF137" i="1"/>
  <c r="FO137" i="1" s="1"/>
  <c r="BE137" i="1"/>
  <c r="BD137" i="1"/>
  <c r="FP137" i="1" s="1"/>
  <c r="BA137" i="1"/>
  <c r="FN137" i="1" s="1"/>
  <c r="AO137" i="1"/>
  <c r="EI137" i="1" s="1"/>
  <c r="AM137" i="1"/>
  <c r="EH137" i="1" s="1"/>
  <c r="AK137" i="1"/>
  <c r="Y137" i="1"/>
  <c r="Z137" i="1" s="1"/>
  <c r="AA137" i="1" s="1"/>
  <c r="DY137" i="1" s="1"/>
  <c r="EC137" i="1" s="1"/>
  <c r="GH137" i="1" s="1"/>
  <c r="GD136" i="1"/>
  <c r="GB136" i="1"/>
  <c r="FZ136" i="1"/>
  <c r="FW136" i="1"/>
  <c r="FV136" i="1"/>
  <c r="FS136" i="1"/>
  <c r="FM136" i="1"/>
  <c r="FJ136" i="1"/>
  <c r="FH136" i="1"/>
  <c r="FF136" i="1"/>
  <c r="FD136" i="1"/>
  <c r="FB136" i="1"/>
  <c r="FA136" i="1"/>
  <c r="EZ136" i="1"/>
  <c r="EX136" i="1"/>
  <c r="EV136" i="1"/>
  <c r="ET136" i="1"/>
  <c r="EL136" i="1"/>
  <c r="EF136" i="1"/>
  <c r="ED136" i="1"/>
  <c r="EB136" i="1"/>
  <c r="EA136" i="1"/>
  <c r="DZ136" i="1"/>
  <c r="DV136" i="1"/>
  <c r="DW136" i="1" s="1"/>
  <c r="ER136" i="1" s="1"/>
  <c r="DT136" i="1"/>
  <c r="DR136" i="1"/>
  <c r="BE136" i="1"/>
  <c r="BF136" i="1" s="1"/>
  <c r="FO136" i="1" s="1"/>
  <c r="BD136" i="1"/>
  <c r="FP136" i="1" s="1"/>
  <c r="BA136" i="1"/>
  <c r="FN136" i="1" s="1"/>
  <c r="AO136" i="1"/>
  <c r="EI136" i="1" s="1"/>
  <c r="AM136" i="1"/>
  <c r="EH136" i="1" s="1"/>
  <c r="AK136" i="1"/>
  <c r="Z136" i="1"/>
  <c r="AA136" i="1" s="1"/>
  <c r="DY136" i="1" s="1"/>
  <c r="EC136" i="1" s="1"/>
  <c r="GH136" i="1" s="1"/>
  <c r="Y136" i="1"/>
  <c r="GD135" i="1"/>
  <c r="GB135" i="1"/>
  <c r="FZ135" i="1"/>
  <c r="FW135" i="1"/>
  <c r="FV135" i="1"/>
  <c r="FX135" i="1" s="1"/>
  <c r="FS135" i="1"/>
  <c r="FM135" i="1"/>
  <c r="FJ135" i="1"/>
  <c r="FH135" i="1"/>
  <c r="FF135" i="1"/>
  <c r="FD135" i="1"/>
  <c r="FB135" i="1"/>
  <c r="FA135" i="1"/>
  <c r="EZ135" i="1"/>
  <c r="EX135" i="1"/>
  <c r="EV135" i="1"/>
  <c r="ET135" i="1"/>
  <c r="EL135" i="1"/>
  <c r="EF135" i="1"/>
  <c r="ED135" i="1"/>
  <c r="EB135" i="1"/>
  <c r="EA135" i="1"/>
  <c r="DZ135" i="1"/>
  <c r="DV135" i="1"/>
  <c r="DW135" i="1" s="1"/>
  <c r="ER135" i="1" s="1"/>
  <c r="DT135" i="1"/>
  <c r="DR135" i="1"/>
  <c r="BE135" i="1"/>
  <c r="BF135" i="1" s="1"/>
  <c r="FO135" i="1" s="1"/>
  <c r="BD135" i="1"/>
  <c r="FP135" i="1" s="1"/>
  <c r="BA135" i="1"/>
  <c r="FN135" i="1" s="1"/>
  <c r="AO135" i="1"/>
  <c r="EI135" i="1" s="1"/>
  <c r="AM135" i="1"/>
  <c r="EH135" i="1" s="1"/>
  <c r="AK135" i="1"/>
  <c r="Y135" i="1"/>
  <c r="Z135" i="1" s="1"/>
  <c r="AA135" i="1" s="1"/>
  <c r="DY135" i="1" s="1"/>
  <c r="EC135" i="1" s="1"/>
  <c r="GH135" i="1" s="1"/>
  <c r="GD134" i="1"/>
  <c r="GB134" i="1"/>
  <c r="FZ134" i="1"/>
  <c r="FW134" i="1"/>
  <c r="FV134" i="1"/>
  <c r="FX134" i="1" s="1"/>
  <c r="FS134" i="1"/>
  <c r="FM134" i="1"/>
  <c r="FJ134" i="1"/>
  <c r="FH134" i="1"/>
  <c r="FF134" i="1"/>
  <c r="FD134" i="1"/>
  <c r="FB134" i="1"/>
  <c r="FA134" i="1"/>
  <c r="EZ134" i="1"/>
  <c r="EX134" i="1"/>
  <c r="EV134" i="1"/>
  <c r="ET134" i="1"/>
  <c r="EL134" i="1"/>
  <c r="EF134" i="1"/>
  <c r="ED134" i="1"/>
  <c r="EB134" i="1"/>
  <c r="EA134" i="1"/>
  <c r="DZ134" i="1"/>
  <c r="DW134" i="1"/>
  <c r="ER134" i="1" s="1"/>
  <c r="DV134" i="1"/>
  <c r="DT134" i="1"/>
  <c r="DR134" i="1"/>
  <c r="BF134" i="1"/>
  <c r="FO134" i="1" s="1"/>
  <c r="BE134" i="1"/>
  <c r="BD134" i="1"/>
  <c r="FP134" i="1" s="1"/>
  <c r="BA134" i="1"/>
  <c r="FN134" i="1" s="1"/>
  <c r="AO134" i="1"/>
  <c r="EI134" i="1" s="1"/>
  <c r="AM134" i="1"/>
  <c r="EH134" i="1" s="1"/>
  <c r="AK134" i="1"/>
  <c r="Y134" i="1"/>
  <c r="Z134" i="1" s="1"/>
  <c r="AA134" i="1" s="1"/>
  <c r="DY134" i="1" s="1"/>
  <c r="EC134" i="1" s="1"/>
  <c r="GH134" i="1" s="1"/>
  <c r="GD133" i="1"/>
  <c r="GB133" i="1"/>
  <c r="FZ133" i="1"/>
  <c r="FW133" i="1"/>
  <c r="FV133" i="1"/>
  <c r="FX133" i="1" s="1"/>
  <c r="FS133" i="1"/>
  <c r="FM133" i="1"/>
  <c r="FJ133" i="1"/>
  <c r="FH133" i="1"/>
  <c r="FF133" i="1"/>
  <c r="FD133" i="1"/>
  <c r="FB133" i="1"/>
  <c r="FA133" i="1"/>
  <c r="EZ133" i="1"/>
  <c r="EX133" i="1"/>
  <c r="EV133" i="1"/>
  <c r="ET133" i="1"/>
  <c r="EL133" i="1"/>
  <c r="EF133" i="1"/>
  <c r="ED133" i="1"/>
  <c r="EB133" i="1"/>
  <c r="EA133" i="1"/>
  <c r="DZ133" i="1"/>
  <c r="DV133" i="1"/>
  <c r="DW133" i="1" s="1"/>
  <c r="ER133" i="1" s="1"/>
  <c r="DT133" i="1"/>
  <c r="DR133" i="1"/>
  <c r="BE133" i="1"/>
  <c r="BF133" i="1" s="1"/>
  <c r="FO133" i="1" s="1"/>
  <c r="BD133" i="1"/>
  <c r="FP133" i="1" s="1"/>
  <c r="BA133" i="1"/>
  <c r="FN133" i="1" s="1"/>
  <c r="AO133" i="1"/>
  <c r="EI133" i="1" s="1"/>
  <c r="AM133" i="1"/>
  <c r="EH133" i="1" s="1"/>
  <c r="AK133" i="1"/>
  <c r="Y133" i="1"/>
  <c r="Z133" i="1" s="1"/>
  <c r="AA133" i="1" s="1"/>
  <c r="DY133" i="1" s="1"/>
  <c r="EC133" i="1" s="1"/>
  <c r="GH133" i="1" s="1"/>
  <c r="GD132" i="1"/>
  <c r="GB132" i="1"/>
  <c r="FZ132" i="1"/>
  <c r="FW132" i="1"/>
  <c r="FV132" i="1"/>
  <c r="FX132" i="1" s="1"/>
  <c r="FS132" i="1"/>
  <c r="FM132" i="1"/>
  <c r="FJ132" i="1"/>
  <c r="FH132" i="1"/>
  <c r="FF132" i="1"/>
  <c r="FD132" i="1"/>
  <c r="FB132" i="1"/>
  <c r="FA132" i="1"/>
  <c r="EZ132" i="1"/>
  <c r="EX132" i="1"/>
  <c r="EV132" i="1"/>
  <c r="ET132" i="1"/>
  <c r="EL132" i="1"/>
  <c r="EF132" i="1"/>
  <c r="ED132" i="1"/>
  <c r="EB132" i="1"/>
  <c r="EA132" i="1"/>
  <c r="DZ132" i="1"/>
  <c r="DV132" i="1"/>
  <c r="DW132" i="1" s="1"/>
  <c r="ER132" i="1" s="1"/>
  <c r="DT132" i="1"/>
  <c r="DR132" i="1"/>
  <c r="BE132" i="1"/>
  <c r="BF132" i="1" s="1"/>
  <c r="FO132" i="1" s="1"/>
  <c r="BD132" i="1"/>
  <c r="FP132" i="1" s="1"/>
  <c r="BA132" i="1"/>
  <c r="FN132" i="1" s="1"/>
  <c r="AO132" i="1"/>
  <c r="EI132" i="1" s="1"/>
  <c r="AM132" i="1"/>
  <c r="EH132" i="1" s="1"/>
  <c r="AK132" i="1"/>
  <c r="Z132" i="1"/>
  <c r="AA132" i="1" s="1"/>
  <c r="DY132" i="1" s="1"/>
  <c r="EC132" i="1" s="1"/>
  <c r="GH132" i="1" s="1"/>
  <c r="Y132" i="1"/>
  <c r="GD131" i="1"/>
  <c r="GB131" i="1"/>
  <c r="FZ131" i="1"/>
  <c r="FW131" i="1"/>
  <c r="FV131" i="1"/>
  <c r="FX131" i="1" s="1"/>
  <c r="FS131" i="1"/>
  <c r="FM131" i="1"/>
  <c r="FJ131" i="1"/>
  <c r="FH131" i="1"/>
  <c r="FF131" i="1"/>
  <c r="FD131" i="1"/>
  <c r="FB131" i="1"/>
  <c r="FA131" i="1"/>
  <c r="EZ131" i="1"/>
  <c r="EX131" i="1"/>
  <c r="EV131" i="1"/>
  <c r="ET131" i="1"/>
  <c r="EL131" i="1"/>
  <c r="EF131" i="1"/>
  <c r="ED131" i="1"/>
  <c r="EB131" i="1"/>
  <c r="EA131" i="1"/>
  <c r="DZ131" i="1"/>
  <c r="DW131" i="1"/>
  <c r="ER131" i="1" s="1"/>
  <c r="DV131" i="1"/>
  <c r="DT131" i="1"/>
  <c r="DR131" i="1"/>
  <c r="BF131" i="1"/>
  <c r="FO131" i="1" s="1"/>
  <c r="BE131" i="1"/>
  <c r="BD131" i="1"/>
  <c r="FP131" i="1" s="1"/>
  <c r="BA131" i="1"/>
  <c r="FN131" i="1" s="1"/>
  <c r="AO131" i="1"/>
  <c r="EI131" i="1" s="1"/>
  <c r="AM131" i="1"/>
  <c r="EH131" i="1" s="1"/>
  <c r="AK131" i="1"/>
  <c r="Y131" i="1"/>
  <c r="Z131" i="1" s="1"/>
  <c r="AA131" i="1" s="1"/>
  <c r="DY131" i="1" s="1"/>
  <c r="EC131" i="1" s="1"/>
  <c r="GH131" i="1" s="1"/>
  <c r="GD130" i="1"/>
  <c r="GB130" i="1"/>
  <c r="FZ130" i="1"/>
  <c r="FW130" i="1"/>
  <c r="FX130" i="1" s="1"/>
  <c r="FV130" i="1"/>
  <c r="FS130" i="1"/>
  <c r="FM130" i="1"/>
  <c r="FJ130" i="1"/>
  <c r="FH130" i="1"/>
  <c r="FF130" i="1"/>
  <c r="FD130" i="1"/>
  <c r="FB130" i="1"/>
  <c r="FA130" i="1"/>
  <c r="EZ130" i="1"/>
  <c r="EX130" i="1"/>
  <c r="EV130" i="1"/>
  <c r="ET130" i="1"/>
  <c r="EL130" i="1"/>
  <c r="EF130" i="1"/>
  <c r="ED130" i="1"/>
  <c r="EB130" i="1"/>
  <c r="EA130" i="1"/>
  <c r="DZ130" i="1"/>
  <c r="DV130" i="1"/>
  <c r="DW130" i="1" s="1"/>
  <c r="ER130" i="1" s="1"/>
  <c r="DT130" i="1"/>
  <c r="DR130" i="1"/>
  <c r="BE130" i="1"/>
  <c r="BF130" i="1" s="1"/>
  <c r="FO130" i="1" s="1"/>
  <c r="BD130" i="1"/>
  <c r="FP130" i="1" s="1"/>
  <c r="BA130" i="1"/>
  <c r="FN130" i="1" s="1"/>
  <c r="AO130" i="1"/>
  <c r="EI130" i="1" s="1"/>
  <c r="AM130" i="1"/>
  <c r="EH130" i="1" s="1"/>
  <c r="AK130" i="1"/>
  <c r="Z130" i="1"/>
  <c r="AA130" i="1" s="1"/>
  <c r="DY130" i="1" s="1"/>
  <c r="EC130" i="1" s="1"/>
  <c r="GH130" i="1" s="1"/>
  <c r="Y130" i="1"/>
  <c r="GD129" i="1"/>
  <c r="GB129" i="1"/>
  <c r="FZ129" i="1"/>
  <c r="FW129" i="1"/>
  <c r="FV129" i="1"/>
  <c r="FS129" i="1"/>
  <c r="FM129" i="1"/>
  <c r="FJ129" i="1"/>
  <c r="FH129" i="1"/>
  <c r="FF129" i="1"/>
  <c r="FD129" i="1"/>
  <c r="FB129" i="1"/>
  <c r="FA129" i="1"/>
  <c r="EZ129" i="1"/>
  <c r="EX129" i="1"/>
  <c r="EV129" i="1"/>
  <c r="ET129" i="1"/>
  <c r="EL129" i="1"/>
  <c r="EF129" i="1"/>
  <c r="ED129" i="1"/>
  <c r="EB129" i="1"/>
  <c r="EA129" i="1"/>
  <c r="DZ129" i="1"/>
  <c r="DW129" i="1"/>
  <c r="ER129" i="1" s="1"/>
  <c r="DV129" i="1"/>
  <c r="DT129" i="1"/>
  <c r="DR129" i="1"/>
  <c r="BF129" i="1"/>
  <c r="FO129" i="1" s="1"/>
  <c r="BE129" i="1"/>
  <c r="BD129" i="1"/>
  <c r="FP129" i="1" s="1"/>
  <c r="BA129" i="1"/>
  <c r="FN129" i="1" s="1"/>
  <c r="AO129" i="1"/>
  <c r="EI129" i="1" s="1"/>
  <c r="AM129" i="1"/>
  <c r="EH129" i="1" s="1"/>
  <c r="AK129" i="1"/>
  <c r="Y129" i="1"/>
  <c r="Z129" i="1" s="1"/>
  <c r="AA129" i="1" s="1"/>
  <c r="DY129" i="1" s="1"/>
  <c r="EC129" i="1" s="1"/>
  <c r="GH129" i="1" s="1"/>
  <c r="GD128" i="1"/>
  <c r="GB128" i="1"/>
  <c r="FZ128" i="1"/>
  <c r="FW128" i="1"/>
  <c r="FV128" i="1"/>
  <c r="FX128" i="1" s="1"/>
  <c r="FS128" i="1"/>
  <c r="FM128" i="1"/>
  <c r="FJ128" i="1"/>
  <c r="FH128" i="1"/>
  <c r="FF128" i="1"/>
  <c r="FD128" i="1"/>
  <c r="FB128" i="1"/>
  <c r="FA128" i="1"/>
  <c r="EZ128" i="1"/>
  <c r="EX128" i="1"/>
  <c r="EV128" i="1"/>
  <c r="ET128" i="1"/>
  <c r="EL128" i="1"/>
  <c r="EF128" i="1"/>
  <c r="ED128" i="1"/>
  <c r="EB128" i="1"/>
  <c r="EA128" i="1"/>
  <c r="DZ128" i="1"/>
  <c r="DV128" i="1"/>
  <c r="DW128" i="1" s="1"/>
  <c r="ER128" i="1" s="1"/>
  <c r="DT128" i="1"/>
  <c r="DR128" i="1"/>
  <c r="BE128" i="1"/>
  <c r="BF128" i="1" s="1"/>
  <c r="FO128" i="1" s="1"/>
  <c r="BD128" i="1"/>
  <c r="FP128" i="1" s="1"/>
  <c r="BA128" i="1"/>
  <c r="FN128" i="1" s="1"/>
  <c r="AO128" i="1"/>
  <c r="EI128" i="1" s="1"/>
  <c r="AM128" i="1"/>
  <c r="EH128" i="1" s="1"/>
  <c r="AK128" i="1"/>
  <c r="Z128" i="1"/>
  <c r="AA128" i="1" s="1"/>
  <c r="DY128" i="1" s="1"/>
  <c r="EC128" i="1" s="1"/>
  <c r="GH128" i="1" s="1"/>
  <c r="Y128" i="1"/>
  <c r="GD127" i="1"/>
  <c r="GB127" i="1"/>
  <c r="FZ127" i="1"/>
  <c r="FW127" i="1"/>
  <c r="FV127" i="1"/>
  <c r="FX127" i="1" s="1"/>
  <c r="FS127" i="1"/>
  <c r="FM127" i="1"/>
  <c r="FJ127" i="1"/>
  <c r="FH127" i="1"/>
  <c r="FF127" i="1"/>
  <c r="FD127" i="1"/>
  <c r="FB127" i="1"/>
  <c r="FA127" i="1"/>
  <c r="EZ127" i="1"/>
  <c r="EX127" i="1"/>
  <c r="EV127" i="1"/>
  <c r="ET127" i="1"/>
  <c r="EL127" i="1"/>
  <c r="EF127" i="1"/>
  <c r="ED127" i="1"/>
  <c r="EB127" i="1"/>
  <c r="EA127" i="1"/>
  <c r="DZ127" i="1"/>
  <c r="DV127" i="1"/>
  <c r="DW127" i="1" s="1"/>
  <c r="ER127" i="1" s="1"/>
  <c r="DT127" i="1"/>
  <c r="DR127" i="1"/>
  <c r="BE127" i="1"/>
  <c r="BF127" i="1" s="1"/>
  <c r="FO127" i="1" s="1"/>
  <c r="BD127" i="1"/>
  <c r="FP127" i="1" s="1"/>
  <c r="BA127" i="1"/>
  <c r="FN127" i="1" s="1"/>
  <c r="AO127" i="1"/>
  <c r="EI127" i="1" s="1"/>
  <c r="AM127" i="1"/>
  <c r="EH127" i="1" s="1"/>
  <c r="AK127" i="1"/>
  <c r="Z127" i="1"/>
  <c r="AA127" i="1" s="1"/>
  <c r="DY127" i="1" s="1"/>
  <c r="EC127" i="1" s="1"/>
  <c r="GH127" i="1" s="1"/>
  <c r="Y127" i="1"/>
  <c r="GD126" i="1"/>
  <c r="GB126" i="1"/>
  <c r="FZ126" i="1"/>
  <c r="FW126" i="1"/>
  <c r="FV126" i="1"/>
  <c r="FX126" i="1" s="1"/>
  <c r="FS126" i="1"/>
  <c r="FM126" i="1"/>
  <c r="FJ126" i="1"/>
  <c r="FH126" i="1"/>
  <c r="FF126" i="1"/>
  <c r="FD126" i="1"/>
  <c r="FB126" i="1"/>
  <c r="FA126" i="1"/>
  <c r="EZ126" i="1"/>
  <c r="EX126" i="1"/>
  <c r="EV126" i="1"/>
  <c r="ET126" i="1"/>
  <c r="EL126" i="1"/>
  <c r="EF126" i="1"/>
  <c r="ED126" i="1"/>
  <c r="EB126" i="1"/>
  <c r="EA126" i="1"/>
  <c r="DZ126" i="1"/>
  <c r="DW126" i="1"/>
  <c r="ER126" i="1" s="1"/>
  <c r="DV126" i="1"/>
  <c r="DT126" i="1"/>
  <c r="DR126" i="1"/>
  <c r="BF126" i="1"/>
  <c r="FO126" i="1" s="1"/>
  <c r="BE126" i="1"/>
  <c r="BD126" i="1"/>
  <c r="FP126" i="1" s="1"/>
  <c r="BA126" i="1"/>
  <c r="FN126" i="1" s="1"/>
  <c r="AO126" i="1"/>
  <c r="EI126" i="1" s="1"/>
  <c r="AM126" i="1"/>
  <c r="EH126" i="1" s="1"/>
  <c r="AK126" i="1"/>
  <c r="Y126" i="1"/>
  <c r="Z126" i="1" s="1"/>
  <c r="AA126" i="1" s="1"/>
  <c r="DY126" i="1" s="1"/>
  <c r="EC126" i="1" s="1"/>
  <c r="GH126" i="1" s="1"/>
  <c r="GD125" i="1"/>
  <c r="GB125" i="1"/>
  <c r="FZ125" i="1"/>
  <c r="FW125" i="1"/>
  <c r="FV125" i="1"/>
  <c r="FS125" i="1"/>
  <c r="FM125" i="1"/>
  <c r="FJ125" i="1"/>
  <c r="FH125" i="1"/>
  <c r="FF125" i="1"/>
  <c r="FD125" i="1"/>
  <c r="FB125" i="1"/>
  <c r="FA125" i="1"/>
  <c r="EZ125" i="1"/>
  <c r="EX125" i="1"/>
  <c r="EV125" i="1"/>
  <c r="ET125" i="1"/>
  <c r="EL125" i="1"/>
  <c r="EF125" i="1"/>
  <c r="ED125" i="1"/>
  <c r="EB125" i="1"/>
  <c r="EA125" i="1"/>
  <c r="DZ125" i="1"/>
  <c r="DV125" i="1"/>
  <c r="DW125" i="1" s="1"/>
  <c r="ER125" i="1" s="1"/>
  <c r="DT125" i="1"/>
  <c r="DR125" i="1"/>
  <c r="BE125" i="1"/>
  <c r="BF125" i="1" s="1"/>
  <c r="FO125" i="1" s="1"/>
  <c r="BD125" i="1"/>
  <c r="FP125" i="1" s="1"/>
  <c r="BA125" i="1"/>
  <c r="FN125" i="1" s="1"/>
  <c r="AO125" i="1"/>
  <c r="EI125" i="1" s="1"/>
  <c r="AM125" i="1"/>
  <c r="EH125" i="1" s="1"/>
  <c r="AK125" i="1"/>
  <c r="Z125" i="1"/>
  <c r="AA125" i="1" s="1"/>
  <c r="DY125" i="1" s="1"/>
  <c r="EC125" i="1" s="1"/>
  <c r="GH125" i="1" s="1"/>
  <c r="Y125" i="1"/>
  <c r="GD124" i="1"/>
  <c r="GB124" i="1"/>
  <c r="FZ124" i="1"/>
  <c r="FW124" i="1"/>
  <c r="FV124" i="1"/>
  <c r="FS124" i="1"/>
  <c r="FM124" i="1"/>
  <c r="FJ124" i="1"/>
  <c r="FH124" i="1"/>
  <c r="FF124" i="1"/>
  <c r="FD124" i="1"/>
  <c r="FB124" i="1"/>
  <c r="FA124" i="1"/>
  <c r="EZ124" i="1"/>
  <c r="EX124" i="1"/>
  <c r="EV124" i="1"/>
  <c r="ET124" i="1"/>
  <c r="EL124" i="1"/>
  <c r="EF124" i="1"/>
  <c r="ED124" i="1"/>
  <c r="EB124" i="1"/>
  <c r="EA124" i="1"/>
  <c r="DZ124" i="1"/>
  <c r="DW124" i="1"/>
  <c r="ER124" i="1" s="1"/>
  <c r="DV124" i="1"/>
  <c r="DT124" i="1"/>
  <c r="DR124" i="1"/>
  <c r="BF124" i="1"/>
  <c r="FO124" i="1" s="1"/>
  <c r="BE124" i="1"/>
  <c r="BD124" i="1"/>
  <c r="FP124" i="1" s="1"/>
  <c r="BA124" i="1"/>
  <c r="FN124" i="1" s="1"/>
  <c r="AO124" i="1"/>
  <c r="EI124" i="1" s="1"/>
  <c r="AM124" i="1"/>
  <c r="EH124" i="1" s="1"/>
  <c r="AK124" i="1"/>
  <c r="Y124" i="1"/>
  <c r="Z124" i="1" s="1"/>
  <c r="AA124" i="1" s="1"/>
  <c r="DY124" i="1" s="1"/>
  <c r="EC124" i="1" s="1"/>
  <c r="GH124" i="1" s="1"/>
  <c r="GD123" i="1"/>
  <c r="GB123" i="1"/>
  <c r="FZ123" i="1"/>
  <c r="FW123" i="1"/>
  <c r="FV123" i="1"/>
  <c r="FS123" i="1"/>
  <c r="FM123" i="1"/>
  <c r="FJ123" i="1"/>
  <c r="FH123" i="1"/>
  <c r="FF123" i="1"/>
  <c r="FD123" i="1"/>
  <c r="FB123" i="1"/>
  <c r="FA123" i="1"/>
  <c r="EZ123" i="1"/>
  <c r="EX123" i="1"/>
  <c r="EV123" i="1"/>
  <c r="ET123" i="1"/>
  <c r="EL123" i="1"/>
  <c r="EF123" i="1"/>
  <c r="ED123" i="1"/>
  <c r="EB123" i="1"/>
  <c r="EA123" i="1"/>
  <c r="DZ123" i="1"/>
  <c r="DV123" i="1"/>
  <c r="DW123" i="1" s="1"/>
  <c r="ER123" i="1" s="1"/>
  <c r="DT123" i="1"/>
  <c r="DR123" i="1"/>
  <c r="BE123" i="1"/>
  <c r="BF123" i="1" s="1"/>
  <c r="FO123" i="1" s="1"/>
  <c r="BD123" i="1"/>
  <c r="FP123" i="1" s="1"/>
  <c r="BA123" i="1"/>
  <c r="FN123" i="1" s="1"/>
  <c r="AO123" i="1"/>
  <c r="EI123" i="1" s="1"/>
  <c r="AM123" i="1"/>
  <c r="EH123" i="1" s="1"/>
  <c r="AK123" i="1"/>
  <c r="Z123" i="1"/>
  <c r="AA123" i="1" s="1"/>
  <c r="DY123" i="1" s="1"/>
  <c r="EC123" i="1" s="1"/>
  <c r="GH123" i="1" s="1"/>
  <c r="Y123" i="1"/>
  <c r="GD122" i="1"/>
  <c r="GB122" i="1"/>
  <c r="FZ122" i="1"/>
  <c r="FW122" i="1"/>
  <c r="FV122" i="1"/>
  <c r="FS122" i="1"/>
  <c r="FM122" i="1"/>
  <c r="FJ122" i="1"/>
  <c r="FH122" i="1"/>
  <c r="FF122" i="1"/>
  <c r="FD122" i="1"/>
  <c r="FB122" i="1"/>
  <c r="FA122" i="1"/>
  <c r="EZ122" i="1"/>
  <c r="EX122" i="1"/>
  <c r="EV122" i="1"/>
  <c r="ET122" i="1"/>
  <c r="EL122" i="1"/>
  <c r="EF122" i="1"/>
  <c r="ED122" i="1"/>
  <c r="EB122" i="1"/>
  <c r="EA122" i="1"/>
  <c r="DZ122" i="1"/>
  <c r="DW122" i="1"/>
  <c r="ER122" i="1" s="1"/>
  <c r="DV122" i="1"/>
  <c r="DT122" i="1"/>
  <c r="DR122" i="1"/>
  <c r="BF122" i="1"/>
  <c r="FO122" i="1" s="1"/>
  <c r="BE122" i="1"/>
  <c r="BD122" i="1"/>
  <c r="FP122" i="1" s="1"/>
  <c r="BA122" i="1"/>
  <c r="FN122" i="1" s="1"/>
  <c r="AO122" i="1"/>
  <c r="EI122" i="1" s="1"/>
  <c r="AM122" i="1"/>
  <c r="EH122" i="1" s="1"/>
  <c r="AK122" i="1"/>
  <c r="Y122" i="1"/>
  <c r="Z122" i="1" s="1"/>
  <c r="AA122" i="1" s="1"/>
  <c r="DY122" i="1" s="1"/>
  <c r="EC122" i="1" s="1"/>
  <c r="GH122" i="1" s="1"/>
  <c r="GD121" i="1"/>
  <c r="GB121" i="1"/>
  <c r="FZ121" i="1"/>
  <c r="FW121" i="1"/>
  <c r="FV121" i="1"/>
  <c r="FS121" i="1"/>
  <c r="FM121" i="1"/>
  <c r="FJ121" i="1"/>
  <c r="FH121" i="1"/>
  <c r="FF121" i="1"/>
  <c r="FD121" i="1"/>
  <c r="FB121" i="1"/>
  <c r="FA121" i="1"/>
  <c r="EZ121" i="1"/>
  <c r="EX121" i="1"/>
  <c r="EV121" i="1"/>
  <c r="ET121" i="1"/>
  <c r="EL121" i="1"/>
  <c r="EF121" i="1"/>
  <c r="ED121" i="1"/>
  <c r="EB121" i="1"/>
  <c r="EA121" i="1"/>
  <c r="DZ121" i="1"/>
  <c r="DV121" i="1"/>
  <c r="DW121" i="1" s="1"/>
  <c r="ER121" i="1" s="1"/>
  <c r="DT121" i="1"/>
  <c r="DR121" i="1"/>
  <c r="BE121" i="1"/>
  <c r="BF121" i="1" s="1"/>
  <c r="FO121" i="1" s="1"/>
  <c r="BD121" i="1"/>
  <c r="FP121" i="1" s="1"/>
  <c r="BA121" i="1"/>
  <c r="FN121" i="1" s="1"/>
  <c r="AO121" i="1"/>
  <c r="EI121" i="1" s="1"/>
  <c r="AM121" i="1"/>
  <c r="EH121" i="1" s="1"/>
  <c r="AK121" i="1"/>
  <c r="Z121" i="1"/>
  <c r="AA121" i="1" s="1"/>
  <c r="DY121" i="1" s="1"/>
  <c r="EC121" i="1" s="1"/>
  <c r="GH121" i="1" s="1"/>
  <c r="Y121" i="1"/>
  <c r="GD120" i="1"/>
  <c r="GB120" i="1"/>
  <c r="FZ120" i="1"/>
  <c r="FW120" i="1"/>
  <c r="FV120" i="1"/>
  <c r="FX120" i="1" s="1"/>
  <c r="FS120" i="1"/>
  <c r="FM120" i="1"/>
  <c r="FJ120" i="1"/>
  <c r="FH120" i="1"/>
  <c r="FF120" i="1"/>
  <c r="FD120" i="1"/>
  <c r="FB120" i="1"/>
  <c r="FA120" i="1"/>
  <c r="EZ120" i="1"/>
  <c r="EX120" i="1"/>
  <c r="EV120" i="1"/>
  <c r="ET120" i="1"/>
  <c r="EL120" i="1"/>
  <c r="EF120" i="1"/>
  <c r="ED120" i="1"/>
  <c r="EB120" i="1"/>
  <c r="EA120" i="1"/>
  <c r="DZ120" i="1"/>
  <c r="DW120" i="1"/>
  <c r="ER120" i="1" s="1"/>
  <c r="DV120" i="1"/>
  <c r="DT120" i="1"/>
  <c r="DR120" i="1"/>
  <c r="BF120" i="1"/>
  <c r="FO120" i="1" s="1"/>
  <c r="BE120" i="1"/>
  <c r="BD120" i="1"/>
  <c r="FP120" i="1" s="1"/>
  <c r="BA120" i="1"/>
  <c r="FN120" i="1" s="1"/>
  <c r="AO120" i="1"/>
  <c r="EI120" i="1" s="1"/>
  <c r="AM120" i="1"/>
  <c r="EH120" i="1" s="1"/>
  <c r="AK120" i="1"/>
  <c r="Y120" i="1"/>
  <c r="Z120" i="1" s="1"/>
  <c r="AA120" i="1" s="1"/>
  <c r="DY120" i="1" s="1"/>
  <c r="EC120" i="1" s="1"/>
  <c r="GH120" i="1" s="1"/>
  <c r="GD119" i="1"/>
  <c r="GB119" i="1"/>
  <c r="FZ119" i="1"/>
  <c r="FW119" i="1"/>
  <c r="FV119" i="1"/>
  <c r="FX119" i="1" s="1"/>
  <c r="FS119" i="1"/>
  <c r="FM119" i="1"/>
  <c r="FJ119" i="1"/>
  <c r="FH119" i="1"/>
  <c r="FF119" i="1"/>
  <c r="FD119" i="1"/>
  <c r="FB119" i="1"/>
  <c r="FA119" i="1"/>
  <c r="EZ119" i="1"/>
  <c r="EX119" i="1"/>
  <c r="EV119" i="1"/>
  <c r="ET119" i="1"/>
  <c r="EL119" i="1"/>
  <c r="EF119" i="1"/>
  <c r="ED119" i="1"/>
  <c r="EB119" i="1"/>
  <c r="EA119" i="1"/>
  <c r="DZ119" i="1"/>
  <c r="DV119" i="1"/>
  <c r="DW119" i="1" s="1"/>
  <c r="ER119" i="1" s="1"/>
  <c r="DT119" i="1"/>
  <c r="DR119" i="1"/>
  <c r="BE119" i="1"/>
  <c r="BF119" i="1" s="1"/>
  <c r="FO119" i="1" s="1"/>
  <c r="BD119" i="1"/>
  <c r="FP119" i="1" s="1"/>
  <c r="BA119" i="1"/>
  <c r="FN119" i="1" s="1"/>
  <c r="AO119" i="1"/>
  <c r="EI119" i="1" s="1"/>
  <c r="AM119" i="1"/>
  <c r="EH119" i="1" s="1"/>
  <c r="AK119" i="1"/>
  <c r="Z119" i="1"/>
  <c r="AA119" i="1" s="1"/>
  <c r="DY119" i="1" s="1"/>
  <c r="EC119" i="1" s="1"/>
  <c r="GH119" i="1" s="1"/>
  <c r="Y119" i="1"/>
  <c r="GD118" i="1"/>
  <c r="GB118" i="1"/>
  <c r="FZ118" i="1"/>
  <c r="FW118" i="1"/>
  <c r="FV118" i="1"/>
  <c r="FS118" i="1"/>
  <c r="FM118" i="1"/>
  <c r="FJ118" i="1"/>
  <c r="FH118" i="1"/>
  <c r="FF118" i="1"/>
  <c r="FD118" i="1"/>
  <c r="FB118" i="1"/>
  <c r="FA118" i="1"/>
  <c r="EZ118" i="1"/>
  <c r="EX118" i="1"/>
  <c r="EV118" i="1"/>
  <c r="ET118" i="1"/>
  <c r="EL118" i="1"/>
  <c r="EF118" i="1"/>
  <c r="ED118" i="1"/>
  <c r="EB118" i="1"/>
  <c r="EA118" i="1"/>
  <c r="DZ118" i="1"/>
  <c r="DV118" i="1"/>
  <c r="DW118" i="1" s="1"/>
  <c r="ER118" i="1" s="1"/>
  <c r="DT118" i="1"/>
  <c r="DR118" i="1"/>
  <c r="BE118" i="1"/>
  <c r="BF118" i="1" s="1"/>
  <c r="FO118" i="1" s="1"/>
  <c r="BD118" i="1"/>
  <c r="FP118" i="1" s="1"/>
  <c r="BA118" i="1"/>
  <c r="FN118" i="1" s="1"/>
  <c r="AO118" i="1"/>
  <c r="EI118" i="1" s="1"/>
  <c r="AM118" i="1"/>
  <c r="EH118" i="1" s="1"/>
  <c r="AK118" i="1"/>
  <c r="Z118" i="1"/>
  <c r="AA118" i="1" s="1"/>
  <c r="DY118" i="1" s="1"/>
  <c r="EC118" i="1" s="1"/>
  <c r="GH118" i="1" s="1"/>
  <c r="Y118" i="1"/>
  <c r="GD117" i="1"/>
  <c r="GB117" i="1"/>
  <c r="FZ117" i="1"/>
  <c r="FW117" i="1"/>
  <c r="FV117" i="1"/>
  <c r="FS117" i="1"/>
  <c r="FM117" i="1"/>
  <c r="FJ117" i="1"/>
  <c r="FH117" i="1"/>
  <c r="FF117" i="1"/>
  <c r="FD117" i="1"/>
  <c r="FB117" i="1"/>
  <c r="FA117" i="1"/>
  <c r="EZ117" i="1"/>
  <c r="EX117" i="1"/>
  <c r="EV117" i="1"/>
  <c r="ET117" i="1"/>
  <c r="EL117" i="1"/>
  <c r="EF117" i="1"/>
  <c r="ED117" i="1"/>
  <c r="EB117" i="1"/>
  <c r="EA117" i="1"/>
  <c r="DZ117" i="1"/>
  <c r="DV117" i="1"/>
  <c r="DW117" i="1" s="1"/>
  <c r="ER117" i="1" s="1"/>
  <c r="DT117" i="1"/>
  <c r="DR117" i="1"/>
  <c r="BE117" i="1"/>
  <c r="BF117" i="1" s="1"/>
  <c r="FO117" i="1" s="1"/>
  <c r="BD117" i="1"/>
  <c r="FP117" i="1" s="1"/>
  <c r="BA117" i="1"/>
  <c r="FN117" i="1" s="1"/>
  <c r="AO117" i="1"/>
  <c r="EI117" i="1" s="1"/>
  <c r="AM117" i="1"/>
  <c r="EH117" i="1" s="1"/>
  <c r="AK117" i="1"/>
  <c r="Z117" i="1"/>
  <c r="AA117" i="1" s="1"/>
  <c r="DY117" i="1" s="1"/>
  <c r="EC117" i="1" s="1"/>
  <c r="GH117" i="1" s="1"/>
  <c r="Y117" i="1"/>
  <c r="GD116" i="1"/>
  <c r="GB116" i="1"/>
  <c r="FZ116" i="1"/>
  <c r="FW116" i="1"/>
  <c r="FV116" i="1"/>
  <c r="FS116" i="1"/>
  <c r="FM116" i="1"/>
  <c r="FJ116" i="1"/>
  <c r="FH116" i="1"/>
  <c r="FF116" i="1"/>
  <c r="FD116" i="1"/>
  <c r="FB116" i="1"/>
  <c r="FA116" i="1"/>
  <c r="EZ116" i="1"/>
  <c r="EX116" i="1"/>
  <c r="EV116" i="1"/>
  <c r="ET116" i="1"/>
  <c r="EL116" i="1"/>
  <c r="EF116" i="1"/>
  <c r="ED116" i="1"/>
  <c r="EB116" i="1"/>
  <c r="EA116" i="1"/>
  <c r="DZ116" i="1"/>
  <c r="DW116" i="1"/>
  <c r="ER116" i="1" s="1"/>
  <c r="DV116" i="1"/>
  <c r="DT116" i="1"/>
  <c r="DR116" i="1"/>
  <c r="BF116" i="1"/>
  <c r="FO116" i="1" s="1"/>
  <c r="BE116" i="1"/>
  <c r="BD116" i="1"/>
  <c r="FP116" i="1" s="1"/>
  <c r="BA116" i="1"/>
  <c r="FN116" i="1" s="1"/>
  <c r="AO116" i="1"/>
  <c r="EI116" i="1" s="1"/>
  <c r="AM116" i="1"/>
  <c r="EH116" i="1" s="1"/>
  <c r="AK116" i="1"/>
  <c r="Y116" i="1"/>
  <c r="Z116" i="1" s="1"/>
  <c r="AA116" i="1" s="1"/>
  <c r="DY116" i="1" s="1"/>
  <c r="EC116" i="1" s="1"/>
  <c r="GH116" i="1" s="1"/>
  <c r="GD115" i="1"/>
  <c r="GB115" i="1"/>
  <c r="FZ115" i="1"/>
  <c r="FW115" i="1"/>
  <c r="FV115" i="1"/>
  <c r="FX115" i="1" s="1"/>
  <c r="FS115" i="1"/>
  <c r="FM115" i="1"/>
  <c r="FJ115" i="1"/>
  <c r="FH115" i="1"/>
  <c r="FF115" i="1"/>
  <c r="FD115" i="1"/>
  <c r="FB115" i="1"/>
  <c r="FA115" i="1"/>
  <c r="EZ115" i="1"/>
  <c r="EX115" i="1"/>
  <c r="EV115" i="1"/>
  <c r="ET115" i="1"/>
  <c r="EL115" i="1"/>
  <c r="EF115" i="1"/>
  <c r="ED115" i="1"/>
  <c r="EB115" i="1"/>
  <c r="EA115" i="1"/>
  <c r="DZ115" i="1"/>
  <c r="DV115" i="1"/>
  <c r="DW115" i="1" s="1"/>
  <c r="ER115" i="1" s="1"/>
  <c r="DT115" i="1"/>
  <c r="DR115" i="1"/>
  <c r="BE115" i="1"/>
  <c r="BF115" i="1" s="1"/>
  <c r="FO115" i="1" s="1"/>
  <c r="BD115" i="1"/>
  <c r="FP115" i="1" s="1"/>
  <c r="BA115" i="1"/>
  <c r="FN115" i="1" s="1"/>
  <c r="AO115" i="1"/>
  <c r="EI115" i="1" s="1"/>
  <c r="AM115" i="1"/>
  <c r="EH115" i="1" s="1"/>
  <c r="AK115" i="1"/>
  <c r="Z115" i="1"/>
  <c r="AA115" i="1" s="1"/>
  <c r="DY115" i="1" s="1"/>
  <c r="EC115" i="1" s="1"/>
  <c r="GH115" i="1" s="1"/>
  <c r="Y115" i="1"/>
  <c r="GD114" i="1"/>
  <c r="GB114" i="1"/>
  <c r="FZ114" i="1"/>
  <c r="FW114" i="1"/>
  <c r="FV114" i="1"/>
  <c r="FS114" i="1"/>
  <c r="FM114" i="1"/>
  <c r="FJ114" i="1"/>
  <c r="FH114" i="1"/>
  <c r="FF114" i="1"/>
  <c r="FD114" i="1"/>
  <c r="FB114" i="1"/>
  <c r="FA114" i="1"/>
  <c r="EZ114" i="1"/>
  <c r="EX114" i="1"/>
  <c r="EV114" i="1"/>
  <c r="ET114" i="1"/>
  <c r="EL114" i="1"/>
  <c r="EF114" i="1"/>
  <c r="ED114" i="1"/>
  <c r="EB114" i="1"/>
  <c r="EA114" i="1"/>
  <c r="DZ114" i="1"/>
  <c r="DV114" i="1"/>
  <c r="DW114" i="1" s="1"/>
  <c r="ER114" i="1" s="1"/>
  <c r="DT114" i="1"/>
  <c r="DR114" i="1"/>
  <c r="BE114" i="1"/>
  <c r="BF114" i="1" s="1"/>
  <c r="FO114" i="1" s="1"/>
  <c r="BD114" i="1"/>
  <c r="FP114" i="1" s="1"/>
  <c r="BA114" i="1"/>
  <c r="FN114" i="1" s="1"/>
  <c r="AO114" i="1"/>
  <c r="EI114" i="1" s="1"/>
  <c r="AM114" i="1"/>
  <c r="EH114" i="1" s="1"/>
  <c r="AK114" i="1"/>
  <c r="Z114" i="1"/>
  <c r="AA114" i="1" s="1"/>
  <c r="DY114" i="1" s="1"/>
  <c r="EC114" i="1" s="1"/>
  <c r="GH114" i="1" s="1"/>
  <c r="Y114" i="1"/>
  <c r="GD113" i="1"/>
  <c r="GB113" i="1"/>
  <c r="FZ113" i="1"/>
  <c r="FW113" i="1"/>
  <c r="FV113" i="1"/>
  <c r="FX113" i="1" s="1"/>
  <c r="FS113" i="1"/>
  <c r="FM113" i="1"/>
  <c r="FJ113" i="1"/>
  <c r="FH113" i="1"/>
  <c r="FF113" i="1"/>
  <c r="FD113" i="1"/>
  <c r="FB113" i="1"/>
  <c r="FA113" i="1"/>
  <c r="EZ113" i="1"/>
  <c r="EX113" i="1"/>
  <c r="EV113" i="1"/>
  <c r="ET113" i="1"/>
  <c r="EL113" i="1"/>
  <c r="EF113" i="1"/>
  <c r="ED113" i="1"/>
  <c r="EB113" i="1"/>
  <c r="EA113" i="1"/>
  <c r="DZ113" i="1"/>
  <c r="DV113" i="1"/>
  <c r="DW113" i="1" s="1"/>
  <c r="ER113" i="1" s="1"/>
  <c r="DT113" i="1"/>
  <c r="DR113" i="1"/>
  <c r="BE113" i="1"/>
  <c r="BF113" i="1" s="1"/>
  <c r="FO113" i="1" s="1"/>
  <c r="BD113" i="1"/>
  <c r="FP113" i="1" s="1"/>
  <c r="BA113" i="1"/>
  <c r="FN113" i="1" s="1"/>
  <c r="AO113" i="1"/>
  <c r="EI113" i="1" s="1"/>
  <c r="AM113" i="1"/>
  <c r="EH113" i="1" s="1"/>
  <c r="AK113" i="1"/>
  <c r="Z113" i="1"/>
  <c r="AA113" i="1" s="1"/>
  <c r="DY113" i="1" s="1"/>
  <c r="EC113" i="1" s="1"/>
  <c r="GH113" i="1" s="1"/>
  <c r="Y113" i="1"/>
  <c r="GD112" i="1"/>
  <c r="GB112" i="1"/>
  <c r="FZ112" i="1"/>
  <c r="FW112" i="1"/>
  <c r="FV112" i="1"/>
  <c r="FX112" i="1" s="1"/>
  <c r="FS112" i="1"/>
  <c r="FM112" i="1"/>
  <c r="FJ112" i="1"/>
  <c r="FH112" i="1"/>
  <c r="FF112" i="1"/>
  <c r="FD112" i="1"/>
  <c r="FB112" i="1"/>
  <c r="FA112" i="1"/>
  <c r="EZ112" i="1"/>
  <c r="EX112" i="1"/>
  <c r="EV112" i="1"/>
  <c r="ET112" i="1"/>
  <c r="EL112" i="1"/>
  <c r="EF112" i="1"/>
  <c r="ED112" i="1"/>
  <c r="EB112" i="1"/>
  <c r="EA112" i="1"/>
  <c r="DZ112" i="1"/>
  <c r="DV112" i="1"/>
  <c r="DW112" i="1" s="1"/>
  <c r="ER112" i="1" s="1"/>
  <c r="DT112" i="1"/>
  <c r="DR112" i="1"/>
  <c r="BE112" i="1"/>
  <c r="BF112" i="1" s="1"/>
  <c r="FO112" i="1" s="1"/>
  <c r="BD112" i="1"/>
  <c r="FP112" i="1" s="1"/>
  <c r="BA112" i="1"/>
  <c r="FN112" i="1" s="1"/>
  <c r="AO112" i="1"/>
  <c r="EI112" i="1" s="1"/>
  <c r="AM112" i="1"/>
  <c r="EH112" i="1" s="1"/>
  <c r="AK112" i="1"/>
  <c r="Z112" i="1"/>
  <c r="AA112" i="1" s="1"/>
  <c r="DY112" i="1" s="1"/>
  <c r="EC112" i="1" s="1"/>
  <c r="GH112" i="1" s="1"/>
  <c r="Y112" i="1"/>
  <c r="GD111" i="1"/>
  <c r="GB111" i="1"/>
  <c r="FZ111" i="1"/>
  <c r="FW111" i="1"/>
  <c r="FV111" i="1"/>
  <c r="FX111" i="1" s="1"/>
  <c r="FS111" i="1"/>
  <c r="FM111" i="1"/>
  <c r="FJ111" i="1"/>
  <c r="FH111" i="1"/>
  <c r="FF111" i="1"/>
  <c r="FD111" i="1"/>
  <c r="FB111" i="1"/>
  <c r="FA111" i="1"/>
  <c r="EZ111" i="1"/>
  <c r="EX111" i="1"/>
  <c r="EV111" i="1"/>
  <c r="ET111" i="1"/>
  <c r="EL111" i="1"/>
  <c r="EF111" i="1"/>
  <c r="ED111" i="1"/>
  <c r="EB111" i="1"/>
  <c r="EA111" i="1"/>
  <c r="DZ111" i="1"/>
  <c r="DW111" i="1"/>
  <c r="ER111" i="1" s="1"/>
  <c r="DV111" i="1"/>
  <c r="DT111" i="1"/>
  <c r="DR111" i="1"/>
  <c r="BF111" i="1"/>
  <c r="FO111" i="1" s="1"/>
  <c r="BE111" i="1"/>
  <c r="BD111" i="1"/>
  <c r="FP111" i="1" s="1"/>
  <c r="BA111" i="1"/>
  <c r="FN111" i="1" s="1"/>
  <c r="AO111" i="1"/>
  <c r="EI111" i="1" s="1"/>
  <c r="AM111" i="1"/>
  <c r="EH111" i="1" s="1"/>
  <c r="AK111" i="1"/>
  <c r="Y111" i="1"/>
  <c r="Z111" i="1" s="1"/>
  <c r="AA111" i="1" s="1"/>
  <c r="DY111" i="1" s="1"/>
  <c r="EC111" i="1" s="1"/>
  <c r="GH111" i="1" s="1"/>
  <c r="GD110" i="1"/>
  <c r="GB110" i="1"/>
  <c r="FZ110" i="1"/>
  <c r="FW110" i="1"/>
  <c r="FV110" i="1"/>
  <c r="FX110" i="1" s="1"/>
  <c r="FS110" i="1"/>
  <c r="FM110" i="1"/>
  <c r="FJ110" i="1"/>
  <c r="FH110" i="1"/>
  <c r="FF110" i="1"/>
  <c r="FD110" i="1"/>
  <c r="FB110" i="1"/>
  <c r="FA110" i="1"/>
  <c r="EZ110" i="1"/>
  <c r="EX110" i="1"/>
  <c r="EV110" i="1"/>
  <c r="ET110" i="1"/>
  <c r="EL110" i="1"/>
  <c r="EF110" i="1"/>
  <c r="ED110" i="1"/>
  <c r="EB110" i="1"/>
  <c r="EA110" i="1"/>
  <c r="DZ110" i="1"/>
  <c r="DV110" i="1"/>
  <c r="DW110" i="1" s="1"/>
  <c r="ER110" i="1" s="1"/>
  <c r="DT110" i="1"/>
  <c r="DR110" i="1"/>
  <c r="BE110" i="1"/>
  <c r="BF110" i="1" s="1"/>
  <c r="FO110" i="1" s="1"/>
  <c r="BD110" i="1"/>
  <c r="FP110" i="1" s="1"/>
  <c r="BA110" i="1"/>
  <c r="FN110" i="1" s="1"/>
  <c r="AO110" i="1"/>
  <c r="EI110" i="1" s="1"/>
  <c r="AM110" i="1"/>
  <c r="EH110" i="1" s="1"/>
  <c r="AK110" i="1"/>
  <c r="Z110" i="1"/>
  <c r="AA110" i="1" s="1"/>
  <c r="DY110" i="1" s="1"/>
  <c r="EC110" i="1" s="1"/>
  <c r="GH110" i="1" s="1"/>
  <c r="Y110" i="1"/>
  <c r="GD109" i="1"/>
  <c r="GB109" i="1"/>
  <c r="FZ109" i="1"/>
  <c r="FW109" i="1"/>
  <c r="FV109" i="1"/>
  <c r="FS109" i="1"/>
  <c r="FM109" i="1"/>
  <c r="FJ109" i="1"/>
  <c r="FH109" i="1"/>
  <c r="FF109" i="1"/>
  <c r="FD109" i="1"/>
  <c r="FB109" i="1"/>
  <c r="FA109" i="1"/>
  <c r="EZ109" i="1"/>
  <c r="EX109" i="1"/>
  <c r="EV109" i="1"/>
  <c r="ET109" i="1"/>
  <c r="EL109" i="1"/>
  <c r="EF109" i="1"/>
  <c r="ED109" i="1"/>
  <c r="EB109" i="1"/>
  <c r="EA109" i="1"/>
  <c r="DZ109" i="1"/>
  <c r="DW109" i="1"/>
  <c r="ER109" i="1" s="1"/>
  <c r="DV109" i="1"/>
  <c r="DT109" i="1"/>
  <c r="DR109" i="1"/>
  <c r="BF109" i="1"/>
  <c r="FO109" i="1" s="1"/>
  <c r="BE109" i="1"/>
  <c r="BD109" i="1"/>
  <c r="FP109" i="1" s="1"/>
  <c r="BA109" i="1"/>
  <c r="FN109" i="1" s="1"/>
  <c r="AO109" i="1"/>
  <c r="EI109" i="1" s="1"/>
  <c r="AM109" i="1"/>
  <c r="EH109" i="1" s="1"/>
  <c r="AK109" i="1"/>
  <c r="Y109" i="1"/>
  <c r="Z109" i="1" s="1"/>
  <c r="AA109" i="1" s="1"/>
  <c r="DY109" i="1" s="1"/>
  <c r="EC109" i="1" s="1"/>
  <c r="GH109" i="1" s="1"/>
  <c r="GD108" i="1"/>
  <c r="GB108" i="1"/>
  <c r="FZ108" i="1"/>
  <c r="FW108" i="1"/>
  <c r="FV108" i="1"/>
  <c r="FX108" i="1" s="1"/>
  <c r="FS108" i="1"/>
  <c r="FM108" i="1"/>
  <c r="FJ108" i="1"/>
  <c r="FH108" i="1"/>
  <c r="FF108" i="1"/>
  <c r="FD108" i="1"/>
  <c r="FB108" i="1"/>
  <c r="FA108" i="1"/>
  <c r="EZ108" i="1"/>
  <c r="EX108" i="1"/>
  <c r="EV108" i="1"/>
  <c r="ET108" i="1"/>
  <c r="EL108" i="1"/>
  <c r="EF108" i="1"/>
  <c r="ED108" i="1"/>
  <c r="EB108" i="1"/>
  <c r="EA108" i="1"/>
  <c r="DZ108" i="1"/>
  <c r="DV108" i="1"/>
  <c r="DW108" i="1" s="1"/>
  <c r="ER108" i="1" s="1"/>
  <c r="DT108" i="1"/>
  <c r="DR108" i="1"/>
  <c r="BE108" i="1"/>
  <c r="BF108" i="1" s="1"/>
  <c r="FO108" i="1" s="1"/>
  <c r="BD108" i="1"/>
  <c r="FP108" i="1" s="1"/>
  <c r="BA108" i="1"/>
  <c r="FN108" i="1" s="1"/>
  <c r="AO108" i="1"/>
  <c r="EI108" i="1" s="1"/>
  <c r="AM108" i="1"/>
  <c r="EH108" i="1" s="1"/>
  <c r="AK108" i="1"/>
  <c r="Z108" i="1"/>
  <c r="AA108" i="1" s="1"/>
  <c r="DY108" i="1" s="1"/>
  <c r="EC108" i="1" s="1"/>
  <c r="GH108" i="1" s="1"/>
  <c r="Y108" i="1"/>
  <c r="GD107" i="1"/>
  <c r="GB107" i="1"/>
  <c r="FZ107" i="1"/>
  <c r="FW107" i="1"/>
  <c r="FV107" i="1"/>
  <c r="FS107" i="1"/>
  <c r="FM107" i="1"/>
  <c r="FJ107" i="1"/>
  <c r="FH107" i="1"/>
  <c r="FF107" i="1"/>
  <c r="FD107" i="1"/>
  <c r="FB107" i="1"/>
  <c r="FA107" i="1"/>
  <c r="EZ107" i="1"/>
  <c r="EX107" i="1"/>
  <c r="EV107" i="1"/>
  <c r="ET107" i="1"/>
  <c r="EL107" i="1"/>
  <c r="EF107" i="1"/>
  <c r="ED107" i="1"/>
  <c r="EB107" i="1"/>
  <c r="EA107" i="1"/>
  <c r="DZ107" i="1"/>
  <c r="DW107" i="1"/>
  <c r="ER107" i="1" s="1"/>
  <c r="DV107" i="1"/>
  <c r="DT107" i="1"/>
  <c r="DR107" i="1"/>
  <c r="BF107" i="1"/>
  <c r="FO107" i="1" s="1"/>
  <c r="BE107" i="1"/>
  <c r="BD107" i="1"/>
  <c r="FP107" i="1" s="1"/>
  <c r="BA107" i="1"/>
  <c r="FN107" i="1" s="1"/>
  <c r="AO107" i="1"/>
  <c r="EI107" i="1" s="1"/>
  <c r="AM107" i="1"/>
  <c r="EH107" i="1" s="1"/>
  <c r="AK107" i="1"/>
  <c r="Y107" i="1"/>
  <c r="Z107" i="1" s="1"/>
  <c r="AA107" i="1" s="1"/>
  <c r="DY107" i="1" s="1"/>
  <c r="EC107" i="1" s="1"/>
  <c r="GH107" i="1" s="1"/>
  <c r="GD106" i="1"/>
  <c r="GB106" i="1"/>
  <c r="FZ106" i="1"/>
  <c r="FW106" i="1"/>
  <c r="FX106" i="1" s="1"/>
  <c r="FV106" i="1"/>
  <c r="FS106" i="1"/>
  <c r="FM106" i="1"/>
  <c r="FJ106" i="1"/>
  <c r="FH106" i="1"/>
  <c r="FF106" i="1"/>
  <c r="FD106" i="1"/>
  <c r="FB106" i="1"/>
  <c r="FA106" i="1"/>
  <c r="EZ106" i="1"/>
  <c r="EX106" i="1"/>
  <c r="EV106" i="1"/>
  <c r="ET106" i="1"/>
  <c r="EL106" i="1"/>
  <c r="EF106" i="1"/>
  <c r="ED106" i="1"/>
  <c r="EB106" i="1"/>
  <c r="EA106" i="1"/>
  <c r="DZ106" i="1"/>
  <c r="DW106" i="1"/>
  <c r="ER106" i="1" s="1"/>
  <c r="DV106" i="1"/>
  <c r="DT106" i="1"/>
  <c r="DR106" i="1"/>
  <c r="BF106" i="1"/>
  <c r="FO106" i="1" s="1"/>
  <c r="BE106" i="1"/>
  <c r="BD106" i="1"/>
  <c r="FP106" i="1" s="1"/>
  <c r="BA106" i="1"/>
  <c r="FN106" i="1" s="1"/>
  <c r="AO106" i="1"/>
  <c r="EI106" i="1" s="1"/>
  <c r="AM106" i="1"/>
  <c r="EH106" i="1" s="1"/>
  <c r="AK106" i="1"/>
  <c r="Y106" i="1"/>
  <c r="Z106" i="1" s="1"/>
  <c r="AA106" i="1" s="1"/>
  <c r="DY106" i="1" s="1"/>
  <c r="EC106" i="1" s="1"/>
  <c r="GH106" i="1" s="1"/>
  <c r="GD105" i="1"/>
  <c r="GB105" i="1"/>
  <c r="FZ105" i="1"/>
  <c r="FW105" i="1"/>
  <c r="FV105" i="1"/>
  <c r="FX105" i="1" s="1"/>
  <c r="FS105" i="1"/>
  <c r="FM105" i="1"/>
  <c r="FJ105" i="1"/>
  <c r="FH105" i="1"/>
  <c r="FF105" i="1"/>
  <c r="FD105" i="1"/>
  <c r="FB105" i="1"/>
  <c r="FA105" i="1"/>
  <c r="EZ105" i="1"/>
  <c r="EX105" i="1"/>
  <c r="EV105" i="1"/>
  <c r="ET105" i="1"/>
  <c r="EL105" i="1"/>
  <c r="EF105" i="1"/>
  <c r="ED105" i="1"/>
  <c r="EB105" i="1"/>
  <c r="EA105" i="1"/>
  <c r="DZ105" i="1"/>
  <c r="DV105" i="1"/>
  <c r="DW105" i="1" s="1"/>
  <c r="ER105" i="1" s="1"/>
  <c r="DT105" i="1"/>
  <c r="DR105" i="1"/>
  <c r="BE105" i="1"/>
  <c r="BF105" i="1" s="1"/>
  <c r="FO105" i="1" s="1"/>
  <c r="BD105" i="1"/>
  <c r="FP105" i="1" s="1"/>
  <c r="BA105" i="1"/>
  <c r="FN105" i="1" s="1"/>
  <c r="AO105" i="1"/>
  <c r="EI105" i="1" s="1"/>
  <c r="AM105" i="1"/>
  <c r="EH105" i="1" s="1"/>
  <c r="AK105" i="1"/>
  <c r="Z105" i="1"/>
  <c r="AA105" i="1" s="1"/>
  <c r="DY105" i="1" s="1"/>
  <c r="EC105" i="1" s="1"/>
  <c r="GH105" i="1" s="1"/>
  <c r="Y105" i="1"/>
  <c r="GD104" i="1"/>
  <c r="GB104" i="1"/>
  <c r="FZ104" i="1"/>
  <c r="FW104" i="1"/>
  <c r="FV104" i="1"/>
  <c r="FX104" i="1" s="1"/>
  <c r="FS104" i="1"/>
  <c r="FM104" i="1"/>
  <c r="FJ104" i="1"/>
  <c r="FH104" i="1"/>
  <c r="FF104" i="1"/>
  <c r="FD104" i="1"/>
  <c r="FB104" i="1"/>
  <c r="FA104" i="1"/>
  <c r="EZ104" i="1"/>
  <c r="EX104" i="1"/>
  <c r="EV104" i="1"/>
  <c r="ET104" i="1"/>
  <c r="EL104" i="1"/>
  <c r="EF104" i="1"/>
  <c r="ED104" i="1"/>
  <c r="EB104" i="1"/>
  <c r="EA104" i="1"/>
  <c r="DZ104" i="1"/>
  <c r="DW104" i="1"/>
  <c r="ER104" i="1" s="1"/>
  <c r="DV104" i="1"/>
  <c r="DT104" i="1"/>
  <c r="DR104" i="1"/>
  <c r="BF104" i="1"/>
  <c r="FO104" i="1" s="1"/>
  <c r="BE104" i="1"/>
  <c r="BD104" i="1"/>
  <c r="FP104" i="1" s="1"/>
  <c r="BA104" i="1"/>
  <c r="FN104" i="1" s="1"/>
  <c r="AO104" i="1"/>
  <c r="EI104" i="1" s="1"/>
  <c r="AM104" i="1"/>
  <c r="EH104" i="1" s="1"/>
  <c r="AK104" i="1"/>
  <c r="Y104" i="1"/>
  <c r="Z104" i="1" s="1"/>
  <c r="AA104" i="1" s="1"/>
  <c r="DY104" i="1" s="1"/>
  <c r="EC104" i="1" s="1"/>
  <c r="GH104" i="1" s="1"/>
  <c r="GD103" i="1"/>
  <c r="GB103" i="1"/>
  <c r="FZ103" i="1"/>
  <c r="FW103" i="1"/>
  <c r="FV103" i="1"/>
  <c r="FX103" i="1" s="1"/>
  <c r="FS103" i="1"/>
  <c r="FM103" i="1"/>
  <c r="FJ103" i="1"/>
  <c r="FH103" i="1"/>
  <c r="FF103" i="1"/>
  <c r="FD103" i="1"/>
  <c r="FB103" i="1"/>
  <c r="FA103" i="1"/>
  <c r="EZ103" i="1"/>
  <c r="EX103" i="1"/>
  <c r="EV103" i="1"/>
  <c r="ET103" i="1"/>
  <c r="EL103" i="1"/>
  <c r="EF103" i="1"/>
  <c r="ED103" i="1"/>
  <c r="EB103" i="1"/>
  <c r="EA103" i="1"/>
  <c r="DZ103" i="1"/>
  <c r="DV103" i="1"/>
  <c r="DW103" i="1" s="1"/>
  <c r="ER103" i="1" s="1"/>
  <c r="DT103" i="1"/>
  <c r="DR103" i="1"/>
  <c r="BE103" i="1"/>
  <c r="BF103" i="1" s="1"/>
  <c r="FO103" i="1" s="1"/>
  <c r="BD103" i="1"/>
  <c r="FP103" i="1" s="1"/>
  <c r="BA103" i="1"/>
  <c r="FN103" i="1" s="1"/>
  <c r="AO103" i="1"/>
  <c r="EI103" i="1" s="1"/>
  <c r="AM103" i="1"/>
  <c r="EH103" i="1" s="1"/>
  <c r="AK103" i="1"/>
  <c r="Z103" i="1"/>
  <c r="AA103" i="1" s="1"/>
  <c r="DY103" i="1" s="1"/>
  <c r="EC103" i="1" s="1"/>
  <c r="GH103" i="1" s="1"/>
  <c r="Y103" i="1"/>
  <c r="GD102" i="1"/>
  <c r="GB102" i="1"/>
  <c r="FZ102" i="1"/>
  <c r="FW102" i="1"/>
  <c r="FV102" i="1"/>
  <c r="FX102" i="1" s="1"/>
  <c r="FS102" i="1"/>
  <c r="FM102" i="1"/>
  <c r="FJ102" i="1"/>
  <c r="FH102" i="1"/>
  <c r="FF102" i="1"/>
  <c r="FD102" i="1"/>
  <c r="FB102" i="1"/>
  <c r="FA102" i="1"/>
  <c r="EZ102" i="1"/>
  <c r="EX102" i="1"/>
  <c r="EV102" i="1"/>
  <c r="ET102" i="1"/>
  <c r="EL102" i="1"/>
  <c r="EF102" i="1"/>
  <c r="ED102" i="1"/>
  <c r="EB102" i="1"/>
  <c r="EA102" i="1"/>
  <c r="DZ102" i="1"/>
  <c r="DV102" i="1"/>
  <c r="DW102" i="1" s="1"/>
  <c r="ER102" i="1" s="1"/>
  <c r="DT102" i="1"/>
  <c r="DR102" i="1"/>
  <c r="BE102" i="1"/>
  <c r="BF102" i="1" s="1"/>
  <c r="FO102" i="1" s="1"/>
  <c r="BD102" i="1"/>
  <c r="FP102" i="1" s="1"/>
  <c r="BA102" i="1"/>
  <c r="FN102" i="1" s="1"/>
  <c r="AO102" i="1"/>
  <c r="EI102" i="1" s="1"/>
  <c r="AM102" i="1"/>
  <c r="EH102" i="1" s="1"/>
  <c r="AK102" i="1"/>
  <c r="Z102" i="1"/>
  <c r="AA102" i="1" s="1"/>
  <c r="DY102" i="1" s="1"/>
  <c r="EC102" i="1" s="1"/>
  <c r="GH102" i="1" s="1"/>
  <c r="Y102" i="1"/>
  <c r="GD101" i="1"/>
  <c r="GB101" i="1"/>
  <c r="FZ101" i="1"/>
  <c r="FW101" i="1"/>
  <c r="FV101" i="1"/>
  <c r="FX101" i="1" s="1"/>
  <c r="FS101" i="1"/>
  <c r="FM101" i="1"/>
  <c r="FJ101" i="1"/>
  <c r="FH101" i="1"/>
  <c r="FF101" i="1"/>
  <c r="FD101" i="1"/>
  <c r="FB101" i="1"/>
  <c r="FA101" i="1"/>
  <c r="EZ101" i="1"/>
  <c r="EX101" i="1"/>
  <c r="EV101" i="1"/>
  <c r="ET101" i="1"/>
  <c r="EL101" i="1"/>
  <c r="EF101" i="1"/>
  <c r="ED101" i="1"/>
  <c r="EB101" i="1"/>
  <c r="EA101" i="1"/>
  <c r="DZ101" i="1"/>
  <c r="DV101" i="1"/>
  <c r="DW101" i="1" s="1"/>
  <c r="ER101" i="1" s="1"/>
  <c r="DT101" i="1"/>
  <c r="DR101" i="1"/>
  <c r="BE101" i="1"/>
  <c r="BF101" i="1" s="1"/>
  <c r="FO101" i="1" s="1"/>
  <c r="BD101" i="1"/>
  <c r="FP101" i="1" s="1"/>
  <c r="BA101" i="1"/>
  <c r="FN101" i="1" s="1"/>
  <c r="AO101" i="1"/>
  <c r="EI101" i="1" s="1"/>
  <c r="AM101" i="1"/>
  <c r="EH101" i="1" s="1"/>
  <c r="AK101" i="1"/>
  <c r="Z101" i="1"/>
  <c r="AA101" i="1" s="1"/>
  <c r="DY101" i="1" s="1"/>
  <c r="EC101" i="1" s="1"/>
  <c r="GH101" i="1" s="1"/>
  <c r="Y101" i="1"/>
  <c r="GD100" i="1"/>
  <c r="GB100" i="1"/>
  <c r="FZ100" i="1"/>
  <c r="FW100" i="1"/>
  <c r="FV100" i="1"/>
  <c r="FS100" i="1"/>
  <c r="FM100" i="1"/>
  <c r="FJ100" i="1"/>
  <c r="FH100" i="1"/>
  <c r="FF100" i="1"/>
  <c r="FD100" i="1"/>
  <c r="FB100" i="1"/>
  <c r="FA100" i="1"/>
  <c r="EZ100" i="1"/>
  <c r="EX100" i="1"/>
  <c r="EV100" i="1"/>
  <c r="ET100" i="1"/>
  <c r="EL100" i="1"/>
  <c r="EF100" i="1"/>
  <c r="ED100" i="1"/>
  <c r="EB100" i="1"/>
  <c r="EA100" i="1"/>
  <c r="DZ100" i="1"/>
  <c r="DW100" i="1"/>
  <c r="ER100" i="1" s="1"/>
  <c r="DV100" i="1"/>
  <c r="DT100" i="1"/>
  <c r="DR100" i="1"/>
  <c r="BF100" i="1"/>
  <c r="FO100" i="1" s="1"/>
  <c r="BE100" i="1"/>
  <c r="BD100" i="1"/>
  <c r="FP100" i="1" s="1"/>
  <c r="BA100" i="1"/>
  <c r="FN100" i="1" s="1"/>
  <c r="AO100" i="1"/>
  <c r="EI100" i="1" s="1"/>
  <c r="AM100" i="1"/>
  <c r="EH100" i="1" s="1"/>
  <c r="AK100" i="1"/>
  <c r="Y100" i="1"/>
  <c r="Z100" i="1" s="1"/>
  <c r="AA100" i="1" s="1"/>
  <c r="DY100" i="1" s="1"/>
  <c r="EC100" i="1" s="1"/>
  <c r="GH100" i="1" s="1"/>
  <c r="GD99" i="1"/>
  <c r="GB99" i="1"/>
  <c r="FZ99" i="1"/>
  <c r="FW99" i="1"/>
  <c r="FV99" i="1"/>
  <c r="FX99" i="1" s="1"/>
  <c r="FS99" i="1"/>
  <c r="FM99" i="1"/>
  <c r="FJ99" i="1"/>
  <c r="FH99" i="1"/>
  <c r="FF99" i="1"/>
  <c r="FD99" i="1"/>
  <c r="FB99" i="1"/>
  <c r="FA99" i="1"/>
  <c r="EZ99" i="1"/>
  <c r="EX99" i="1"/>
  <c r="EV99" i="1"/>
  <c r="ET99" i="1"/>
  <c r="EL99" i="1"/>
  <c r="EF99" i="1"/>
  <c r="ED99" i="1"/>
  <c r="EB99" i="1"/>
  <c r="EA99" i="1"/>
  <c r="DZ99" i="1"/>
  <c r="DW99" i="1"/>
  <c r="ER99" i="1" s="1"/>
  <c r="DV99" i="1"/>
  <c r="DT99" i="1"/>
  <c r="DR99" i="1"/>
  <c r="BF99" i="1"/>
  <c r="FO99" i="1" s="1"/>
  <c r="BE99" i="1"/>
  <c r="BD99" i="1"/>
  <c r="FP99" i="1" s="1"/>
  <c r="BA99" i="1"/>
  <c r="FN99" i="1" s="1"/>
  <c r="AO99" i="1"/>
  <c r="EI99" i="1" s="1"/>
  <c r="AM99" i="1"/>
  <c r="EH99" i="1" s="1"/>
  <c r="AK99" i="1"/>
  <c r="Z99" i="1"/>
  <c r="AA99" i="1" s="1"/>
  <c r="DY99" i="1" s="1"/>
  <c r="EC99" i="1" s="1"/>
  <c r="GH99" i="1" s="1"/>
  <c r="Y99" i="1"/>
  <c r="GD98" i="1"/>
  <c r="GB98" i="1"/>
  <c r="FZ98" i="1"/>
  <c r="FW98" i="1"/>
  <c r="FX98" i="1" s="1"/>
  <c r="FV98" i="1"/>
  <c r="FS98" i="1"/>
  <c r="FM98" i="1"/>
  <c r="FJ98" i="1"/>
  <c r="FH98" i="1"/>
  <c r="FF98" i="1"/>
  <c r="FD98" i="1"/>
  <c r="FB98" i="1"/>
  <c r="FA98" i="1"/>
  <c r="EZ98" i="1"/>
  <c r="EX98" i="1"/>
  <c r="EV98" i="1"/>
  <c r="ET98" i="1"/>
  <c r="EL98" i="1"/>
  <c r="EF98" i="1"/>
  <c r="ED98" i="1"/>
  <c r="EB98" i="1"/>
  <c r="EA98" i="1"/>
  <c r="DZ98" i="1"/>
  <c r="DV98" i="1"/>
  <c r="DW98" i="1" s="1"/>
  <c r="ER98" i="1" s="1"/>
  <c r="DT98" i="1"/>
  <c r="DR98" i="1"/>
  <c r="BE98" i="1"/>
  <c r="BF98" i="1" s="1"/>
  <c r="FO98" i="1" s="1"/>
  <c r="BD98" i="1"/>
  <c r="FP98" i="1" s="1"/>
  <c r="BA98" i="1"/>
  <c r="FN98" i="1" s="1"/>
  <c r="AO98" i="1"/>
  <c r="EI98" i="1" s="1"/>
  <c r="AM98" i="1"/>
  <c r="EH98" i="1" s="1"/>
  <c r="AK98" i="1"/>
  <c r="Z98" i="1"/>
  <c r="AA98" i="1" s="1"/>
  <c r="DY98" i="1" s="1"/>
  <c r="EC98" i="1" s="1"/>
  <c r="GH98" i="1" s="1"/>
  <c r="Y98" i="1"/>
  <c r="GD97" i="1"/>
  <c r="GB97" i="1"/>
  <c r="FZ97" i="1"/>
  <c r="FW97" i="1"/>
  <c r="FV97" i="1"/>
  <c r="FX97" i="1" s="1"/>
  <c r="FS97" i="1"/>
  <c r="FM97" i="1"/>
  <c r="FJ97" i="1"/>
  <c r="FH97" i="1"/>
  <c r="FF97" i="1"/>
  <c r="FD97" i="1"/>
  <c r="FB97" i="1"/>
  <c r="FA97" i="1"/>
  <c r="EZ97" i="1"/>
  <c r="EX97" i="1"/>
  <c r="EV97" i="1"/>
  <c r="ET97" i="1"/>
  <c r="EL97" i="1"/>
  <c r="EF97" i="1"/>
  <c r="ED97" i="1"/>
  <c r="EB97" i="1"/>
  <c r="EA97" i="1"/>
  <c r="DZ97" i="1"/>
  <c r="DV97" i="1"/>
  <c r="DW97" i="1" s="1"/>
  <c r="ER97" i="1" s="1"/>
  <c r="DT97" i="1"/>
  <c r="DR97" i="1"/>
  <c r="BE97" i="1"/>
  <c r="BF97" i="1" s="1"/>
  <c r="FO97" i="1" s="1"/>
  <c r="BD97" i="1"/>
  <c r="FP97" i="1" s="1"/>
  <c r="BA97" i="1"/>
  <c r="FN97" i="1" s="1"/>
  <c r="AO97" i="1"/>
  <c r="EI97" i="1" s="1"/>
  <c r="AM97" i="1"/>
  <c r="EH97" i="1" s="1"/>
  <c r="AK97" i="1"/>
  <c r="Y97" i="1"/>
  <c r="Z97" i="1" s="1"/>
  <c r="AA97" i="1" s="1"/>
  <c r="DY97" i="1" s="1"/>
  <c r="EC97" i="1" s="1"/>
  <c r="GH97" i="1" s="1"/>
  <c r="GD96" i="1"/>
  <c r="GB96" i="1"/>
  <c r="FZ96" i="1"/>
  <c r="FW96" i="1"/>
  <c r="FX96" i="1" s="1"/>
  <c r="FV96" i="1"/>
  <c r="FS96" i="1"/>
  <c r="FM96" i="1"/>
  <c r="FJ96" i="1"/>
  <c r="FH96" i="1"/>
  <c r="FF96" i="1"/>
  <c r="FD96" i="1"/>
  <c r="FB96" i="1"/>
  <c r="FA96" i="1"/>
  <c r="EZ96" i="1"/>
  <c r="EX96" i="1"/>
  <c r="EV96" i="1"/>
  <c r="ET96" i="1"/>
  <c r="EL96" i="1"/>
  <c r="EF96" i="1"/>
  <c r="ED96" i="1"/>
  <c r="EB96" i="1"/>
  <c r="EA96" i="1"/>
  <c r="DZ96" i="1"/>
  <c r="DW96" i="1"/>
  <c r="ER96" i="1" s="1"/>
  <c r="DV96" i="1"/>
  <c r="DT96" i="1"/>
  <c r="DR96" i="1"/>
  <c r="BF96" i="1"/>
  <c r="FO96" i="1" s="1"/>
  <c r="BE96" i="1"/>
  <c r="BD96" i="1"/>
  <c r="FP96" i="1" s="1"/>
  <c r="BA96" i="1"/>
  <c r="FN96" i="1" s="1"/>
  <c r="AO96" i="1"/>
  <c r="EI96" i="1" s="1"/>
  <c r="AM96" i="1"/>
  <c r="EH96" i="1" s="1"/>
  <c r="AK96" i="1"/>
  <c r="Y96" i="1"/>
  <c r="Z96" i="1" s="1"/>
  <c r="AA96" i="1" s="1"/>
  <c r="DY96" i="1" s="1"/>
  <c r="EC96" i="1" s="1"/>
  <c r="GH96" i="1" s="1"/>
  <c r="GD95" i="1"/>
  <c r="GB95" i="1"/>
  <c r="FZ95" i="1"/>
  <c r="FW95" i="1"/>
  <c r="FV95" i="1"/>
  <c r="FS95" i="1"/>
  <c r="FM95" i="1"/>
  <c r="FJ95" i="1"/>
  <c r="FH95" i="1"/>
  <c r="FF95" i="1"/>
  <c r="FD95" i="1"/>
  <c r="FB95" i="1"/>
  <c r="FA95" i="1"/>
  <c r="EZ95" i="1"/>
  <c r="EX95" i="1"/>
  <c r="EV95" i="1"/>
  <c r="ET95" i="1"/>
  <c r="EL95" i="1"/>
  <c r="EF95" i="1"/>
  <c r="ED95" i="1"/>
  <c r="EB95" i="1"/>
  <c r="EA95" i="1"/>
  <c r="DZ95" i="1"/>
  <c r="DV95" i="1"/>
  <c r="DW95" i="1" s="1"/>
  <c r="ER95" i="1" s="1"/>
  <c r="DT95" i="1"/>
  <c r="DR95" i="1"/>
  <c r="BE95" i="1"/>
  <c r="BF95" i="1" s="1"/>
  <c r="FO95" i="1" s="1"/>
  <c r="BD95" i="1"/>
  <c r="FP95" i="1" s="1"/>
  <c r="BA95" i="1"/>
  <c r="FN95" i="1" s="1"/>
  <c r="AO95" i="1"/>
  <c r="EI95" i="1" s="1"/>
  <c r="AM95" i="1"/>
  <c r="EH95" i="1" s="1"/>
  <c r="AK95" i="1"/>
  <c r="Z95" i="1"/>
  <c r="AA95" i="1" s="1"/>
  <c r="DY95" i="1" s="1"/>
  <c r="EC95" i="1" s="1"/>
  <c r="GH95" i="1" s="1"/>
  <c r="Y95" i="1"/>
  <c r="GD94" i="1"/>
  <c r="GB94" i="1"/>
  <c r="FZ94" i="1"/>
  <c r="FW94" i="1"/>
  <c r="FV94" i="1"/>
  <c r="FS94" i="1"/>
  <c r="FM94" i="1"/>
  <c r="FJ94" i="1"/>
  <c r="FH94" i="1"/>
  <c r="FF94" i="1"/>
  <c r="FD94" i="1"/>
  <c r="FB94" i="1"/>
  <c r="FA94" i="1"/>
  <c r="EZ94" i="1"/>
  <c r="EX94" i="1"/>
  <c r="EV94" i="1"/>
  <c r="ET94" i="1"/>
  <c r="EL94" i="1"/>
  <c r="EF94" i="1"/>
  <c r="ED94" i="1"/>
  <c r="EB94" i="1"/>
  <c r="EA94" i="1"/>
  <c r="DZ94" i="1"/>
  <c r="DV94" i="1"/>
  <c r="DW94" i="1" s="1"/>
  <c r="ER94" i="1" s="1"/>
  <c r="DT94" i="1"/>
  <c r="DR94" i="1"/>
  <c r="BE94" i="1"/>
  <c r="BF94" i="1" s="1"/>
  <c r="FO94" i="1" s="1"/>
  <c r="BD94" i="1"/>
  <c r="FP94" i="1" s="1"/>
  <c r="BA94" i="1"/>
  <c r="FN94" i="1" s="1"/>
  <c r="AO94" i="1"/>
  <c r="EI94" i="1" s="1"/>
  <c r="AM94" i="1"/>
  <c r="EH94" i="1" s="1"/>
  <c r="AK94" i="1"/>
  <c r="Z94" i="1"/>
  <c r="AA94" i="1" s="1"/>
  <c r="DY94" i="1" s="1"/>
  <c r="EC94" i="1" s="1"/>
  <c r="GH94" i="1" s="1"/>
  <c r="Y94" i="1"/>
  <c r="GD93" i="1"/>
  <c r="GB93" i="1"/>
  <c r="FZ93" i="1"/>
  <c r="FW93" i="1"/>
  <c r="FV93" i="1"/>
  <c r="FS93" i="1"/>
  <c r="FM93" i="1"/>
  <c r="FJ93" i="1"/>
  <c r="FH93" i="1"/>
  <c r="FF93" i="1"/>
  <c r="FD93" i="1"/>
  <c r="FB93" i="1"/>
  <c r="FA93" i="1"/>
  <c r="EZ93" i="1"/>
  <c r="EX93" i="1"/>
  <c r="EV93" i="1"/>
  <c r="ET93" i="1"/>
  <c r="EL93" i="1"/>
  <c r="EF93" i="1"/>
  <c r="ED93" i="1"/>
  <c r="EB93" i="1"/>
  <c r="EA93" i="1"/>
  <c r="DZ93" i="1"/>
  <c r="DW93" i="1"/>
  <c r="ER93" i="1" s="1"/>
  <c r="DV93" i="1"/>
  <c r="DT93" i="1"/>
  <c r="DR93" i="1"/>
  <c r="BF93" i="1"/>
  <c r="FO93" i="1" s="1"/>
  <c r="BE93" i="1"/>
  <c r="BD93" i="1"/>
  <c r="FP93" i="1" s="1"/>
  <c r="BA93" i="1"/>
  <c r="FN93" i="1" s="1"/>
  <c r="AO93" i="1"/>
  <c r="EI93" i="1" s="1"/>
  <c r="AM93" i="1"/>
  <c r="EH93" i="1" s="1"/>
  <c r="AK93" i="1"/>
  <c r="Y93" i="1"/>
  <c r="Z93" i="1" s="1"/>
  <c r="AA93" i="1" s="1"/>
  <c r="DY93" i="1" s="1"/>
  <c r="EC93" i="1" s="1"/>
  <c r="GH93" i="1" s="1"/>
  <c r="GD92" i="1"/>
  <c r="GB92" i="1"/>
  <c r="FZ92" i="1"/>
  <c r="FW92" i="1"/>
  <c r="FV92" i="1"/>
  <c r="FX92" i="1" s="1"/>
  <c r="FS92" i="1"/>
  <c r="FM92" i="1"/>
  <c r="FJ92" i="1"/>
  <c r="FH92" i="1"/>
  <c r="FF92" i="1"/>
  <c r="FD92" i="1"/>
  <c r="FB92" i="1"/>
  <c r="FA92" i="1"/>
  <c r="EZ92" i="1"/>
  <c r="EX92" i="1"/>
  <c r="EV92" i="1"/>
  <c r="ET92" i="1"/>
  <c r="EL92" i="1"/>
  <c r="EF92" i="1"/>
  <c r="ED92" i="1"/>
  <c r="EB92" i="1"/>
  <c r="EA92" i="1"/>
  <c r="DZ92" i="1"/>
  <c r="DV92" i="1"/>
  <c r="DW92" i="1" s="1"/>
  <c r="ER92" i="1" s="1"/>
  <c r="DT92" i="1"/>
  <c r="DR92" i="1"/>
  <c r="BE92" i="1"/>
  <c r="BF92" i="1" s="1"/>
  <c r="FO92" i="1" s="1"/>
  <c r="BD92" i="1"/>
  <c r="FP92" i="1" s="1"/>
  <c r="BA92" i="1"/>
  <c r="FN92" i="1" s="1"/>
  <c r="AO92" i="1"/>
  <c r="EI92" i="1" s="1"/>
  <c r="AM92" i="1"/>
  <c r="EH92" i="1" s="1"/>
  <c r="AK92" i="1"/>
  <c r="Z92" i="1"/>
  <c r="AA92" i="1" s="1"/>
  <c r="DY92" i="1" s="1"/>
  <c r="EC92" i="1" s="1"/>
  <c r="GH92" i="1" s="1"/>
  <c r="Y92" i="1"/>
  <c r="GD91" i="1"/>
  <c r="GB91" i="1"/>
  <c r="FZ91" i="1"/>
  <c r="FW91" i="1"/>
  <c r="FV91" i="1"/>
  <c r="FX91" i="1" s="1"/>
  <c r="FS91" i="1"/>
  <c r="FM91" i="1"/>
  <c r="FJ91" i="1"/>
  <c r="FH91" i="1"/>
  <c r="FF91" i="1"/>
  <c r="FD91" i="1"/>
  <c r="FB91" i="1"/>
  <c r="FA91" i="1"/>
  <c r="EZ91" i="1"/>
  <c r="EX91" i="1"/>
  <c r="EV91" i="1"/>
  <c r="ET91" i="1"/>
  <c r="EL91" i="1"/>
  <c r="EF91" i="1"/>
  <c r="ED91" i="1"/>
  <c r="EB91" i="1"/>
  <c r="EA91" i="1"/>
  <c r="DZ91" i="1"/>
  <c r="DW91" i="1"/>
  <c r="ER91" i="1" s="1"/>
  <c r="DV91" i="1"/>
  <c r="DT91" i="1"/>
  <c r="DR91" i="1"/>
  <c r="BF91" i="1"/>
  <c r="FO91" i="1" s="1"/>
  <c r="BE91" i="1"/>
  <c r="BD91" i="1"/>
  <c r="FP91" i="1" s="1"/>
  <c r="BA91" i="1"/>
  <c r="FN91" i="1" s="1"/>
  <c r="AO91" i="1"/>
  <c r="EI91" i="1" s="1"/>
  <c r="AM91" i="1"/>
  <c r="EH91" i="1" s="1"/>
  <c r="AK91" i="1"/>
  <c r="Y91" i="1"/>
  <c r="Z91" i="1" s="1"/>
  <c r="AA91" i="1" s="1"/>
  <c r="DY91" i="1" s="1"/>
  <c r="EC91" i="1" s="1"/>
  <c r="GH91" i="1" s="1"/>
  <c r="GD90" i="1"/>
  <c r="GB90" i="1"/>
  <c r="FZ90" i="1"/>
  <c r="FW90" i="1"/>
  <c r="FV90" i="1"/>
  <c r="FX90" i="1" s="1"/>
  <c r="FS90" i="1"/>
  <c r="FM90" i="1"/>
  <c r="FJ90" i="1"/>
  <c r="FH90" i="1"/>
  <c r="FF90" i="1"/>
  <c r="FD90" i="1"/>
  <c r="FB90" i="1"/>
  <c r="FA90" i="1"/>
  <c r="EZ90" i="1"/>
  <c r="EX90" i="1"/>
  <c r="EV90" i="1"/>
  <c r="ET90" i="1"/>
  <c r="EL90" i="1"/>
  <c r="EF90" i="1"/>
  <c r="ED90" i="1"/>
  <c r="EB90" i="1"/>
  <c r="EA90" i="1"/>
  <c r="DZ90" i="1"/>
  <c r="DW90" i="1"/>
  <c r="ER90" i="1" s="1"/>
  <c r="DV90" i="1"/>
  <c r="DT90" i="1"/>
  <c r="DR90" i="1"/>
  <c r="BF90" i="1"/>
  <c r="FO90" i="1" s="1"/>
  <c r="BE90" i="1"/>
  <c r="BD90" i="1"/>
  <c r="FP90" i="1" s="1"/>
  <c r="BA90" i="1"/>
  <c r="FN90" i="1" s="1"/>
  <c r="AO90" i="1"/>
  <c r="EI90" i="1" s="1"/>
  <c r="AM90" i="1"/>
  <c r="EH90" i="1" s="1"/>
  <c r="AK90" i="1"/>
  <c r="Y90" i="1"/>
  <c r="Z90" i="1" s="1"/>
  <c r="AA90" i="1" s="1"/>
  <c r="DY90" i="1" s="1"/>
  <c r="EC90" i="1" s="1"/>
  <c r="GH90" i="1" s="1"/>
  <c r="GD89" i="1"/>
  <c r="GB89" i="1"/>
  <c r="FZ89" i="1"/>
  <c r="FW89" i="1"/>
  <c r="FV89" i="1"/>
  <c r="FS89" i="1"/>
  <c r="FM89" i="1"/>
  <c r="FJ89" i="1"/>
  <c r="FH89" i="1"/>
  <c r="FF89" i="1"/>
  <c r="FD89" i="1"/>
  <c r="FB89" i="1"/>
  <c r="FA89" i="1"/>
  <c r="EZ89" i="1"/>
  <c r="EX89" i="1"/>
  <c r="EV89" i="1"/>
  <c r="ET89" i="1"/>
  <c r="EL89" i="1"/>
  <c r="EF89" i="1"/>
  <c r="ED89" i="1"/>
  <c r="EB89" i="1"/>
  <c r="EA89" i="1"/>
  <c r="DZ89" i="1"/>
  <c r="DW89" i="1"/>
  <c r="ER89" i="1" s="1"/>
  <c r="DV89" i="1"/>
  <c r="DT89" i="1"/>
  <c r="DR89" i="1"/>
  <c r="BF89" i="1"/>
  <c r="FO89" i="1" s="1"/>
  <c r="BE89" i="1"/>
  <c r="BD89" i="1"/>
  <c r="FP89" i="1" s="1"/>
  <c r="BA89" i="1"/>
  <c r="FN89" i="1" s="1"/>
  <c r="AO89" i="1"/>
  <c r="EI89" i="1" s="1"/>
  <c r="AM89" i="1"/>
  <c r="EH89" i="1" s="1"/>
  <c r="AK89" i="1"/>
  <c r="Y89" i="1"/>
  <c r="Z89" i="1" s="1"/>
  <c r="AA89" i="1" s="1"/>
  <c r="DY89" i="1" s="1"/>
  <c r="EC89" i="1" s="1"/>
  <c r="GH89" i="1" s="1"/>
  <c r="GD88" i="1"/>
  <c r="GB88" i="1"/>
  <c r="FZ88" i="1"/>
  <c r="FW88" i="1"/>
  <c r="FV88" i="1"/>
  <c r="FX88" i="1" s="1"/>
  <c r="FS88" i="1"/>
  <c r="FM88" i="1"/>
  <c r="FJ88" i="1"/>
  <c r="FH88" i="1"/>
  <c r="FF88" i="1"/>
  <c r="FD88" i="1"/>
  <c r="FB88" i="1"/>
  <c r="FA88" i="1"/>
  <c r="EZ88" i="1"/>
  <c r="EX88" i="1"/>
  <c r="EV88" i="1"/>
  <c r="ET88" i="1"/>
  <c r="EL88" i="1"/>
  <c r="EF88" i="1"/>
  <c r="ED88" i="1"/>
  <c r="EB88" i="1"/>
  <c r="EA88" i="1"/>
  <c r="DZ88" i="1"/>
  <c r="DW88" i="1"/>
  <c r="ER88" i="1" s="1"/>
  <c r="DV88" i="1"/>
  <c r="DT88" i="1"/>
  <c r="DR88" i="1"/>
  <c r="BF88" i="1"/>
  <c r="FO88" i="1" s="1"/>
  <c r="BE88" i="1"/>
  <c r="BD88" i="1"/>
  <c r="FP88" i="1" s="1"/>
  <c r="BA88" i="1"/>
  <c r="FN88" i="1" s="1"/>
  <c r="AO88" i="1"/>
  <c r="EI88" i="1" s="1"/>
  <c r="AM88" i="1"/>
  <c r="EH88" i="1" s="1"/>
  <c r="AK88" i="1"/>
  <c r="Y88" i="1"/>
  <c r="Z88" i="1" s="1"/>
  <c r="AA88" i="1" s="1"/>
  <c r="DY88" i="1" s="1"/>
  <c r="EC88" i="1" s="1"/>
  <c r="GH88" i="1" s="1"/>
  <c r="GD87" i="1"/>
  <c r="GB87" i="1"/>
  <c r="FZ87" i="1"/>
  <c r="FW87" i="1"/>
  <c r="FV87" i="1"/>
  <c r="FS87" i="1"/>
  <c r="FM87" i="1"/>
  <c r="FJ87" i="1"/>
  <c r="FH87" i="1"/>
  <c r="FF87" i="1"/>
  <c r="FD87" i="1"/>
  <c r="FB87" i="1"/>
  <c r="FA87" i="1"/>
  <c r="EZ87" i="1"/>
  <c r="EX87" i="1"/>
  <c r="EV87" i="1"/>
  <c r="ET87" i="1"/>
  <c r="EL87" i="1"/>
  <c r="EF87" i="1"/>
  <c r="ED87" i="1"/>
  <c r="EB87" i="1"/>
  <c r="EA87" i="1"/>
  <c r="DZ87" i="1"/>
  <c r="DV87" i="1"/>
  <c r="DW87" i="1" s="1"/>
  <c r="ER87" i="1" s="1"/>
  <c r="DT87" i="1"/>
  <c r="DR87" i="1"/>
  <c r="BE87" i="1"/>
  <c r="BF87" i="1" s="1"/>
  <c r="FO87" i="1" s="1"/>
  <c r="BD87" i="1"/>
  <c r="FP87" i="1" s="1"/>
  <c r="BA87" i="1"/>
  <c r="FN87" i="1" s="1"/>
  <c r="AO87" i="1"/>
  <c r="EI87" i="1" s="1"/>
  <c r="AM87" i="1"/>
  <c r="EH87" i="1" s="1"/>
  <c r="AK87" i="1"/>
  <c r="Z87" i="1"/>
  <c r="AA87" i="1" s="1"/>
  <c r="DY87" i="1" s="1"/>
  <c r="EC87" i="1" s="1"/>
  <c r="GH87" i="1" s="1"/>
  <c r="Y87" i="1"/>
  <c r="GD86" i="1"/>
  <c r="GB86" i="1"/>
  <c r="FZ86" i="1"/>
  <c r="FW86" i="1"/>
  <c r="FV86" i="1"/>
  <c r="FS86" i="1"/>
  <c r="FM86" i="1"/>
  <c r="FJ86" i="1"/>
  <c r="FH86" i="1"/>
  <c r="FF86" i="1"/>
  <c r="FD86" i="1"/>
  <c r="FB86" i="1"/>
  <c r="FA86" i="1"/>
  <c r="EZ86" i="1"/>
  <c r="EX86" i="1"/>
  <c r="EV86" i="1"/>
  <c r="ET86" i="1"/>
  <c r="EL86" i="1"/>
  <c r="EF86" i="1"/>
  <c r="ED86" i="1"/>
  <c r="EB86" i="1"/>
  <c r="EA86" i="1"/>
  <c r="DZ86" i="1"/>
  <c r="DV86" i="1"/>
  <c r="DW86" i="1" s="1"/>
  <c r="ER86" i="1" s="1"/>
  <c r="DT86" i="1"/>
  <c r="DR86" i="1"/>
  <c r="BE86" i="1"/>
  <c r="BF86" i="1" s="1"/>
  <c r="FO86" i="1" s="1"/>
  <c r="BD86" i="1"/>
  <c r="FP86" i="1" s="1"/>
  <c r="BA86" i="1"/>
  <c r="FN86" i="1" s="1"/>
  <c r="AO86" i="1"/>
  <c r="EI86" i="1" s="1"/>
  <c r="AM86" i="1"/>
  <c r="EH86" i="1" s="1"/>
  <c r="AK86" i="1"/>
  <c r="Z86" i="1"/>
  <c r="AA86" i="1" s="1"/>
  <c r="DY86" i="1" s="1"/>
  <c r="EC86" i="1" s="1"/>
  <c r="GH86" i="1" s="1"/>
  <c r="Y86" i="1"/>
  <c r="GD85" i="1"/>
  <c r="GB85" i="1"/>
  <c r="FZ85" i="1"/>
  <c r="FW85" i="1"/>
  <c r="FV85" i="1"/>
  <c r="FX85" i="1" s="1"/>
  <c r="FS85" i="1"/>
  <c r="FM85" i="1"/>
  <c r="FJ85" i="1"/>
  <c r="FH85" i="1"/>
  <c r="FF85" i="1"/>
  <c r="FD85" i="1"/>
  <c r="FB85" i="1"/>
  <c r="FA85" i="1"/>
  <c r="EZ85" i="1"/>
  <c r="EX85" i="1"/>
  <c r="EV85" i="1"/>
  <c r="ET85" i="1"/>
  <c r="EL85" i="1"/>
  <c r="EF85" i="1"/>
  <c r="ED85" i="1"/>
  <c r="EB85" i="1"/>
  <c r="EA85" i="1"/>
  <c r="DZ85" i="1"/>
  <c r="DV85" i="1"/>
  <c r="DW85" i="1" s="1"/>
  <c r="ER85" i="1" s="1"/>
  <c r="DT85" i="1"/>
  <c r="DR85" i="1"/>
  <c r="BE85" i="1"/>
  <c r="BF85" i="1" s="1"/>
  <c r="FO85" i="1" s="1"/>
  <c r="BD85" i="1"/>
  <c r="FP85" i="1" s="1"/>
  <c r="BA85" i="1"/>
  <c r="FN85" i="1" s="1"/>
  <c r="AO85" i="1"/>
  <c r="EI85" i="1" s="1"/>
  <c r="AM85" i="1"/>
  <c r="EH85" i="1" s="1"/>
  <c r="AK85" i="1"/>
  <c r="Z85" i="1"/>
  <c r="AA85" i="1" s="1"/>
  <c r="DY85" i="1" s="1"/>
  <c r="EC85" i="1" s="1"/>
  <c r="GH85" i="1" s="1"/>
  <c r="Y85" i="1"/>
  <c r="GD84" i="1"/>
  <c r="GB84" i="1"/>
  <c r="FZ84" i="1"/>
  <c r="FW84" i="1"/>
  <c r="FV84" i="1"/>
  <c r="FX84" i="1" s="1"/>
  <c r="FS84" i="1"/>
  <c r="FM84" i="1"/>
  <c r="FJ84" i="1"/>
  <c r="FH84" i="1"/>
  <c r="FF84" i="1"/>
  <c r="FD84" i="1"/>
  <c r="FB84" i="1"/>
  <c r="FA84" i="1"/>
  <c r="EZ84" i="1"/>
  <c r="EX84" i="1"/>
  <c r="EV84" i="1"/>
  <c r="ET84" i="1"/>
  <c r="EL84" i="1"/>
  <c r="EF84" i="1"/>
  <c r="ED84" i="1"/>
  <c r="EB84" i="1"/>
  <c r="EA84" i="1"/>
  <c r="DZ84" i="1"/>
  <c r="DW84" i="1"/>
  <c r="ER84" i="1" s="1"/>
  <c r="DV84" i="1"/>
  <c r="DT84" i="1"/>
  <c r="DR84" i="1"/>
  <c r="BF84" i="1"/>
  <c r="FO84" i="1" s="1"/>
  <c r="BE84" i="1"/>
  <c r="BD84" i="1"/>
  <c r="FP84" i="1" s="1"/>
  <c r="BA84" i="1"/>
  <c r="FN84" i="1" s="1"/>
  <c r="AO84" i="1"/>
  <c r="EI84" i="1" s="1"/>
  <c r="AM84" i="1"/>
  <c r="EH84" i="1" s="1"/>
  <c r="AK84" i="1"/>
  <c r="Z84" i="1"/>
  <c r="AA84" i="1" s="1"/>
  <c r="DY84" i="1" s="1"/>
  <c r="EC84" i="1" s="1"/>
  <c r="GH84" i="1" s="1"/>
  <c r="Y84" i="1"/>
  <c r="GD83" i="1"/>
  <c r="GB83" i="1"/>
  <c r="FZ83" i="1"/>
  <c r="FW83" i="1"/>
  <c r="FV83" i="1"/>
  <c r="FS83" i="1"/>
  <c r="FM83" i="1"/>
  <c r="FJ83" i="1"/>
  <c r="FH83" i="1"/>
  <c r="FF83" i="1"/>
  <c r="FD83" i="1"/>
  <c r="FB83" i="1"/>
  <c r="FA83" i="1"/>
  <c r="EZ83" i="1"/>
  <c r="EX83" i="1"/>
  <c r="EV83" i="1"/>
  <c r="ET83" i="1"/>
  <c r="EL83" i="1"/>
  <c r="EF83" i="1"/>
  <c r="ED83" i="1"/>
  <c r="EB83" i="1"/>
  <c r="EA83" i="1"/>
  <c r="DZ83" i="1"/>
  <c r="DV83" i="1"/>
  <c r="DW83" i="1" s="1"/>
  <c r="ER83" i="1" s="1"/>
  <c r="DT83" i="1"/>
  <c r="DR83" i="1"/>
  <c r="BE83" i="1"/>
  <c r="BF83" i="1" s="1"/>
  <c r="FO83" i="1" s="1"/>
  <c r="BD83" i="1"/>
  <c r="FP83" i="1" s="1"/>
  <c r="BA83" i="1"/>
  <c r="FN83" i="1" s="1"/>
  <c r="AO83" i="1"/>
  <c r="EI83" i="1" s="1"/>
  <c r="AM83" i="1"/>
  <c r="EH83" i="1" s="1"/>
  <c r="AK83" i="1"/>
  <c r="Z83" i="1"/>
  <c r="AA83" i="1" s="1"/>
  <c r="DY83" i="1" s="1"/>
  <c r="EC83" i="1" s="1"/>
  <c r="GH83" i="1" s="1"/>
  <c r="Y83" i="1"/>
  <c r="GD82" i="1"/>
  <c r="GB82" i="1"/>
  <c r="FZ82" i="1"/>
  <c r="FW82" i="1"/>
  <c r="FV82" i="1"/>
  <c r="FX82" i="1" s="1"/>
  <c r="FS82" i="1"/>
  <c r="FM82" i="1"/>
  <c r="FJ82" i="1"/>
  <c r="FH82" i="1"/>
  <c r="FF82" i="1"/>
  <c r="FD82" i="1"/>
  <c r="FB82" i="1"/>
  <c r="FA82" i="1"/>
  <c r="EZ82" i="1"/>
  <c r="EX82" i="1"/>
  <c r="EV82" i="1"/>
  <c r="ET82" i="1"/>
  <c r="EL82" i="1"/>
  <c r="EF82" i="1"/>
  <c r="ED82" i="1"/>
  <c r="EB82" i="1"/>
  <c r="EA82" i="1"/>
  <c r="DZ82" i="1"/>
  <c r="DW82" i="1"/>
  <c r="ER82" i="1" s="1"/>
  <c r="DV82" i="1"/>
  <c r="DT82" i="1"/>
  <c r="DR82" i="1"/>
  <c r="BF82" i="1"/>
  <c r="FO82" i="1" s="1"/>
  <c r="BE82" i="1"/>
  <c r="BD82" i="1"/>
  <c r="FP82" i="1" s="1"/>
  <c r="BA82" i="1"/>
  <c r="FN82" i="1" s="1"/>
  <c r="AO82" i="1"/>
  <c r="EI82" i="1" s="1"/>
  <c r="AM82" i="1"/>
  <c r="EH82" i="1" s="1"/>
  <c r="AK82" i="1"/>
  <c r="Z82" i="1"/>
  <c r="AA82" i="1" s="1"/>
  <c r="DY82" i="1" s="1"/>
  <c r="EC82" i="1" s="1"/>
  <c r="GH82" i="1" s="1"/>
  <c r="Y82" i="1"/>
  <c r="GD81" i="1"/>
  <c r="GB81" i="1"/>
  <c r="FZ81" i="1"/>
  <c r="FW81" i="1"/>
  <c r="FV81" i="1"/>
  <c r="FX81" i="1" s="1"/>
  <c r="FS81" i="1"/>
  <c r="FM81" i="1"/>
  <c r="FJ81" i="1"/>
  <c r="FH81" i="1"/>
  <c r="FF81" i="1"/>
  <c r="FD81" i="1"/>
  <c r="FB81" i="1"/>
  <c r="FA81" i="1"/>
  <c r="EZ81" i="1"/>
  <c r="EX81" i="1"/>
  <c r="EV81" i="1"/>
  <c r="ET81" i="1"/>
  <c r="EL81" i="1"/>
  <c r="EF81" i="1"/>
  <c r="ED81" i="1"/>
  <c r="EB81" i="1"/>
  <c r="EA81" i="1"/>
  <c r="DZ81" i="1"/>
  <c r="DV81" i="1"/>
  <c r="DW81" i="1" s="1"/>
  <c r="ER81" i="1" s="1"/>
  <c r="DT81" i="1"/>
  <c r="DR81" i="1"/>
  <c r="BE81" i="1"/>
  <c r="BF81" i="1" s="1"/>
  <c r="FO81" i="1" s="1"/>
  <c r="BD81" i="1"/>
  <c r="FP81" i="1" s="1"/>
  <c r="BA81" i="1"/>
  <c r="FN81" i="1" s="1"/>
  <c r="AO81" i="1"/>
  <c r="EI81" i="1" s="1"/>
  <c r="AM81" i="1"/>
  <c r="EH81" i="1" s="1"/>
  <c r="AK81" i="1"/>
  <c r="Z81" i="1"/>
  <c r="AA81" i="1" s="1"/>
  <c r="DY81" i="1" s="1"/>
  <c r="EC81" i="1" s="1"/>
  <c r="GH81" i="1" s="1"/>
  <c r="Y81" i="1"/>
  <c r="GD80" i="1"/>
  <c r="GB80" i="1"/>
  <c r="FZ80" i="1"/>
  <c r="FW80" i="1"/>
  <c r="FV80" i="1"/>
  <c r="FX80" i="1" s="1"/>
  <c r="FS80" i="1"/>
  <c r="FM80" i="1"/>
  <c r="FJ80" i="1"/>
  <c r="FH80" i="1"/>
  <c r="FF80" i="1"/>
  <c r="FD80" i="1"/>
  <c r="FB80" i="1"/>
  <c r="FA80" i="1"/>
  <c r="EZ80" i="1"/>
  <c r="EX80" i="1"/>
  <c r="EV80" i="1"/>
  <c r="ET80" i="1"/>
  <c r="EL80" i="1"/>
  <c r="EF80" i="1"/>
  <c r="ED80" i="1"/>
  <c r="EB80" i="1"/>
  <c r="EA80" i="1"/>
  <c r="DZ80" i="1"/>
  <c r="DV80" i="1"/>
  <c r="DW80" i="1" s="1"/>
  <c r="ER80" i="1" s="1"/>
  <c r="DT80" i="1"/>
  <c r="DR80" i="1"/>
  <c r="BE80" i="1"/>
  <c r="BF80" i="1" s="1"/>
  <c r="FO80" i="1" s="1"/>
  <c r="BD80" i="1"/>
  <c r="FP80" i="1" s="1"/>
  <c r="BA80" i="1"/>
  <c r="FN80" i="1" s="1"/>
  <c r="AO80" i="1"/>
  <c r="EI80" i="1" s="1"/>
  <c r="AM80" i="1"/>
  <c r="EH80" i="1" s="1"/>
  <c r="AK80" i="1"/>
  <c r="Z80" i="1"/>
  <c r="AA80" i="1" s="1"/>
  <c r="DY80" i="1" s="1"/>
  <c r="EC80" i="1" s="1"/>
  <c r="GH80" i="1" s="1"/>
  <c r="Y80" i="1"/>
  <c r="GD79" i="1"/>
  <c r="GB79" i="1"/>
  <c r="FZ79" i="1"/>
  <c r="FW79" i="1"/>
  <c r="FV79" i="1"/>
  <c r="FX79" i="1" s="1"/>
  <c r="FS79" i="1"/>
  <c r="FM79" i="1"/>
  <c r="FJ79" i="1"/>
  <c r="FH79" i="1"/>
  <c r="FF79" i="1"/>
  <c r="FD79" i="1"/>
  <c r="FB79" i="1"/>
  <c r="FA79" i="1"/>
  <c r="EZ79" i="1"/>
  <c r="EX79" i="1"/>
  <c r="EV79" i="1"/>
  <c r="ET79" i="1"/>
  <c r="EL79" i="1"/>
  <c r="EF79" i="1"/>
  <c r="ED79" i="1"/>
  <c r="EB79" i="1"/>
  <c r="EA79" i="1"/>
  <c r="DZ79" i="1"/>
  <c r="DW79" i="1"/>
  <c r="ER79" i="1" s="1"/>
  <c r="DV79" i="1"/>
  <c r="DT79" i="1"/>
  <c r="DR79" i="1"/>
  <c r="BF79" i="1"/>
  <c r="FO79" i="1" s="1"/>
  <c r="BE79" i="1"/>
  <c r="BD79" i="1"/>
  <c r="FP79" i="1" s="1"/>
  <c r="BA79" i="1"/>
  <c r="FN79" i="1" s="1"/>
  <c r="AO79" i="1"/>
  <c r="EI79" i="1" s="1"/>
  <c r="AM79" i="1"/>
  <c r="EH79" i="1" s="1"/>
  <c r="AK79" i="1"/>
  <c r="Z79" i="1"/>
  <c r="AA79" i="1" s="1"/>
  <c r="DY79" i="1" s="1"/>
  <c r="EC79" i="1" s="1"/>
  <c r="GH79" i="1" s="1"/>
  <c r="Y79" i="1"/>
  <c r="GD78" i="1"/>
  <c r="GB78" i="1"/>
  <c r="FZ78" i="1"/>
  <c r="FW78" i="1"/>
  <c r="FV78" i="1"/>
  <c r="FX78" i="1" s="1"/>
  <c r="FS78" i="1"/>
  <c r="FM78" i="1"/>
  <c r="FJ78" i="1"/>
  <c r="FH78" i="1"/>
  <c r="FF78" i="1"/>
  <c r="FD78" i="1"/>
  <c r="FB78" i="1"/>
  <c r="FA78" i="1"/>
  <c r="EZ78" i="1"/>
  <c r="EX78" i="1"/>
  <c r="EV78" i="1"/>
  <c r="ET78" i="1"/>
  <c r="EL78" i="1"/>
  <c r="EF78" i="1"/>
  <c r="ED78" i="1"/>
  <c r="EB78" i="1"/>
  <c r="EA78" i="1"/>
  <c r="DZ78" i="1"/>
  <c r="DV78" i="1"/>
  <c r="DW78" i="1" s="1"/>
  <c r="ER78" i="1" s="1"/>
  <c r="DT78" i="1"/>
  <c r="DR78" i="1"/>
  <c r="BE78" i="1"/>
  <c r="BF78" i="1" s="1"/>
  <c r="FO78" i="1" s="1"/>
  <c r="BD78" i="1"/>
  <c r="FP78" i="1" s="1"/>
  <c r="BA78" i="1"/>
  <c r="FN78" i="1" s="1"/>
  <c r="AO78" i="1"/>
  <c r="EI78" i="1" s="1"/>
  <c r="AM78" i="1"/>
  <c r="EH78" i="1" s="1"/>
  <c r="AK78" i="1"/>
  <c r="Z78" i="1"/>
  <c r="AA78" i="1" s="1"/>
  <c r="DY78" i="1" s="1"/>
  <c r="EC78" i="1" s="1"/>
  <c r="GH78" i="1" s="1"/>
  <c r="Y78" i="1"/>
  <c r="GD77" i="1"/>
  <c r="GB77" i="1"/>
  <c r="FZ77" i="1"/>
  <c r="FW77" i="1"/>
  <c r="FV77" i="1"/>
  <c r="FS77" i="1"/>
  <c r="FM77" i="1"/>
  <c r="FJ77" i="1"/>
  <c r="FH77" i="1"/>
  <c r="FF77" i="1"/>
  <c r="FD77" i="1"/>
  <c r="FB77" i="1"/>
  <c r="FA77" i="1"/>
  <c r="EZ77" i="1"/>
  <c r="EX77" i="1"/>
  <c r="EV77" i="1"/>
  <c r="ET77" i="1"/>
  <c r="EL77" i="1"/>
  <c r="EF77" i="1"/>
  <c r="ED77" i="1"/>
  <c r="EB77" i="1"/>
  <c r="EA77" i="1"/>
  <c r="DZ77" i="1"/>
  <c r="DW77" i="1"/>
  <c r="ER77" i="1" s="1"/>
  <c r="DV77" i="1"/>
  <c r="DT77" i="1"/>
  <c r="DR77" i="1"/>
  <c r="BF77" i="1"/>
  <c r="FO77" i="1" s="1"/>
  <c r="BE77" i="1"/>
  <c r="BD77" i="1"/>
  <c r="FP77" i="1" s="1"/>
  <c r="BA77" i="1"/>
  <c r="FN77" i="1" s="1"/>
  <c r="AO77" i="1"/>
  <c r="EI77" i="1" s="1"/>
  <c r="AM77" i="1"/>
  <c r="EH77" i="1" s="1"/>
  <c r="AK77" i="1"/>
  <c r="Z77" i="1"/>
  <c r="AA77" i="1" s="1"/>
  <c r="DY77" i="1" s="1"/>
  <c r="EC77" i="1" s="1"/>
  <c r="GH77" i="1" s="1"/>
  <c r="Y77" i="1"/>
  <c r="GD76" i="1"/>
  <c r="GB76" i="1"/>
  <c r="FZ76" i="1"/>
  <c r="FW76" i="1"/>
  <c r="FV76" i="1"/>
  <c r="FX76" i="1" s="1"/>
  <c r="FS76" i="1"/>
  <c r="FM76" i="1"/>
  <c r="FJ76" i="1"/>
  <c r="FH76" i="1"/>
  <c r="FF76" i="1"/>
  <c r="FD76" i="1"/>
  <c r="FB76" i="1"/>
  <c r="FA76" i="1"/>
  <c r="EZ76" i="1"/>
  <c r="EX76" i="1"/>
  <c r="EV76" i="1"/>
  <c r="ET76" i="1"/>
  <c r="EL76" i="1"/>
  <c r="EF76" i="1"/>
  <c r="ED76" i="1"/>
  <c r="EB76" i="1"/>
  <c r="EA76" i="1"/>
  <c r="DZ76" i="1"/>
  <c r="DV76" i="1"/>
  <c r="DW76" i="1" s="1"/>
  <c r="ER76" i="1" s="1"/>
  <c r="DT76" i="1"/>
  <c r="DR76" i="1"/>
  <c r="BE76" i="1"/>
  <c r="BF76" i="1" s="1"/>
  <c r="FO76" i="1" s="1"/>
  <c r="BD76" i="1"/>
  <c r="FP76" i="1" s="1"/>
  <c r="BA76" i="1"/>
  <c r="FN76" i="1" s="1"/>
  <c r="AO76" i="1"/>
  <c r="EI76" i="1" s="1"/>
  <c r="AM76" i="1"/>
  <c r="EH76" i="1" s="1"/>
  <c r="AK76" i="1"/>
  <c r="Z76" i="1"/>
  <c r="AA76" i="1" s="1"/>
  <c r="DY76" i="1" s="1"/>
  <c r="EC76" i="1" s="1"/>
  <c r="GH76" i="1" s="1"/>
  <c r="Y76" i="1"/>
  <c r="GD75" i="1"/>
  <c r="GB75" i="1"/>
  <c r="FZ75" i="1"/>
  <c r="FW75" i="1"/>
  <c r="FV75" i="1"/>
  <c r="FX75" i="1" s="1"/>
  <c r="FS75" i="1"/>
  <c r="FM75" i="1"/>
  <c r="FJ75" i="1"/>
  <c r="FH75" i="1"/>
  <c r="FF75" i="1"/>
  <c r="FD75" i="1"/>
  <c r="FB75" i="1"/>
  <c r="FA75" i="1"/>
  <c r="EZ75" i="1"/>
  <c r="EX75" i="1"/>
  <c r="EV75" i="1"/>
  <c r="ET75" i="1"/>
  <c r="EL75" i="1"/>
  <c r="EF75" i="1"/>
  <c r="ED75" i="1"/>
  <c r="EB75" i="1"/>
  <c r="EA75" i="1"/>
  <c r="DZ75" i="1"/>
  <c r="DV75" i="1"/>
  <c r="DW75" i="1" s="1"/>
  <c r="ER75" i="1" s="1"/>
  <c r="DT75" i="1"/>
  <c r="DR75" i="1"/>
  <c r="BE75" i="1"/>
  <c r="BF75" i="1" s="1"/>
  <c r="FO75" i="1" s="1"/>
  <c r="BD75" i="1"/>
  <c r="FP75" i="1" s="1"/>
  <c r="BA75" i="1"/>
  <c r="FN75" i="1" s="1"/>
  <c r="AO75" i="1"/>
  <c r="EI75" i="1" s="1"/>
  <c r="AM75" i="1"/>
  <c r="EH75" i="1" s="1"/>
  <c r="AK75" i="1"/>
  <c r="Z75" i="1"/>
  <c r="AA75" i="1" s="1"/>
  <c r="DY75" i="1" s="1"/>
  <c r="EC75" i="1" s="1"/>
  <c r="GH75" i="1" s="1"/>
  <c r="Y75" i="1"/>
  <c r="GD74" i="1"/>
  <c r="GB74" i="1"/>
  <c r="FZ74" i="1"/>
  <c r="FW74" i="1"/>
  <c r="FV74" i="1"/>
  <c r="FS74" i="1"/>
  <c r="FM74" i="1"/>
  <c r="FJ74" i="1"/>
  <c r="FH74" i="1"/>
  <c r="FF74" i="1"/>
  <c r="FD74" i="1"/>
  <c r="FB74" i="1"/>
  <c r="FA74" i="1"/>
  <c r="EZ74" i="1"/>
  <c r="EX74" i="1"/>
  <c r="EV74" i="1"/>
  <c r="ET74" i="1"/>
  <c r="EL74" i="1"/>
  <c r="EF74" i="1"/>
  <c r="ED74" i="1"/>
  <c r="EB74" i="1"/>
  <c r="EA74" i="1"/>
  <c r="DZ74" i="1"/>
  <c r="DV74" i="1"/>
  <c r="DW74" i="1" s="1"/>
  <c r="ER74" i="1" s="1"/>
  <c r="DT74" i="1"/>
  <c r="DR74" i="1"/>
  <c r="BE74" i="1"/>
  <c r="BF74" i="1" s="1"/>
  <c r="FO74" i="1" s="1"/>
  <c r="BD74" i="1"/>
  <c r="FP74" i="1" s="1"/>
  <c r="BA74" i="1"/>
  <c r="FN74" i="1" s="1"/>
  <c r="AO74" i="1"/>
  <c r="EI74" i="1" s="1"/>
  <c r="AM74" i="1"/>
  <c r="EH74" i="1" s="1"/>
  <c r="AK74" i="1"/>
  <c r="Z74" i="1"/>
  <c r="AA74" i="1" s="1"/>
  <c r="DY74" i="1" s="1"/>
  <c r="EC74" i="1" s="1"/>
  <c r="GH74" i="1" s="1"/>
  <c r="Y74" i="1"/>
  <c r="GD73" i="1"/>
  <c r="GB73" i="1"/>
  <c r="FZ73" i="1"/>
  <c r="FW73" i="1"/>
  <c r="FV73" i="1"/>
  <c r="FX73" i="1" s="1"/>
  <c r="FS73" i="1"/>
  <c r="FM73" i="1"/>
  <c r="FJ73" i="1"/>
  <c r="FH73" i="1"/>
  <c r="FF73" i="1"/>
  <c r="FD73" i="1"/>
  <c r="FB73" i="1"/>
  <c r="FA73" i="1"/>
  <c r="EZ73" i="1"/>
  <c r="EX73" i="1"/>
  <c r="EV73" i="1"/>
  <c r="ET73" i="1"/>
  <c r="EL73" i="1"/>
  <c r="EF73" i="1"/>
  <c r="ED73" i="1"/>
  <c r="EB73" i="1"/>
  <c r="EA73" i="1"/>
  <c r="DZ73" i="1"/>
  <c r="DW73" i="1"/>
  <c r="ER73" i="1" s="1"/>
  <c r="DV73" i="1"/>
  <c r="DT73" i="1"/>
  <c r="DR73" i="1"/>
  <c r="BF73" i="1"/>
  <c r="FO73" i="1" s="1"/>
  <c r="BE73" i="1"/>
  <c r="BD73" i="1"/>
  <c r="FP73" i="1" s="1"/>
  <c r="BA73" i="1"/>
  <c r="FN73" i="1" s="1"/>
  <c r="AO73" i="1"/>
  <c r="EI73" i="1" s="1"/>
  <c r="AM73" i="1"/>
  <c r="EH73" i="1" s="1"/>
  <c r="AK73" i="1"/>
  <c r="Z73" i="1"/>
  <c r="AA73" i="1" s="1"/>
  <c r="DY73" i="1" s="1"/>
  <c r="EC73" i="1" s="1"/>
  <c r="GH73" i="1" s="1"/>
  <c r="Y73" i="1"/>
  <c r="GD72" i="1"/>
  <c r="GB72" i="1"/>
  <c r="FZ72" i="1"/>
  <c r="FW72" i="1"/>
  <c r="FV72" i="1"/>
  <c r="FX72" i="1" s="1"/>
  <c r="FS72" i="1"/>
  <c r="FM72" i="1"/>
  <c r="FJ72" i="1"/>
  <c r="FH72" i="1"/>
  <c r="FF72" i="1"/>
  <c r="FD72" i="1"/>
  <c r="FB72" i="1"/>
  <c r="FA72" i="1"/>
  <c r="EZ72" i="1"/>
  <c r="EX72" i="1"/>
  <c r="EV72" i="1"/>
  <c r="ET72" i="1"/>
  <c r="EL72" i="1"/>
  <c r="EF72" i="1"/>
  <c r="ED72" i="1"/>
  <c r="EB72" i="1"/>
  <c r="EA72" i="1"/>
  <c r="DZ72" i="1"/>
  <c r="DV72" i="1"/>
  <c r="DW72" i="1" s="1"/>
  <c r="ER72" i="1" s="1"/>
  <c r="DT72" i="1"/>
  <c r="DR72" i="1"/>
  <c r="BE72" i="1"/>
  <c r="BF72" i="1" s="1"/>
  <c r="FO72" i="1" s="1"/>
  <c r="BD72" i="1"/>
  <c r="FP72" i="1" s="1"/>
  <c r="BA72" i="1"/>
  <c r="FN72" i="1" s="1"/>
  <c r="AO72" i="1"/>
  <c r="EI72" i="1" s="1"/>
  <c r="AM72" i="1"/>
  <c r="EH72" i="1" s="1"/>
  <c r="AK72" i="1"/>
  <c r="Y72" i="1"/>
  <c r="Z72" i="1" s="1"/>
  <c r="AA72" i="1" s="1"/>
  <c r="DY72" i="1" s="1"/>
  <c r="EC72" i="1" s="1"/>
  <c r="GH72" i="1" s="1"/>
  <c r="GD71" i="1"/>
  <c r="GB71" i="1"/>
  <c r="FZ71" i="1"/>
  <c r="FW71" i="1"/>
  <c r="FV71" i="1"/>
  <c r="FX71" i="1" s="1"/>
  <c r="FS71" i="1"/>
  <c r="FM71" i="1"/>
  <c r="FJ71" i="1"/>
  <c r="FH71" i="1"/>
  <c r="FF71" i="1"/>
  <c r="FD71" i="1"/>
  <c r="FB71" i="1"/>
  <c r="FA71" i="1"/>
  <c r="EZ71" i="1"/>
  <c r="EX71" i="1"/>
  <c r="EV71" i="1"/>
  <c r="ET71" i="1"/>
  <c r="EL71" i="1"/>
  <c r="EF71" i="1"/>
  <c r="ED71" i="1"/>
  <c r="EB71" i="1"/>
  <c r="EA71" i="1"/>
  <c r="DZ71" i="1"/>
  <c r="DW71" i="1"/>
  <c r="ER71" i="1" s="1"/>
  <c r="DV71" i="1"/>
  <c r="DT71" i="1"/>
  <c r="DR71" i="1"/>
  <c r="BF71" i="1"/>
  <c r="FO71" i="1" s="1"/>
  <c r="BE71" i="1"/>
  <c r="BD71" i="1"/>
  <c r="FP71" i="1" s="1"/>
  <c r="BA71" i="1"/>
  <c r="FN71" i="1" s="1"/>
  <c r="AO71" i="1"/>
  <c r="EI71" i="1" s="1"/>
  <c r="AM71" i="1"/>
  <c r="EH71" i="1" s="1"/>
  <c r="AK71" i="1"/>
  <c r="Y71" i="1"/>
  <c r="Z71" i="1" s="1"/>
  <c r="AA71" i="1" s="1"/>
  <c r="DY71" i="1" s="1"/>
  <c r="EC71" i="1" s="1"/>
  <c r="GH71" i="1" s="1"/>
  <c r="GD70" i="1"/>
  <c r="GB70" i="1"/>
  <c r="FZ70" i="1"/>
  <c r="FW70" i="1"/>
  <c r="FV70" i="1"/>
  <c r="FX70" i="1" s="1"/>
  <c r="FS70" i="1"/>
  <c r="FM70" i="1"/>
  <c r="FJ70" i="1"/>
  <c r="FH70" i="1"/>
  <c r="FF70" i="1"/>
  <c r="FD70" i="1"/>
  <c r="FB70" i="1"/>
  <c r="FA70" i="1"/>
  <c r="EZ70" i="1"/>
  <c r="EX70" i="1"/>
  <c r="EV70" i="1"/>
  <c r="ET70" i="1"/>
  <c r="EL70" i="1"/>
  <c r="EF70" i="1"/>
  <c r="ED70" i="1"/>
  <c r="EB70" i="1"/>
  <c r="EA70" i="1"/>
  <c r="DZ70" i="1"/>
  <c r="DV70" i="1"/>
  <c r="DW70" i="1" s="1"/>
  <c r="ER70" i="1" s="1"/>
  <c r="DT70" i="1"/>
  <c r="DR70" i="1"/>
  <c r="BE70" i="1"/>
  <c r="BF70" i="1" s="1"/>
  <c r="FO70" i="1" s="1"/>
  <c r="BD70" i="1"/>
  <c r="FP70" i="1" s="1"/>
  <c r="BA70" i="1"/>
  <c r="FN70" i="1" s="1"/>
  <c r="AO70" i="1"/>
  <c r="EI70" i="1" s="1"/>
  <c r="AM70" i="1"/>
  <c r="EH70" i="1" s="1"/>
  <c r="AK70" i="1"/>
  <c r="Z70" i="1"/>
  <c r="AA70" i="1" s="1"/>
  <c r="DY70" i="1" s="1"/>
  <c r="EC70" i="1" s="1"/>
  <c r="GH70" i="1" s="1"/>
  <c r="Y70" i="1"/>
  <c r="GD69" i="1"/>
  <c r="GB69" i="1"/>
  <c r="FZ69" i="1"/>
  <c r="FW69" i="1"/>
  <c r="FV69" i="1"/>
  <c r="FX69" i="1" s="1"/>
  <c r="FS69" i="1"/>
  <c r="FM69" i="1"/>
  <c r="FJ69" i="1"/>
  <c r="FH69" i="1"/>
  <c r="FF69" i="1"/>
  <c r="FD69" i="1"/>
  <c r="FB69" i="1"/>
  <c r="FA69" i="1"/>
  <c r="EZ69" i="1"/>
  <c r="EX69" i="1"/>
  <c r="EV69" i="1"/>
  <c r="ET69" i="1"/>
  <c r="EL69" i="1"/>
  <c r="EF69" i="1"/>
  <c r="ED69" i="1"/>
  <c r="EB69" i="1"/>
  <c r="EA69" i="1"/>
  <c r="DZ69" i="1"/>
  <c r="DW69" i="1"/>
  <c r="ER69" i="1" s="1"/>
  <c r="DV69" i="1"/>
  <c r="DT69" i="1"/>
  <c r="DR69" i="1"/>
  <c r="BF69" i="1"/>
  <c r="FO69" i="1" s="1"/>
  <c r="BE69" i="1"/>
  <c r="BD69" i="1"/>
  <c r="FP69" i="1" s="1"/>
  <c r="BA69" i="1"/>
  <c r="FN69" i="1" s="1"/>
  <c r="AO69" i="1"/>
  <c r="EI69" i="1" s="1"/>
  <c r="AM69" i="1"/>
  <c r="EH69" i="1" s="1"/>
  <c r="AK69" i="1"/>
  <c r="Y69" i="1"/>
  <c r="Z69" i="1" s="1"/>
  <c r="AA69" i="1" s="1"/>
  <c r="DY69" i="1" s="1"/>
  <c r="EC69" i="1" s="1"/>
  <c r="GH69" i="1" s="1"/>
  <c r="GD68" i="1"/>
  <c r="GB68" i="1"/>
  <c r="FZ68" i="1"/>
  <c r="FW68" i="1"/>
  <c r="FV68" i="1"/>
  <c r="FX68" i="1" s="1"/>
  <c r="FS68" i="1"/>
  <c r="FM68" i="1"/>
  <c r="FJ68" i="1"/>
  <c r="FH68" i="1"/>
  <c r="FF68" i="1"/>
  <c r="FD68" i="1"/>
  <c r="FB68" i="1"/>
  <c r="FA68" i="1"/>
  <c r="EZ68" i="1"/>
  <c r="EX68" i="1"/>
  <c r="EV68" i="1"/>
  <c r="ET68" i="1"/>
  <c r="EL68" i="1"/>
  <c r="EF68" i="1"/>
  <c r="ED68" i="1"/>
  <c r="EB68" i="1"/>
  <c r="EA68" i="1"/>
  <c r="DZ68" i="1"/>
  <c r="DV68" i="1"/>
  <c r="DW68" i="1" s="1"/>
  <c r="ER68" i="1" s="1"/>
  <c r="DT68" i="1"/>
  <c r="DR68" i="1"/>
  <c r="BE68" i="1"/>
  <c r="BF68" i="1" s="1"/>
  <c r="FO68" i="1" s="1"/>
  <c r="BD68" i="1"/>
  <c r="FP68" i="1" s="1"/>
  <c r="BA68" i="1"/>
  <c r="FN68" i="1" s="1"/>
  <c r="AO68" i="1"/>
  <c r="EI68" i="1" s="1"/>
  <c r="AM68" i="1"/>
  <c r="EH68" i="1" s="1"/>
  <c r="AK68" i="1"/>
  <c r="Z68" i="1"/>
  <c r="AA68" i="1" s="1"/>
  <c r="DY68" i="1" s="1"/>
  <c r="EC68" i="1" s="1"/>
  <c r="GH68" i="1" s="1"/>
  <c r="Y68" i="1"/>
  <c r="GD67" i="1"/>
  <c r="GB67" i="1"/>
  <c r="FZ67" i="1"/>
  <c r="FW67" i="1"/>
  <c r="FV67" i="1"/>
  <c r="FS67" i="1"/>
  <c r="FM67" i="1"/>
  <c r="FJ67" i="1"/>
  <c r="FH67" i="1"/>
  <c r="FF67" i="1"/>
  <c r="FD67" i="1"/>
  <c r="FB67" i="1"/>
  <c r="FA67" i="1"/>
  <c r="EZ67" i="1"/>
  <c r="EX67" i="1"/>
  <c r="EV67" i="1"/>
  <c r="ET67" i="1"/>
  <c r="EL67" i="1"/>
  <c r="EF67" i="1"/>
  <c r="ED67" i="1"/>
  <c r="EB67" i="1"/>
  <c r="EA67" i="1"/>
  <c r="DZ67" i="1"/>
  <c r="DW67" i="1"/>
  <c r="ER67" i="1" s="1"/>
  <c r="DV67" i="1"/>
  <c r="DT67" i="1"/>
  <c r="DR67" i="1"/>
  <c r="BF67" i="1"/>
  <c r="FO67" i="1" s="1"/>
  <c r="BE67" i="1"/>
  <c r="BD67" i="1"/>
  <c r="FP67" i="1" s="1"/>
  <c r="BA67" i="1"/>
  <c r="FN67" i="1" s="1"/>
  <c r="AO67" i="1"/>
  <c r="EI67" i="1" s="1"/>
  <c r="AM67" i="1"/>
  <c r="EH67" i="1" s="1"/>
  <c r="AK67" i="1"/>
  <c r="Z67" i="1"/>
  <c r="AA67" i="1" s="1"/>
  <c r="DY67" i="1" s="1"/>
  <c r="EC67" i="1" s="1"/>
  <c r="GH67" i="1" s="1"/>
  <c r="Y67" i="1"/>
  <c r="GD66" i="1"/>
  <c r="GB66" i="1"/>
  <c r="FZ66" i="1"/>
  <c r="FW66" i="1"/>
  <c r="FV66" i="1"/>
  <c r="FX66" i="1" s="1"/>
  <c r="FS66" i="1"/>
  <c r="FM66" i="1"/>
  <c r="FJ66" i="1"/>
  <c r="FH66" i="1"/>
  <c r="FF66" i="1"/>
  <c r="FD66" i="1"/>
  <c r="FB66" i="1"/>
  <c r="FA66" i="1"/>
  <c r="EZ66" i="1"/>
  <c r="EX66" i="1"/>
  <c r="EV66" i="1"/>
  <c r="ET66" i="1"/>
  <c r="EL66" i="1"/>
  <c r="EF66" i="1"/>
  <c r="ED66" i="1"/>
  <c r="EB66" i="1"/>
  <c r="EA66" i="1"/>
  <c r="DZ66" i="1"/>
  <c r="DV66" i="1"/>
  <c r="DW66" i="1" s="1"/>
  <c r="ER66" i="1" s="1"/>
  <c r="DT66" i="1"/>
  <c r="DR66" i="1"/>
  <c r="BE66" i="1"/>
  <c r="BF66" i="1" s="1"/>
  <c r="FO66" i="1" s="1"/>
  <c r="BD66" i="1"/>
  <c r="FP66" i="1" s="1"/>
  <c r="BA66" i="1"/>
  <c r="FN66" i="1" s="1"/>
  <c r="AO66" i="1"/>
  <c r="EI66" i="1" s="1"/>
  <c r="AM66" i="1"/>
  <c r="EH66" i="1" s="1"/>
  <c r="AK66" i="1"/>
  <c r="Z66" i="1"/>
  <c r="AA66" i="1" s="1"/>
  <c r="DY66" i="1" s="1"/>
  <c r="EC66" i="1" s="1"/>
  <c r="GH66" i="1" s="1"/>
  <c r="Y66" i="1"/>
  <c r="GD65" i="1"/>
  <c r="GB65" i="1"/>
  <c r="FZ65" i="1"/>
  <c r="FW65" i="1"/>
  <c r="FV65" i="1"/>
  <c r="FX65" i="1" s="1"/>
  <c r="FS65" i="1"/>
  <c r="FM65" i="1"/>
  <c r="FJ65" i="1"/>
  <c r="FH65" i="1"/>
  <c r="FF65" i="1"/>
  <c r="FD65" i="1"/>
  <c r="FB65" i="1"/>
  <c r="FA65" i="1"/>
  <c r="EZ65" i="1"/>
  <c r="EX65" i="1"/>
  <c r="EV65" i="1"/>
  <c r="ET65" i="1"/>
  <c r="EL65" i="1"/>
  <c r="EF65" i="1"/>
  <c r="ED65" i="1"/>
  <c r="EB65" i="1"/>
  <c r="EA65" i="1"/>
  <c r="DZ65" i="1"/>
  <c r="DV65" i="1"/>
  <c r="DW65" i="1" s="1"/>
  <c r="ER65" i="1" s="1"/>
  <c r="DT65" i="1"/>
  <c r="DR65" i="1"/>
  <c r="BE65" i="1"/>
  <c r="BF65" i="1" s="1"/>
  <c r="FO65" i="1" s="1"/>
  <c r="BD65" i="1"/>
  <c r="FP65" i="1" s="1"/>
  <c r="BA65" i="1"/>
  <c r="FN65" i="1" s="1"/>
  <c r="AO65" i="1"/>
  <c r="EI65" i="1" s="1"/>
  <c r="AM65" i="1"/>
  <c r="EH65" i="1" s="1"/>
  <c r="AK65" i="1"/>
  <c r="Z65" i="1"/>
  <c r="AA65" i="1" s="1"/>
  <c r="DY65" i="1" s="1"/>
  <c r="EC65" i="1" s="1"/>
  <c r="GH65" i="1" s="1"/>
  <c r="Y65" i="1"/>
  <c r="GD64" i="1"/>
  <c r="GB64" i="1"/>
  <c r="FZ64" i="1"/>
  <c r="FW64" i="1"/>
  <c r="FV64" i="1"/>
  <c r="FX64" i="1" s="1"/>
  <c r="FS64" i="1"/>
  <c r="FM64" i="1"/>
  <c r="FJ64" i="1"/>
  <c r="FH64" i="1"/>
  <c r="FF64" i="1"/>
  <c r="FD64" i="1"/>
  <c r="FB64" i="1"/>
  <c r="FA64" i="1"/>
  <c r="EZ64" i="1"/>
  <c r="EX64" i="1"/>
  <c r="EV64" i="1"/>
  <c r="ET64" i="1"/>
  <c r="EL64" i="1"/>
  <c r="EF64" i="1"/>
  <c r="ED64" i="1"/>
  <c r="EB64" i="1"/>
  <c r="EA64" i="1"/>
  <c r="DZ64" i="1"/>
  <c r="DW64" i="1"/>
  <c r="ER64" i="1" s="1"/>
  <c r="DV64" i="1"/>
  <c r="DT64" i="1"/>
  <c r="DR64" i="1"/>
  <c r="BF64" i="1"/>
  <c r="FO64" i="1" s="1"/>
  <c r="BE64" i="1"/>
  <c r="BD64" i="1"/>
  <c r="FP64" i="1" s="1"/>
  <c r="BA64" i="1"/>
  <c r="FN64" i="1" s="1"/>
  <c r="AO64" i="1"/>
  <c r="EI64" i="1" s="1"/>
  <c r="AM64" i="1"/>
  <c r="EH64" i="1" s="1"/>
  <c r="AK64" i="1"/>
  <c r="Y64" i="1"/>
  <c r="Z64" i="1" s="1"/>
  <c r="AA64" i="1" s="1"/>
  <c r="DY64" i="1" s="1"/>
  <c r="EC64" i="1" s="1"/>
  <c r="GH64" i="1" s="1"/>
  <c r="GD63" i="1"/>
  <c r="GB63" i="1"/>
  <c r="FZ63" i="1"/>
  <c r="FW63" i="1"/>
  <c r="FV63" i="1"/>
  <c r="FX63" i="1" s="1"/>
  <c r="FS63" i="1"/>
  <c r="FM63" i="1"/>
  <c r="FJ63" i="1"/>
  <c r="FH63" i="1"/>
  <c r="FF63" i="1"/>
  <c r="FD63" i="1"/>
  <c r="FB63" i="1"/>
  <c r="FA63" i="1"/>
  <c r="EZ63" i="1"/>
  <c r="EX63" i="1"/>
  <c r="EV63" i="1"/>
  <c r="ET63" i="1"/>
  <c r="EL63" i="1"/>
  <c r="EF63" i="1"/>
  <c r="ED63" i="1"/>
  <c r="EB63" i="1"/>
  <c r="EA63" i="1"/>
  <c r="DZ63" i="1"/>
  <c r="DW63" i="1"/>
  <c r="ER63" i="1" s="1"/>
  <c r="DV63" i="1"/>
  <c r="DT63" i="1"/>
  <c r="DR63" i="1"/>
  <c r="BF63" i="1"/>
  <c r="FO63" i="1" s="1"/>
  <c r="BE63" i="1"/>
  <c r="BD63" i="1"/>
  <c r="FP63" i="1" s="1"/>
  <c r="BA63" i="1"/>
  <c r="FN63" i="1" s="1"/>
  <c r="AO63" i="1"/>
  <c r="EI63" i="1" s="1"/>
  <c r="AM63" i="1"/>
  <c r="EH63" i="1" s="1"/>
  <c r="AK63" i="1"/>
  <c r="Z63" i="1"/>
  <c r="AA63" i="1" s="1"/>
  <c r="DY63" i="1" s="1"/>
  <c r="EC63" i="1" s="1"/>
  <c r="GH63" i="1" s="1"/>
  <c r="Y63" i="1"/>
  <c r="GD62" i="1"/>
  <c r="GB62" i="1"/>
  <c r="FZ62" i="1"/>
  <c r="FW62" i="1"/>
  <c r="FV62" i="1"/>
  <c r="FS62" i="1"/>
  <c r="FM62" i="1"/>
  <c r="FJ62" i="1"/>
  <c r="FH62" i="1"/>
  <c r="FF62" i="1"/>
  <c r="FD62" i="1"/>
  <c r="FB62" i="1"/>
  <c r="FA62" i="1"/>
  <c r="EZ62" i="1"/>
  <c r="EX62" i="1"/>
  <c r="EV62" i="1"/>
  <c r="ET62" i="1"/>
  <c r="EL62" i="1"/>
  <c r="EF62" i="1"/>
  <c r="ED62" i="1"/>
  <c r="EB62" i="1"/>
  <c r="EA62" i="1"/>
  <c r="DZ62" i="1"/>
  <c r="DV62" i="1"/>
  <c r="DW62" i="1" s="1"/>
  <c r="ER62" i="1" s="1"/>
  <c r="DT62" i="1"/>
  <c r="DR62" i="1"/>
  <c r="BE62" i="1"/>
  <c r="BF62" i="1" s="1"/>
  <c r="FO62" i="1" s="1"/>
  <c r="BD62" i="1"/>
  <c r="FP62" i="1" s="1"/>
  <c r="BA62" i="1"/>
  <c r="FN62" i="1" s="1"/>
  <c r="AO62" i="1"/>
  <c r="EI62" i="1" s="1"/>
  <c r="AM62" i="1"/>
  <c r="EH62" i="1" s="1"/>
  <c r="AK62" i="1"/>
  <c r="Z62" i="1"/>
  <c r="AA62" i="1" s="1"/>
  <c r="DY62" i="1" s="1"/>
  <c r="EC62" i="1" s="1"/>
  <c r="GH62" i="1" s="1"/>
  <c r="Y62" i="1"/>
  <c r="GD61" i="1"/>
  <c r="GB61" i="1"/>
  <c r="FZ61" i="1"/>
  <c r="FW61" i="1"/>
  <c r="FV61" i="1"/>
  <c r="FX61" i="1" s="1"/>
  <c r="FS61" i="1"/>
  <c r="FM61" i="1"/>
  <c r="FJ61" i="1"/>
  <c r="FH61" i="1"/>
  <c r="FF61" i="1"/>
  <c r="FD61" i="1"/>
  <c r="FB61" i="1"/>
  <c r="FA61" i="1"/>
  <c r="EZ61" i="1"/>
  <c r="EX61" i="1"/>
  <c r="EV61" i="1"/>
  <c r="ET61" i="1"/>
  <c r="EL61" i="1"/>
  <c r="EF61" i="1"/>
  <c r="ED61" i="1"/>
  <c r="EB61" i="1"/>
  <c r="EA61" i="1"/>
  <c r="DZ61" i="1"/>
  <c r="DW61" i="1"/>
  <c r="ER61" i="1" s="1"/>
  <c r="DV61" i="1"/>
  <c r="DT61" i="1"/>
  <c r="DR61" i="1"/>
  <c r="BF61" i="1"/>
  <c r="FO61" i="1" s="1"/>
  <c r="BE61" i="1"/>
  <c r="BD61" i="1"/>
  <c r="FP61" i="1" s="1"/>
  <c r="BA61" i="1"/>
  <c r="FN61" i="1" s="1"/>
  <c r="AO61" i="1"/>
  <c r="EI61" i="1" s="1"/>
  <c r="AM61" i="1"/>
  <c r="EH61" i="1" s="1"/>
  <c r="AK61" i="1"/>
  <c r="Y61" i="1"/>
  <c r="Z61" i="1" s="1"/>
  <c r="AA61" i="1" s="1"/>
  <c r="DY61" i="1" s="1"/>
  <c r="EC61" i="1" s="1"/>
  <c r="GH61" i="1" s="1"/>
  <c r="GD60" i="1"/>
  <c r="GB60" i="1"/>
  <c r="FZ60" i="1"/>
  <c r="FW60" i="1"/>
  <c r="FV60" i="1"/>
  <c r="FX60" i="1" s="1"/>
  <c r="FS60" i="1"/>
  <c r="FM60" i="1"/>
  <c r="FJ60" i="1"/>
  <c r="FH60" i="1"/>
  <c r="FF60" i="1"/>
  <c r="FD60" i="1"/>
  <c r="FB60" i="1"/>
  <c r="FA60" i="1"/>
  <c r="EZ60" i="1"/>
  <c r="EX60" i="1"/>
  <c r="EV60" i="1"/>
  <c r="ET60" i="1"/>
  <c r="EL60" i="1"/>
  <c r="EF60" i="1"/>
  <c r="ED60" i="1"/>
  <c r="EB60" i="1"/>
  <c r="EA60" i="1"/>
  <c r="DZ60" i="1"/>
  <c r="DW60" i="1"/>
  <c r="ER60" i="1" s="1"/>
  <c r="DV60" i="1"/>
  <c r="DT60" i="1"/>
  <c r="DR60" i="1"/>
  <c r="BF60" i="1"/>
  <c r="FO60" i="1" s="1"/>
  <c r="BE60" i="1"/>
  <c r="BD60" i="1"/>
  <c r="FP60" i="1" s="1"/>
  <c r="BA60" i="1"/>
  <c r="FN60" i="1" s="1"/>
  <c r="AO60" i="1"/>
  <c r="EI60" i="1" s="1"/>
  <c r="AM60" i="1"/>
  <c r="EH60" i="1" s="1"/>
  <c r="AK60" i="1"/>
  <c r="Z60" i="1"/>
  <c r="AA60" i="1" s="1"/>
  <c r="DY60" i="1" s="1"/>
  <c r="EC60" i="1" s="1"/>
  <c r="GH60" i="1" s="1"/>
  <c r="Y60" i="1"/>
  <c r="GD59" i="1"/>
  <c r="GB59" i="1"/>
  <c r="FZ59" i="1"/>
  <c r="FW59" i="1"/>
  <c r="FV59" i="1"/>
  <c r="FX59" i="1" s="1"/>
  <c r="FS59" i="1"/>
  <c r="FM59" i="1"/>
  <c r="FJ59" i="1"/>
  <c r="FH59" i="1"/>
  <c r="FF59" i="1"/>
  <c r="FD59" i="1"/>
  <c r="FB59" i="1"/>
  <c r="FA59" i="1"/>
  <c r="EZ59" i="1"/>
  <c r="EX59" i="1"/>
  <c r="EV59" i="1"/>
  <c r="ET59" i="1"/>
  <c r="EL59" i="1"/>
  <c r="EF59" i="1"/>
  <c r="ED59" i="1"/>
  <c r="EB59" i="1"/>
  <c r="EA59" i="1"/>
  <c r="DZ59" i="1"/>
  <c r="DW59" i="1"/>
  <c r="ER59" i="1" s="1"/>
  <c r="DV59" i="1"/>
  <c r="DT59" i="1"/>
  <c r="DR59" i="1"/>
  <c r="BF59" i="1"/>
  <c r="FO59" i="1" s="1"/>
  <c r="BE59" i="1"/>
  <c r="BD59" i="1"/>
  <c r="FP59" i="1" s="1"/>
  <c r="BA59" i="1"/>
  <c r="FN59" i="1" s="1"/>
  <c r="AO59" i="1"/>
  <c r="EI59" i="1" s="1"/>
  <c r="AM59" i="1"/>
  <c r="EH59" i="1" s="1"/>
  <c r="AK59" i="1"/>
  <c r="Y59" i="1"/>
  <c r="Z59" i="1" s="1"/>
  <c r="AA59" i="1" s="1"/>
  <c r="DY59" i="1" s="1"/>
  <c r="EC59" i="1" s="1"/>
  <c r="GH59" i="1" s="1"/>
  <c r="GD58" i="1"/>
  <c r="GB58" i="1"/>
  <c r="FZ58" i="1"/>
  <c r="FW58" i="1"/>
  <c r="FV58" i="1"/>
  <c r="FS58" i="1"/>
  <c r="FM58" i="1"/>
  <c r="FJ58" i="1"/>
  <c r="FH58" i="1"/>
  <c r="FF58" i="1"/>
  <c r="FD58" i="1"/>
  <c r="FB58" i="1"/>
  <c r="FA58" i="1"/>
  <c r="EZ58" i="1"/>
  <c r="EX58" i="1"/>
  <c r="EV58" i="1"/>
  <c r="ET58" i="1"/>
  <c r="EL58" i="1"/>
  <c r="EF58" i="1"/>
  <c r="ED58" i="1"/>
  <c r="EB58" i="1"/>
  <c r="EA58" i="1"/>
  <c r="DZ58" i="1"/>
  <c r="DW58" i="1"/>
  <c r="ER58" i="1" s="1"/>
  <c r="DV58" i="1"/>
  <c r="DT58" i="1"/>
  <c r="DR58" i="1"/>
  <c r="BF58" i="1"/>
  <c r="FO58" i="1" s="1"/>
  <c r="BE58" i="1"/>
  <c r="BD58" i="1"/>
  <c r="FP58" i="1" s="1"/>
  <c r="BA58" i="1"/>
  <c r="FN58" i="1" s="1"/>
  <c r="AO58" i="1"/>
  <c r="EI58" i="1" s="1"/>
  <c r="AM58" i="1"/>
  <c r="EH58" i="1" s="1"/>
  <c r="AK58" i="1"/>
  <c r="Z58" i="1"/>
  <c r="AA58" i="1" s="1"/>
  <c r="DY58" i="1" s="1"/>
  <c r="EC58" i="1" s="1"/>
  <c r="GH58" i="1" s="1"/>
  <c r="Y58" i="1"/>
  <c r="GD57" i="1"/>
  <c r="GB57" i="1"/>
  <c r="FZ57" i="1"/>
  <c r="FW57" i="1"/>
  <c r="FV57" i="1"/>
  <c r="FX57" i="1" s="1"/>
  <c r="FS57" i="1"/>
  <c r="FM57" i="1"/>
  <c r="FJ57" i="1"/>
  <c r="FH57" i="1"/>
  <c r="FF57" i="1"/>
  <c r="FD57" i="1"/>
  <c r="FB57" i="1"/>
  <c r="FA57" i="1"/>
  <c r="EZ57" i="1"/>
  <c r="EX57" i="1"/>
  <c r="EV57" i="1"/>
  <c r="ET57" i="1"/>
  <c r="EL57" i="1"/>
  <c r="EF57" i="1"/>
  <c r="ED57" i="1"/>
  <c r="EB57" i="1"/>
  <c r="EA57" i="1"/>
  <c r="DZ57" i="1"/>
  <c r="DV57" i="1"/>
  <c r="DW57" i="1" s="1"/>
  <c r="ER57" i="1" s="1"/>
  <c r="DT57" i="1"/>
  <c r="DR57" i="1"/>
  <c r="BE57" i="1"/>
  <c r="BF57" i="1" s="1"/>
  <c r="FO57" i="1" s="1"/>
  <c r="BD57" i="1"/>
  <c r="FP57" i="1" s="1"/>
  <c r="BA57" i="1"/>
  <c r="FN57" i="1" s="1"/>
  <c r="AO57" i="1"/>
  <c r="EI57" i="1" s="1"/>
  <c r="AM57" i="1"/>
  <c r="EH57" i="1" s="1"/>
  <c r="AK57" i="1"/>
  <c r="Z57" i="1"/>
  <c r="AA57" i="1" s="1"/>
  <c r="DY57" i="1" s="1"/>
  <c r="EC57" i="1" s="1"/>
  <c r="GH57" i="1" s="1"/>
  <c r="Y57" i="1"/>
  <c r="GD56" i="1"/>
  <c r="GB56" i="1"/>
  <c r="FZ56" i="1"/>
  <c r="FW56" i="1"/>
  <c r="FV56" i="1"/>
  <c r="FX56" i="1" s="1"/>
  <c r="FS56" i="1"/>
  <c r="FM56" i="1"/>
  <c r="FJ56" i="1"/>
  <c r="FH56" i="1"/>
  <c r="FF56" i="1"/>
  <c r="FD56" i="1"/>
  <c r="FB56" i="1"/>
  <c r="FA56" i="1"/>
  <c r="EZ56" i="1"/>
  <c r="EX56" i="1"/>
  <c r="EV56" i="1"/>
  <c r="ET56" i="1"/>
  <c r="EL56" i="1"/>
  <c r="EF56" i="1"/>
  <c r="ED56" i="1"/>
  <c r="EB56" i="1"/>
  <c r="EA56" i="1"/>
  <c r="DZ56" i="1"/>
  <c r="DW56" i="1"/>
  <c r="ER56" i="1" s="1"/>
  <c r="DV56" i="1"/>
  <c r="DT56" i="1"/>
  <c r="DR56" i="1"/>
  <c r="BF56" i="1"/>
  <c r="FO56" i="1" s="1"/>
  <c r="BE56" i="1"/>
  <c r="BD56" i="1"/>
  <c r="FP56" i="1" s="1"/>
  <c r="BA56" i="1"/>
  <c r="FN56" i="1" s="1"/>
  <c r="AO56" i="1"/>
  <c r="EI56" i="1" s="1"/>
  <c r="AM56" i="1"/>
  <c r="EH56" i="1" s="1"/>
  <c r="AK56" i="1"/>
  <c r="Y56" i="1"/>
  <c r="Z56" i="1" s="1"/>
  <c r="AA56" i="1" s="1"/>
  <c r="DY56" i="1" s="1"/>
  <c r="EC56" i="1" s="1"/>
  <c r="GH56" i="1" s="1"/>
  <c r="GD55" i="1"/>
  <c r="GB55" i="1"/>
  <c r="FZ55" i="1"/>
  <c r="FW55" i="1"/>
  <c r="FX55" i="1" s="1"/>
  <c r="FV55" i="1"/>
  <c r="FS55" i="1"/>
  <c r="FM55" i="1"/>
  <c r="FJ55" i="1"/>
  <c r="FH55" i="1"/>
  <c r="FF55" i="1"/>
  <c r="FD55" i="1"/>
  <c r="FB55" i="1"/>
  <c r="FA55" i="1"/>
  <c r="EZ55" i="1"/>
  <c r="EX55" i="1"/>
  <c r="EV55" i="1"/>
  <c r="ET55" i="1"/>
  <c r="EL55" i="1"/>
  <c r="EF55" i="1"/>
  <c r="ED55" i="1"/>
  <c r="EB55" i="1"/>
  <c r="EA55" i="1"/>
  <c r="DZ55" i="1"/>
  <c r="DW55" i="1"/>
  <c r="ER55" i="1" s="1"/>
  <c r="DV55" i="1"/>
  <c r="DT55" i="1"/>
  <c r="DR55" i="1"/>
  <c r="BF55" i="1"/>
  <c r="FO55" i="1" s="1"/>
  <c r="BE55" i="1"/>
  <c r="BD55" i="1"/>
  <c r="FP55" i="1" s="1"/>
  <c r="BA55" i="1"/>
  <c r="FN55" i="1" s="1"/>
  <c r="AO55" i="1"/>
  <c r="EI55" i="1" s="1"/>
  <c r="AM55" i="1"/>
  <c r="EH55" i="1" s="1"/>
  <c r="AK55" i="1"/>
  <c r="Y55" i="1"/>
  <c r="Z55" i="1" s="1"/>
  <c r="AA55" i="1" s="1"/>
  <c r="DY55" i="1" s="1"/>
  <c r="EC55" i="1" s="1"/>
  <c r="GH55" i="1" s="1"/>
  <c r="GD54" i="1"/>
  <c r="GB54" i="1"/>
  <c r="FZ54" i="1"/>
  <c r="FW54" i="1"/>
  <c r="FV54" i="1"/>
  <c r="FS54" i="1"/>
  <c r="FM54" i="1"/>
  <c r="FJ54" i="1"/>
  <c r="FH54" i="1"/>
  <c r="FF54" i="1"/>
  <c r="FD54" i="1"/>
  <c r="FB54" i="1"/>
  <c r="FA54" i="1"/>
  <c r="EZ54" i="1"/>
  <c r="EX54" i="1"/>
  <c r="EV54" i="1"/>
  <c r="ET54" i="1"/>
  <c r="EL54" i="1"/>
  <c r="EF54" i="1"/>
  <c r="ED54" i="1"/>
  <c r="EB54" i="1"/>
  <c r="EA54" i="1"/>
  <c r="DZ54" i="1"/>
  <c r="DV54" i="1"/>
  <c r="DW54" i="1" s="1"/>
  <c r="ER54" i="1" s="1"/>
  <c r="DT54" i="1"/>
  <c r="DR54" i="1"/>
  <c r="BE54" i="1"/>
  <c r="BF54" i="1" s="1"/>
  <c r="FO54" i="1" s="1"/>
  <c r="BD54" i="1"/>
  <c r="FP54" i="1" s="1"/>
  <c r="BA54" i="1"/>
  <c r="FN54" i="1" s="1"/>
  <c r="AO54" i="1"/>
  <c r="EI54" i="1" s="1"/>
  <c r="AM54" i="1"/>
  <c r="EH54" i="1" s="1"/>
  <c r="AK54" i="1"/>
  <c r="Z54" i="1"/>
  <c r="AA54" i="1" s="1"/>
  <c r="DY54" i="1" s="1"/>
  <c r="EC54" i="1" s="1"/>
  <c r="GH54" i="1" s="1"/>
  <c r="Y54" i="1"/>
  <c r="GD53" i="1"/>
  <c r="GB53" i="1"/>
  <c r="FZ53" i="1"/>
  <c r="FW53" i="1"/>
  <c r="FV53" i="1"/>
  <c r="FS53" i="1"/>
  <c r="FP53" i="1"/>
  <c r="FO53" i="1"/>
  <c r="FN53" i="1"/>
  <c r="FM53" i="1"/>
  <c r="FJ53" i="1"/>
  <c r="FH53" i="1"/>
  <c r="FF53" i="1"/>
  <c r="FD53" i="1"/>
  <c r="FB53" i="1"/>
  <c r="FA53" i="1"/>
  <c r="EZ53" i="1"/>
  <c r="EX53" i="1"/>
  <c r="EV53" i="1"/>
  <c r="ET53" i="1"/>
  <c r="EL53" i="1"/>
  <c r="EH53" i="1"/>
  <c r="EF53" i="1"/>
  <c r="ED53" i="1"/>
  <c r="EB53" i="1"/>
  <c r="EA53" i="1"/>
  <c r="DZ53" i="1"/>
  <c r="DY53" i="1"/>
  <c r="EC53" i="1" s="1"/>
  <c r="GH53" i="1" s="1"/>
  <c r="DV53" i="1"/>
  <c r="DW53" i="1" s="1"/>
  <c r="ER53" i="1" s="1"/>
  <c r="DT53" i="1"/>
  <c r="DR53" i="1"/>
  <c r="AO53" i="1"/>
  <c r="EI53" i="1" s="1"/>
  <c r="GD52" i="1"/>
  <c r="GB52" i="1"/>
  <c r="FZ52" i="1"/>
  <c r="FW52" i="1"/>
  <c r="FV52" i="1"/>
  <c r="FX52" i="1" s="1"/>
  <c r="FS52" i="1"/>
  <c r="FP52" i="1"/>
  <c r="FO52" i="1"/>
  <c r="FN52" i="1"/>
  <c r="FM52" i="1"/>
  <c r="FJ52" i="1"/>
  <c r="FH52" i="1"/>
  <c r="FF52" i="1"/>
  <c r="FD52" i="1"/>
  <c r="FB52" i="1"/>
  <c r="FA52" i="1"/>
  <c r="EZ52" i="1"/>
  <c r="EX52" i="1"/>
  <c r="EV52" i="1"/>
  <c r="ET52" i="1"/>
  <c r="EL52" i="1"/>
  <c r="EH52" i="1"/>
  <c r="EF52" i="1"/>
  <c r="ED52" i="1"/>
  <c r="EB52" i="1"/>
  <c r="EA52" i="1"/>
  <c r="DZ52" i="1"/>
  <c r="DY52" i="1"/>
  <c r="EC52" i="1" s="1"/>
  <c r="GH52" i="1" s="1"/>
  <c r="DV52" i="1"/>
  <c r="DW52" i="1" s="1"/>
  <c r="ER52" i="1" s="1"/>
  <c r="DT52" i="1"/>
  <c r="DR52" i="1"/>
  <c r="AO52" i="1"/>
  <c r="EI52" i="1" s="1"/>
  <c r="GD51" i="1"/>
  <c r="GB51" i="1"/>
  <c r="FZ51" i="1"/>
  <c r="FW51" i="1"/>
  <c r="FV51" i="1"/>
  <c r="FX51" i="1" s="1"/>
  <c r="FS51" i="1"/>
  <c r="FP51" i="1"/>
  <c r="FO51" i="1"/>
  <c r="FN51" i="1"/>
  <c r="FM51" i="1"/>
  <c r="FJ51" i="1"/>
  <c r="FH51" i="1"/>
  <c r="FF51" i="1"/>
  <c r="FD51" i="1"/>
  <c r="FB51" i="1"/>
  <c r="FA51" i="1"/>
  <c r="EZ51" i="1"/>
  <c r="EX51" i="1"/>
  <c r="EV51" i="1"/>
  <c r="ET51" i="1"/>
  <c r="EL51" i="1"/>
  <c r="EH51" i="1"/>
  <c r="EF51" i="1"/>
  <c r="ED51" i="1"/>
  <c r="EB51" i="1"/>
  <c r="EA51" i="1"/>
  <c r="DZ51" i="1"/>
  <c r="DY51" i="1"/>
  <c r="EC51" i="1" s="1"/>
  <c r="GH51" i="1" s="1"/>
  <c r="DW51" i="1"/>
  <c r="ER51" i="1" s="1"/>
  <c r="DV51" i="1"/>
  <c r="DT51" i="1"/>
  <c r="DR51" i="1"/>
  <c r="AO51" i="1"/>
  <c r="EI51" i="1" s="1"/>
  <c r="GD50" i="1"/>
  <c r="GB50" i="1"/>
  <c r="FZ50" i="1"/>
  <c r="FW50" i="1"/>
  <c r="FV50" i="1"/>
  <c r="FX50" i="1" s="1"/>
  <c r="FS50" i="1"/>
  <c r="FP50" i="1"/>
  <c r="FO50" i="1"/>
  <c r="FN50" i="1"/>
  <c r="FM50" i="1"/>
  <c r="FJ50" i="1"/>
  <c r="FH50" i="1"/>
  <c r="FF50" i="1"/>
  <c r="FD50" i="1"/>
  <c r="FB50" i="1"/>
  <c r="FA50" i="1"/>
  <c r="EZ50" i="1"/>
  <c r="EX50" i="1"/>
  <c r="EV50" i="1"/>
  <c r="ET50" i="1"/>
  <c r="EL50" i="1"/>
  <c r="EH50" i="1"/>
  <c r="EF50" i="1"/>
  <c r="ED50" i="1"/>
  <c r="EB50" i="1"/>
  <c r="EA50" i="1"/>
  <c r="DZ50" i="1"/>
  <c r="DY50" i="1"/>
  <c r="EC50" i="1" s="1"/>
  <c r="GH50" i="1" s="1"/>
  <c r="DV50" i="1"/>
  <c r="DW50" i="1" s="1"/>
  <c r="ER50" i="1" s="1"/>
  <c r="DT50" i="1"/>
  <c r="DR50" i="1"/>
  <c r="AO50" i="1"/>
  <c r="EI50" i="1" s="1"/>
  <c r="GD49" i="1"/>
  <c r="GB49" i="1"/>
  <c r="FZ49" i="1"/>
  <c r="FW49" i="1"/>
  <c r="FV49" i="1"/>
  <c r="FS49" i="1"/>
  <c r="FP49" i="1"/>
  <c r="FO49" i="1"/>
  <c r="FN49" i="1"/>
  <c r="FM49" i="1"/>
  <c r="FJ49" i="1"/>
  <c r="FH49" i="1"/>
  <c r="FF49" i="1"/>
  <c r="FD49" i="1"/>
  <c r="FB49" i="1"/>
  <c r="FA49" i="1"/>
  <c r="EZ49" i="1"/>
  <c r="EX49" i="1"/>
  <c r="EV49" i="1"/>
  <c r="ET49" i="1"/>
  <c r="EL49" i="1"/>
  <c r="EH49" i="1"/>
  <c r="EF49" i="1"/>
  <c r="ED49" i="1"/>
  <c r="EB49" i="1"/>
  <c r="EA49" i="1"/>
  <c r="DZ49" i="1"/>
  <c r="DY49" i="1"/>
  <c r="EC49" i="1" s="1"/>
  <c r="GH49" i="1" s="1"/>
  <c r="DW49" i="1"/>
  <c r="ER49" i="1" s="1"/>
  <c r="DV49" i="1"/>
  <c r="DT49" i="1"/>
  <c r="DR49" i="1"/>
  <c r="AO49" i="1"/>
  <c r="EI49" i="1" s="1"/>
  <c r="GD48" i="1"/>
  <c r="GB48" i="1"/>
  <c r="FZ48" i="1"/>
  <c r="FW48" i="1"/>
  <c r="FV48" i="1"/>
  <c r="FS48" i="1"/>
  <c r="FP48" i="1"/>
  <c r="FO48" i="1"/>
  <c r="FN48" i="1"/>
  <c r="FM48" i="1"/>
  <c r="FJ48" i="1"/>
  <c r="FH48" i="1"/>
  <c r="FF48" i="1"/>
  <c r="FD48" i="1"/>
  <c r="FB48" i="1"/>
  <c r="FA48" i="1"/>
  <c r="EZ48" i="1"/>
  <c r="EX48" i="1"/>
  <c r="EV48" i="1"/>
  <c r="ET48" i="1"/>
  <c r="EL48" i="1"/>
  <c r="EH48" i="1"/>
  <c r="EF48" i="1"/>
  <c r="ED48" i="1"/>
  <c r="EB48" i="1"/>
  <c r="EA48" i="1"/>
  <c r="DZ48" i="1"/>
  <c r="DY48" i="1"/>
  <c r="EC48" i="1" s="1"/>
  <c r="GH48" i="1" s="1"/>
  <c r="DV48" i="1"/>
  <c r="DW48" i="1" s="1"/>
  <c r="ER48" i="1" s="1"/>
  <c r="DT48" i="1"/>
  <c r="DR48" i="1"/>
  <c r="AO48" i="1"/>
  <c r="EI48" i="1" s="1"/>
  <c r="GD47" i="1"/>
  <c r="GB47" i="1"/>
  <c r="FZ47" i="1"/>
  <c r="FW47" i="1"/>
  <c r="FV47" i="1"/>
  <c r="FX47" i="1" s="1"/>
  <c r="FS47" i="1"/>
  <c r="FP47" i="1"/>
  <c r="FO47" i="1"/>
  <c r="FN47" i="1"/>
  <c r="FM47" i="1"/>
  <c r="FJ47" i="1"/>
  <c r="FH47" i="1"/>
  <c r="FF47" i="1"/>
  <c r="FD47" i="1"/>
  <c r="FB47" i="1"/>
  <c r="FA47" i="1"/>
  <c r="EZ47" i="1"/>
  <c r="EX47" i="1"/>
  <c r="EV47" i="1"/>
  <c r="ET47" i="1"/>
  <c r="EL47" i="1"/>
  <c r="EH47" i="1"/>
  <c r="EF47" i="1"/>
  <c r="ED47" i="1"/>
  <c r="EB47" i="1"/>
  <c r="EA47" i="1"/>
  <c r="DZ47" i="1"/>
  <c r="DY47" i="1"/>
  <c r="EC47" i="1" s="1"/>
  <c r="GH47" i="1" s="1"/>
  <c r="DV47" i="1"/>
  <c r="DW47" i="1" s="1"/>
  <c r="ER47" i="1" s="1"/>
  <c r="DT47" i="1"/>
  <c r="DR47" i="1"/>
  <c r="AO47" i="1"/>
  <c r="EI47" i="1" s="1"/>
  <c r="GD46" i="1"/>
  <c r="GB46" i="1"/>
  <c r="FZ46" i="1"/>
  <c r="FW46" i="1"/>
  <c r="FV46" i="1"/>
  <c r="FX46" i="1" s="1"/>
  <c r="FS46" i="1"/>
  <c r="FP46" i="1"/>
  <c r="FO46" i="1"/>
  <c r="FN46" i="1"/>
  <c r="FM46" i="1"/>
  <c r="FJ46" i="1"/>
  <c r="FH46" i="1"/>
  <c r="FF46" i="1"/>
  <c r="FD46" i="1"/>
  <c r="FB46" i="1"/>
  <c r="FA46" i="1"/>
  <c r="EZ46" i="1"/>
  <c r="EX46" i="1"/>
  <c r="EV46" i="1"/>
  <c r="ET46" i="1"/>
  <c r="EL46" i="1"/>
  <c r="EH46" i="1"/>
  <c r="EF46" i="1"/>
  <c r="ED46" i="1"/>
  <c r="EB46" i="1"/>
  <c r="EA46" i="1"/>
  <c r="DZ46" i="1"/>
  <c r="DY46" i="1"/>
  <c r="EC46" i="1" s="1"/>
  <c r="GH46" i="1" s="1"/>
  <c r="DV46" i="1"/>
  <c r="DW46" i="1" s="1"/>
  <c r="ER46" i="1" s="1"/>
  <c r="DT46" i="1"/>
  <c r="DR46" i="1"/>
  <c r="AO46" i="1"/>
  <c r="EI46" i="1" s="1"/>
  <c r="GD45" i="1"/>
  <c r="GB45" i="1"/>
  <c r="FZ45" i="1"/>
  <c r="FW45" i="1"/>
  <c r="FV45" i="1"/>
  <c r="FX45" i="1" s="1"/>
  <c r="FS45" i="1"/>
  <c r="FP45" i="1"/>
  <c r="FO45" i="1"/>
  <c r="FN45" i="1"/>
  <c r="FM45" i="1"/>
  <c r="FJ45" i="1"/>
  <c r="FH45" i="1"/>
  <c r="FF45" i="1"/>
  <c r="FD45" i="1"/>
  <c r="FB45" i="1"/>
  <c r="FA45" i="1"/>
  <c r="EZ45" i="1"/>
  <c r="EX45" i="1"/>
  <c r="EV45" i="1"/>
  <c r="ET45" i="1"/>
  <c r="EL45" i="1"/>
  <c r="EH45" i="1"/>
  <c r="EF45" i="1"/>
  <c r="ED45" i="1"/>
  <c r="EB45" i="1"/>
  <c r="EA45" i="1"/>
  <c r="DZ45" i="1"/>
  <c r="DY45" i="1"/>
  <c r="EC45" i="1" s="1"/>
  <c r="GH45" i="1" s="1"/>
  <c r="DW45" i="1"/>
  <c r="ER45" i="1" s="1"/>
  <c r="DV45" i="1"/>
  <c r="DT45" i="1"/>
  <c r="DR45" i="1"/>
  <c r="AO45" i="1"/>
  <c r="EI45" i="1" s="1"/>
  <c r="GD44" i="1"/>
  <c r="GB44" i="1"/>
  <c r="FZ44" i="1"/>
  <c r="FW44" i="1"/>
  <c r="FV44" i="1"/>
  <c r="FS44" i="1"/>
  <c r="FP44" i="1"/>
  <c r="FO44" i="1"/>
  <c r="FN44" i="1"/>
  <c r="FM44" i="1"/>
  <c r="FJ44" i="1"/>
  <c r="FH44" i="1"/>
  <c r="FF44" i="1"/>
  <c r="FD44" i="1"/>
  <c r="FB44" i="1"/>
  <c r="FA44" i="1"/>
  <c r="EZ44" i="1"/>
  <c r="EX44" i="1"/>
  <c r="EV44" i="1"/>
  <c r="ET44" i="1"/>
  <c r="EL44" i="1"/>
  <c r="EH44" i="1"/>
  <c r="EF44" i="1"/>
  <c r="ED44" i="1"/>
  <c r="EB44" i="1"/>
  <c r="EA44" i="1"/>
  <c r="DZ44" i="1"/>
  <c r="DY44" i="1"/>
  <c r="EC44" i="1" s="1"/>
  <c r="GH44" i="1" s="1"/>
  <c r="DV44" i="1"/>
  <c r="DW44" i="1" s="1"/>
  <c r="ER44" i="1" s="1"/>
  <c r="DT44" i="1"/>
  <c r="DR44" i="1"/>
  <c r="AO44" i="1"/>
  <c r="EI44" i="1" s="1"/>
  <c r="GD43" i="1"/>
  <c r="GB43" i="1"/>
  <c r="FZ43" i="1"/>
  <c r="FW43" i="1"/>
  <c r="FV43" i="1"/>
  <c r="FX43" i="1" s="1"/>
  <c r="FS43" i="1"/>
  <c r="FM43" i="1"/>
  <c r="FJ43" i="1"/>
  <c r="FH43" i="1"/>
  <c r="FF43" i="1"/>
  <c r="FD43" i="1"/>
  <c r="FB43" i="1"/>
  <c r="FA43" i="1"/>
  <c r="EZ43" i="1"/>
  <c r="EX43" i="1"/>
  <c r="EV43" i="1"/>
  <c r="ET43" i="1"/>
  <c r="EL43" i="1"/>
  <c r="EF43" i="1"/>
  <c r="ED43" i="1"/>
  <c r="EB43" i="1"/>
  <c r="EA43" i="1"/>
  <c r="DZ43" i="1"/>
  <c r="DV43" i="1"/>
  <c r="DW43" i="1" s="1"/>
  <c r="ER43" i="1" s="1"/>
  <c r="DT43" i="1"/>
  <c r="DR43" i="1"/>
  <c r="BE43" i="1"/>
  <c r="BF43" i="1" s="1"/>
  <c r="FO43" i="1" s="1"/>
  <c r="BD43" i="1"/>
  <c r="FP43" i="1" s="1"/>
  <c r="BA43" i="1"/>
  <c r="FN43" i="1" s="1"/>
  <c r="AO43" i="1"/>
  <c r="EI43" i="1" s="1"/>
  <c r="AM43" i="1"/>
  <c r="EH43" i="1" s="1"/>
  <c r="AK43" i="1"/>
  <c r="Z43" i="1"/>
  <c r="AA43" i="1" s="1"/>
  <c r="DY43" i="1" s="1"/>
  <c r="EC43" i="1" s="1"/>
  <c r="GH43" i="1" s="1"/>
  <c r="Y43" i="1"/>
  <c r="GD42" i="1"/>
  <c r="GB42" i="1"/>
  <c r="FZ42" i="1"/>
  <c r="FW42" i="1"/>
  <c r="FV42" i="1"/>
  <c r="FS42" i="1"/>
  <c r="FM42" i="1"/>
  <c r="FJ42" i="1"/>
  <c r="FH42" i="1"/>
  <c r="FF42" i="1"/>
  <c r="FD42" i="1"/>
  <c r="FB42" i="1"/>
  <c r="FA42" i="1"/>
  <c r="EZ42" i="1"/>
  <c r="EX42" i="1"/>
  <c r="EV42" i="1"/>
  <c r="ET42" i="1"/>
  <c r="EL42" i="1"/>
  <c r="EF42" i="1"/>
  <c r="ED42" i="1"/>
  <c r="EB42" i="1"/>
  <c r="EA42" i="1"/>
  <c r="DZ42" i="1"/>
  <c r="DV42" i="1"/>
  <c r="DW42" i="1" s="1"/>
  <c r="ER42" i="1" s="1"/>
  <c r="DT42" i="1"/>
  <c r="DR42" i="1"/>
  <c r="BE42" i="1"/>
  <c r="BF42" i="1" s="1"/>
  <c r="FO42" i="1" s="1"/>
  <c r="BD42" i="1"/>
  <c r="FP42" i="1" s="1"/>
  <c r="BA42" i="1"/>
  <c r="FN42" i="1" s="1"/>
  <c r="AO42" i="1"/>
  <c r="EI42" i="1" s="1"/>
  <c r="AM42" i="1"/>
  <c r="EH42" i="1" s="1"/>
  <c r="AK42" i="1"/>
  <c r="Z42" i="1"/>
  <c r="AA42" i="1" s="1"/>
  <c r="DY42" i="1" s="1"/>
  <c r="EC42" i="1" s="1"/>
  <c r="GH42" i="1" s="1"/>
  <c r="Y42" i="1"/>
  <c r="GD41" i="1"/>
  <c r="GB41" i="1"/>
  <c r="FZ41" i="1"/>
  <c r="FW41" i="1"/>
  <c r="FV41" i="1"/>
  <c r="FX41" i="1" s="1"/>
  <c r="FS41" i="1"/>
  <c r="FM41" i="1"/>
  <c r="FJ41" i="1"/>
  <c r="FH41" i="1"/>
  <c r="FF41" i="1"/>
  <c r="FD41" i="1"/>
  <c r="FB41" i="1"/>
  <c r="FA41" i="1"/>
  <c r="EZ41" i="1"/>
  <c r="EX41" i="1"/>
  <c r="EV41" i="1"/>
  <c r="ET41" i="1"/>
  <c r="EL41" i="1"/>
  <c r="EF41" i="1"/>
  <c r="ED41" i="1"/>
  <c r="EB41" i="1"/>
  <c r="EA41" i="1"/>
  <c r="DZ41" i="1"/>
  <c r="DW41" i="1"/>
  <c r="ER41" i="1" s="1"/>
  <c r="DV41" i="1"/>
  <c r="DT41" i="1"/>
  <c r="DR41" i="1"/>
  <c r="BF41" i="1"/>
  <c r="FO41" i="1" s="1"/>
  <c r="BE41" i="1"/>
  <c r="BD41" i="1"/>
  <c r="FP41" i="1" s="1"/>
  <c r="BA41" i="1"/>
  <c r="FN41" i="1" s="1"/>
  <c r="AO41" i="1"/>
  <c r="EI41" i="1" s="1"/>
  <c r="AM41" i="1"/>
  <c r="EH41" i="1" s="1"/>
  <c r="AK41" i="1"/>
  <c r="Y41" i="1"/>
  <c r="Z41" i="1" s="1"/>
  <c r="AA41" i="1" s="1"/>
  <c r="DY41" i="1" s="1"/>
  <c r="EC41" i="1" s="1"/>
  <c r="GH41" i="1" s="1"/>
  <c r="GD40" i="1"/>
  <c r="GB40" i="1"/>
  <c r="FZ40" i="1"/>
  <c r="FW40" i="1"/>
  <c r="FX40" i="1" s="1"/>
  <c r="FV40" i="1"/>
  <c r="FS40" i="1"/>
  <c r="FM40" i="1"/>
  <c r="FJ40" i="1"/>
  <c r="FH40" i="1"/>
  <c r="FF40" i="1"/>
  <c r="FD40" i="1"/>
  <c r="FB40" i="1"/>
  <c r="FA40" i="1"/>
  <c r="EZ40" i="1"/>
  <c r="EX40" i="1"/>
  <c r="EV40" i="1"/>
  <c r="ET40" i="1"/>
  <c r="EL40" i="1"/>
  <c r="EF40" i="1"/>
  <c r="ED40" i="1"/>
  <c r="EB40" i="1"/>
  <c r="EA40" i="1"/>
  <c r="DZ40" i="1"/>
  <c r="DW40" i="1"/>
  <c r="ER40" i="1" s="1"/>
  <c r="DV40" i="1"/>
  <c r="DT40" i="1"/>
  <c r="DR40" i="1"/>
  <c r="BF40" i="1"/>
  <c r="FO40" i="1" s="1"/>
  <c r="BE40" i="1"/>
  <c r="BD40" i="1"/>
  <c r="FP40" i="1" s="1"/>
  <c r="BA40" i="1"/>
  <c r="FN40" i="1" s="1"/>
  <c r="AO40" i="1"/>
  <c r="EI40" i="1" s="1"/>
  <c r="AM40" i="1"/>
  <c r="EH40" i="1" s="1"/>
  <c r="AK40" i="1"/>
  <c r="Y40" i="1"/>
  <c r="Z40" i="1" s="1"/>
  <c r="AA40" i="1" s="1"/>
  <c r="DY40" i="1" s="1"/>
  <c r="EC40" i="1" s="1"/>
  <c r="GH40" i="1" s="1"/>
  <c r="GD39" i="1"/>
  <c r="GB39" i="1"/>
  <c r="FZ39" i="1"/>
  <c r="FW39" i="1"/>
  <c r="FV39" i="1"/>
  <c r="FX39" i="1" s="1"/>
  <c r="FS39" i="1"/>
  <c r="FM39" i="1"/>
  <c r="FJ39" i="1"/>
  <c r="FH39" i="1"/>
  <c r="FF39" i="1"/>
  <c r="FD39" i="1"/>
  <c r="FB39" i="1"/>
  <c r="FA39" i="1"/>
  <c r="EZ39" i="1"/>
  <c r="EX39" i="1"/>
  <c r="EV39" i="1"/>
  <c r="ET39" i="1"/>
  <c r="EL39" i="1"/>
  <c r="EF39" i="1"/>
  <c r="ED39" i="1"/>
  <c r="EB39" i="1"/>
  <c r="EA39" i="1"/>
  <c r="DZ39" i="1"/>
  <c r="DV39" i="1"/>
  <c r="DW39" i="1" s="1"/>
  <c r="ER39" i="1" s="1"/>
  <c r="DT39" i="1"/>
  <c r="DR39" i="1"/>
  <c r="BE39" i="1"/>
  <c r="BF39" i="1" s="1"/>
  <c r="FO39" i="1" s="1"/>
  <c r="BD39" i="1"/>
  <c r="FP39" i="1" s="1"/>
  <c r="BA39" i="1"/>
  <c r="FN39" i="1" s="1"/>
  <c r="AO39" i="1"/>
  <c r="EI39" i="1" s="1"/>
  <c r="AM39" i="1"/>
  <c r="EH39" i="1" s="1"/>
  <c r="AK39" i="1"/>
  <c r="Z39" i="1"/>
  <c r="AA39" i="1" s="1"/>
  <c r="DY39" i="1" s="1"/>
  <c r="EC39" i="1" s="1"/>
  <c r="GH39" i="1" s="1"/>
  <c r="Y39" i="1"/>
  <c r="GD38" i="1"/>
  <c r="GB38" i="1"/>
  <c r="FZ38" i="1"/>
  <c r="FW38" i="1"/>
  <c r="FV38" i="1"/>
  <c r="FS38" i="1"/>
  <c r="FM38" i="1"/>
  <c r="FJ38" i="1"/>
  <c r="FH38" i="1"/>
  <c r="FF38" i="1"/>
  <c r="FD38" i="1"/>
  <c r="FB38" i="1"/>
  <c r="FA38" i="1"/>
  <c r="EZ38" i="1"/>
  <c r="EX38" i="1"/>
  <c r="EV38" i="1"/>
  <c r="ET38" i="1"/>
  <c r="EL38" i="1"/>
  <c r="EF38" i="1"/>
  <c r="ED38" i="1"/>
  <c r="EB38" i="1"/>
  <c r="EA38" i="1"/>
  <c r="DZ38" i="1"/>
  <c r="DV38" i="1"/>
  <c r="DW38" i="1" s="1"/>
  <c r="ER38" i="1" s="1"/>
  <c r="DT38" i="1"/>
  <c r="DR38" i="1"/>
  <c r="BE38" i="1"/>
  <c r="BF38" i="1" s="1"/>
  <c r="FO38" i="1" s="1"/>
  <c r="BD38" i="1"/>
  <c r="FP38" i="1" s="1"/>
  <c r="BA38" i="1"/>
  <c r="FN38" i="1" s="1"/>
  <c r="AO38" i="1"/>
  <c r="EI38" i="1" s="1"/>
  <c r="AM38" i="1"/>
  <c r="EH38" i="1" s="1"/>
  <c r="AK38" i="1"/>
  <c r="Z38" i="1"/>
  <c r="AA38" i="1" s="1"/>
  <c r="DY38" i="1" s="1"/>
  <c r="EC38" i="1" s="1"/>
  <c r="GH38" i="1" s="1"/>
  <c r="Y38" i="1"/>
  <c r="GD37" i="1"/>
  <c r="GB37" i="1"/>
  <c r="FZ37" i="1"/>
  <c r="FW37" i="1"/>
  <c r="FV37" i="1"/>
  <c r="FS37" i="1"/>
  <c r="FM37" i="1"/>
  <c r="FJ37" i="1"/>
  <c r="FH37" i="1"/>
  <c r="FF37" i="1"/>
  <c r="FD37" i="1"/>
  <c r="FB37" i="1"/>
  <c r="FA37" i="1"/>
  <c r="EZ37" i="1"/>
  <c r="EX37" i="1"/>
  <c r="EV37" i="1"/>
  <c r="ET37" i="1"/>
  <c r="EL37" i="1"/>
  <c r="EF37" i="1"/>
  <c r="ED37" i="1"/>
  <c r="EB37" i="1"/>
  <c r="EA37" i="1"/>
  <c r="DZ37" i="1"/>
  <c r="DW37" i="1"/>
  <c r="ER37" i="1" s="1"/>
  <c r="DV37" i="1"/>
  <c r="DT37" i="1"/>
  <c r="DR37" i="1"/>
  <c r="BF37" i="1"/>
  <c r="FO37" i="1" s="1"/>
  <c r="BE37" i="1"/>
  <c r="BD37" i="1"/>
  <c r="FP37" i="1" s="1"/>
  <c r="BA37" i="1"/>
  <c r="FN37" i="1" s="1"/>
  <c r="AO37" i="1"/>
  <c r="EI37" i="1" s="1"/>
  <c r="AM37" i="1"/>
  <c r="EH37" i="1" s="1"/>
  <c r="AK37" i="1"/>
  <c r="Y37" i="1"/>
  <c r="Z37" i="1" s="1"/>
  <c r="AA37" i="1" s="1"/>
  <c r="DY37" i="1" s="1"/>
  <c r="EC37" i="1" s="1"/>
  <c r="GH37" i="1" s="1"/>
  <c r="GD36" i="1"/>
  <c r="GB36" i="1"/>
  <c r="FZ36" i="1"/>
  <c r="FW36" i="1"/>
  <c r="FV36" i="1"/>
  <c r="FX36" i="1" s="1"/>
  <c r="FS36" i="1"/>
  <c r="FM36" i="1"/>
  <c r="FJ36" i="1"/>
  <c r="FH36" i="1"/>
  <c r="FF36" i="1"/>
  <c r="FD36" i="1"/>
  <c r="FB36" i="1"/>
  <c r="FA36" i="1"/>
  <c r="EZ36" i="1"/>
  <c r="EX36" i="1"/>
  <c r="EV36" i="1"/>
  <c r="ET36" i="1"/>
  <c r="EL36" i="1"/>
  <c r="EF36" i="1"/>
  <c r="ED36" i="1"/>
  <c r="EB36" i="1"/>
  <c r="EA36" i="1"/>
  <c r="DZ36" i="1"/>
  <c r="DV36" i="1"/>
  <c r="DW36" i="1" s="1"/>
  <c r="ER36" i="1" s="1"/>
  <c r="DT36" i="1"/>
  <c r="DR36" i="1"/>
  <c r="BE36" i="1"/>
  <c r="BF36" i="1" s="1"/>
  <c r="FO36" i="1" s="1"/>
  <c r="BD36" i="1"/>
  <c r="FP36" i="1" s="1"/>
  <c r="BA36" i="1"/>
  <c r="FN36" i="1" s="1"/>
  <c r="AO36" i="1"/>
  <c r="EI36" i="1" s="1"/>
  <c r="AM36" i="1"/>
  <c r="EH36" i="1" s="1"/>
  <c r="AK36" i="1"/>
  <c r="Z36" i="1"/>
  <c r="AA36" i="1" s="1"/>
  <c r="DY36" i="1" s="1"/>
  <c r="EC36" i="1" s="1"/>
  <c r="GH36" i="1" s="1"/>
  <c r="Y36" i="1"/>
  <c r="GD35" i="1"/>
  <c r="GB35" i="1"/>
  <c r="FZ35" i="1"/>
  <c r="FW35" i="1"/>
  <c r="FV35" i="1"/>
  <c r="FS35" i="1"/>
  <c r="FM35" i="1"/>
  <c r="FJ35" i="1"/>
  <c r="FH35" i="1"/>
  <c r="FF35" i="1"/>
  <c r="FD35" i="1"/>
  <c r="FB35" i="1"/>
  <c r="FA35" i="1"/>
  <c r="EZ35" i="1"/>
  <c r="EX35" i="1"/>
  <c r="EV35" i="1"/>
  <c r="ET35" i="1"/>
  <c r="EL35" i="1"/>
  <c r="EF35" i="1"/>
  <c r="ED35" i="1"/>
  <c r="EB35" i="1"/>
  <c r="EA35" i="1"/>
  <c r="DZ35" i="1"/>
  <c r="DW35" i="1"/>
  <c r="ER35" i="1" s="1"/>
  <c r="DV35" i="1"/>
  <c r="DT35" i="1"/>
  <c r="DR35" i="1"/>
  <c r="BF35" i="1"/>
  <c r="FO35" i="1" s="1"/>
  <c r="BE35" i="1"/>
  <c r="BD35" i="1"/>
  <c r="FP35" i="1" s="1"/>
  <c r="BA35" i="1"/>
  <c r="FN35" i="1" s="1"/>
  <c r="AO35" i="1"/>
  <c r="EI35" i="1" s="1"/>
  <c r="AM35" i="1"/>
  <c r="EH35" i="1" s="1"/>
  <c r="AK35" i="1"/>
  <c r="Y35" i="1"/>
  <c r="Z35" i="1" s="1"/>
  <c r="AA35" i="1" s="1"/>
  <c r="DY35" i="1" s="1"/>
  <c r="EC35" i="1" s="1"/>
  <c r="GH35" i="1" s="1"/>
  <c r="GD34" i="1"/>
  <c r="GB34" i="1"/>
  <c r="FZ34" i="1"/>
  <c r="FW34" i="1"/>
  <c r="FV34" i="1"/>
  <c r="FS34" i="1"/>
  <c r="FM34" i="1"/>
  <c r="FJ34" i="1"/>
  <c r="FH34" i="1"/>
  <c r="FF34" i="1"/>
  <c r="FD34" i="1"/>
  <c r="FB34" i="1"/>
  <c r="FA34" i="1"/>
  <c r="EZ34" i="1"/>
  <c r="EX34" i="1"/>
  <c r="EV34" i="1"/>
  <c r="ET34" i="1"/>
  <c r="EL34" i="1"/>
  <c r="EF34" i="1"/>
  <c r="ED34" i="1"/>
  <c r="EB34" i="1"/>
  <c r="EA34" i="1"/>
  <c r="DZ34" i="1"/>
  <c r="DW34" i="1"/>
  <c r="ER34" i="1" s="1"/>
  <c r="DV34" i="1"/>
  <c r="DT34" i="1"/>
  <c r="DR34" i="1"/>
  <c r="BF34" i="1"/>
  <c r="FO34" i="1" s="1"/>
  <c r="BE34" i="1"/>
  <c r="BD34" i="1"/>
  <c r="FP34" i="1" s="1"/>
  <c r="BA34" i="1"/>
  <c r="FN34" i="1" s="1"/>
  <c r="AO34" i="1"/>
  <c r="EI34" i="1" s="1"/>
  <c r="AM34" i="1"/>
  <c r="EH34" i="1" s="1"/>
  <c r="AK34" i="1"/>
  <c r="Y34" i="1"/>
  <c r="Z34" i="1" s="1"/>
  <c r="AA34" i="1" s="1"/>
  <c r="DY34" i="1" s="1"/>
  <c r="EC34" i="1" s="1"/>
  <c r="GH34" i="1" s="1"/>
  <c r="GD33" i="1"/>
  <c r="GB33" i="1"/>
  <c r="FZ33" i="1"/>
  <c r="FW33" i="1"/>
  <c r="FV33" i="1"/>
  <c r="FS33" i="1"/>
  <c r="FM33" i="1"/>
  <c r="FJ33" i="1"/>
  <c r="FH33" i="1"/>
  <c r="FF33" i="1"/>
  <c r="FD33" i="1"/>
  <c r="FB33" i="1"/>
  <c r="FA33" i="1"/>
  <c r="EZ33" i="1"/>
  <c r="EX33" i="1"/>
  <c r="EV33" i="1"/>
  <c r="ET33" i="1"/>
  <c r="EL33" i="1"/>
  <c r="EF33" i="1"/>
  <c r="ED33" i="1"/>
  <c r="EB33" i="1"/>
  <c r="EA33" i="1"/>
  <c r="DZ33" i="1"/>
  <c r="DV33" i="1"/>
  <c r="DW33" i="1" s="1"/>
  <c r="ER33" i="1" s="1"/>
  <c r="DT33" i="1"/>
  <c r="DR33" i="1"/>
  <c r="BE33" i="1"/>
  <c r="BF33" i="1" s="1"/>
  <c r="FO33" i="1" s="1"/>
  <c r="BD33" i="1"/>
  <c r="FP33" i="1" s="1"/>
  <c r="BA33" i="1"/>
  <c r="FN33" i="1" s="1"/>
  <c r="AO33" i="1"/>
  <c r="EI33" i="1" s="1"/>
  <c r="AM33" i="1"/>
  <c r="EH33" i="1" s="1"/>
  <c r="AK33" i="1"/>
  <c r="Z33" i="1"/>
  <c r="AA33" i="1" s="1"/>
  <c r="DY33" i="1" s="1"/>
  <c r="EC33" i="1" s="1"/>
  <c r="GH33" i="1" s="1"/>
  <c r="Y33" i="1"/>
  <c r="GD32" i="1"/>
  <c r="GB32" i="1"/>
  <c r="FZ32" i="1"/>
  <c r="FW32" i="1"/>
  <c r="FV32" i="1"/>
  <c r="FS32" i="1"/>
  <c r="FM32" i="1"/>
  <c r="FJ32" i="1"/>
  <c r="FH32" i="1"/>
  <c r="FF32" i="1"/>
  <c r="FD32" i="1"/>
  <c r="FB32" i="1"/>
  <c r="FA32" i="1"/>
  <c r="EZ32" i="1"/>
  <c r="EX32" i="1"/>
  <c r="EV32" i="1"/>
  <c r="ET32" i="1"/>
  <c r="EL32" i="1"/>
  <c r="EF32" i="1"/>
  <c r="ED32" i="1"/>
  <c r="EB32" i="1"/>
  <c r="EA32" i="1"/>
  <c r="DZ32" i="1"/>
  <c r="DV32" i="1"/>
  <c r="DW32" i="1" s="1"/>
  <c r="ER32" i="1" s="1"/>
  <c r="DT32" i="1"/>
  <c r="DR32" i="1"/>
  <c r="BE32" i="1"/>
  <c r="BF32" i="1" s="1"/>
  <c r="FO32" i="1" s="1"/>
  <c r="BD32" i="1"/>
  <c r="FP32" i="1" s="1"/>
  <c r="BA32" i="1"/>
  <c r="FN32" i="1" s="1"/>
  <c r="AO32" i="1"/>
  <c r="EI32" i="1" s="1"/>
  <c r="AM32" i="1"/>
  <c r="EH32" i="1" s="1"/>
  <c r="AK32" i="1"/>
  <c r="Z32" i="1"/>
  <c r="AA32" i="1" s="1"/>
  <c r="DY32" i="1" s="1"/>
  <c r="EC32" i="1" s="1"/>
  <c r="GH32" i="1" s="1"/>
  <c r="Y32" i="1"/>
  <c r="GD31" i="1"/>
  <c r="GB31" i="1"/>
  <c r="FZ31" i="1"/>
  <c r="FW31" i="1"/>
  <c r="FV31" i="1"/>
  <c r="FX31" i="1" s="1"/>
  <c r="FS31" i="1"/>
  <c r="FM31" i="1"/>
  <c r="FJ31" i="1"/>
  <c r="FH31" i="1"/>
  <c r="FF31" i="1"/>
  <c r="FD31" i="1"/>
  <c r="FB31" i="1"/>
  <c r="FA31" i="1"/>
  <c r="EZ31" i="1"/>
  <c r="EX31" i="1"/>
  <c r="EV31" i="1"/>
  <c r="ET31" i="1"/>
  <c r="EL31" i="1"/>
  <c r="EF31" i="1"/>
  <c r="ED31" i="1"/>
  <c r="EB31" i="1"/>
  <c r="EA31" i="1"/>
  <c r="DZ31" i="1"/>
  <c r="DW31" i="1"/>
  <c r="ER31" i="1" s="1"/>
  <c r="DV31" i="1"/>
  <c r="DT31" i="1"/>
  <c r="DR31" i="1"/>
  <c r="BF31" i="1"/>
  <c r="FO31" i="1" s="1"/>
  <c r="BE31" i="1"/>
  <c r="BD31" i="1"/>
  <c r="FP31" i="1" s="1"/>
  <c r="BA31" i="1"/>
  <c r="FN31" i="1" s="1"/>
  <c r="AO31" i="1"/>
  <c r="EI31" i="1" s="1"/>
  <c r="AM31" i="1"/>
  <c r="EH31" i="1" s="1"/>
  <c r="AK31" i="1"/>
  <c r="Y31" i="1"/>
  <c r="Z31" i="1" s="1"/>
  <c r="AA31" i="1" s="1"/>
  <c r="DY31" i="1" s="1"/>
  <c r="EC31" i="1" s="1"/>
  <c r="GH31" i="1" s="1"/>
  <c r="GD30" i="1"/>
  <c r="GB30" i="1"/>
  <c r="FZ30" i="1"/>
  <c r="FW30" i="1"/>
  <c r="FV30" i="1"/>
  <c r="FS30" i="1"/>
  <c r="FM30" i="1"/>
  <c r="FJ30" i="1"/>
  <c r="FH30" i="1"/>
  <c r="FF30" i="1"/>
  <c r="FD30" i="1"/>
  <c r="FB30" i="1"/>
  <c r="FA30" i="1"/>
  <c r="EZ30" i="1"/>
  <c r="EX30" i="1"/>
  <c r="EV30" i="1"/>
  <c r="ET30" i="1"/>
  <c r="EL30" i="1"/>
  <c r="EF30" i="1"/>
  <c r="ED30" i="1"/>
  <c r="EB30" i="1"/>
  <c r="EA30" i="1"/>
  <c r="DZ30" i="1"/>
  <c r="DW30" i="1"/>
  <c r="ER30" i="1" s="1"/>
  <c r="DV30" i="1"/>
  <c r="DT30" i="1"/>
  <c r="DR30" i="1"/>
  <c r="BF30" i="1"/>
  <c r="FO30" i="1" s="1"/>
  <c r="BE30" i="1"/>
  <c r="BD30" i="1"/>
  <c r="FP30" i="1" s="1"/>
  <c r="BA30" i="1"/>
  <c r="FN30" i="1" s="1"/>
  <c r="AO30" i="1"/>
  <c r="EI30" i="1" s="1"/>
  <c r="AM30" i="1"/>
  <c r="EH30" i="1" s="1"/>
  <c r="AK30" i="1"/>
  <c r="Y30" i="1"/>
  <c r="Z30" i="1" s="1"/>
  <c r="AA30" i="1" s="1"/>
  <c r="DY30" i="1" s="1"/>
  <c r="EC30" i="1" s="1"/>
  <c r="GH30" i="1" s="1"/>
  <c r="GD29" i="1"/>
  <c r="GB29" i="1"/>
  <c r="FZ29" i="1"/>
  <c r="FW29" i="1"/>
  <c r="FV29" i="1"/>
  <c r="FX29" i="1" s="1"/>
  <c r="FS29" i="1"/>
  <c r="FM29" i="1"/>
  <c r="FJ29" i="1"/>
  <c r="FH29" i="1"/>
  <c r="FF29" i="1"/>
  <c r="FD29" i="1"/>
  <c r="FB29" i="1"/>
  <c r="FA29" i="1"/>
  <c r="EZ29" i="1"/>
  <c r="EX29" i="1"/>
  <c r="EV29" i="1"/>
  <c r="ET29" i="1"/>
  <c r="EL29" i="1"/>
  <c r="EF29" i="1"/>
  <c r="ED29" i="1"/>
  <c r="EB29" i="1"/>
  <c r="EA29" i="1"/>
  <c r="DZ29" i="1"/>
  <c r="DV29" i="1"/>
  <c r="DW29" i="1" s="1"/>
  <c r="ER29" i="1" s="1"/>
  <c r="DT29" i="1"/>
  <c r="DR29" i="1"/>
  <c r="BE29" i="1"/>
  <c r="BF29" i="1" s="1"/>
  <c r="FO29" i="1" s="1"/>
  <c r="BD29" i="1"/>
  <c r="FP29" i="1" s="1"/>
  <c r="BA29" i="1"/>
  <c r="FN29" i="1" s="1"/>
  <c r="AO29" i="1"/>
  <c r="EI29" i="1" s="1"/>
  <c r="AM29" i="1"/>
  <c r="EH29" i="1" s="1"/>
  <c r="AK29" i="1"/>
  <c r="Z29" i="1"/>
  <c r="AA29" i="1" s="1"/>
  <c r="DY29" i="1" s="1"/>
  <c r="EC29" i="1" s="1"/>
  <c r="GH29" i="1" s="1"/>
  <c r="Y29" i="1"/>
  <c r="GD28" i="1"/>
  <c r="GB28" i="1"/>
  <c r="FZ28" i="1"/>
  <c r="FW28" i="1"/>
  <c r="FV28" i="1"/>
  <c r="FX28" i="1" s="1"/>
  <c r="FS28" i="1"/>
  <c r="FM28" i="1"/>
  <c r="FJ28" i="1"/>
  <c r="FH28" i="1"/>
  <c r="FF28" i="1"/>
  <c r="FD28" i="1"/>
  <c r="FB28" i="1"/>
  <c r="FA28" i="1"/>
  <c r="EZ28" i="1"/>
  <c r="EX28" i="1"/>
  <c r="EV28" i="1"/>
  <c r="ET28" i="1"/>
  <c r="EL28" i="1"/>
  <c r="EF28" i="1"/>
  <c r="ED28" i="1"/>
  <c r="EB28" i="1"/>
  <c r="EA28" i="1"/>
  <c r="DZ28" i="1"/>
  <c r="DW28" i="1"/>
  <c r="ER28" i="1" s="1"/>
  <c r="DV28" i="1"/>
  <c r="DT28" i="1"/>
  <c r="DR28" i="1"/>
  <c r="BF28" i="1"/>
  <c r="FO28" i="1" s="1"/>
  <c r="BE28" i="1"/>
  <c r="BD28" i="1"/>
  <c r="FP28" i="1" s="1"/>
  <c r="BA28" i="1"/>
  <c r="FN28" i="1" s="1"/>
  <c r="AO28" i="1"/>
  <c r="EI28" i="1" s="1"/>
  <c r="AM28" i="1"/>
  <c r="EH28" i="1" s="1"/>
  <c r="AK28" i="1"/>
  <c r="Y28" i="1"/>
  <c r="Z28" i="1" s="1"/>
  <c r="AA28" i="1" s="1"/>
  <c r="DY28" i="1" s="1"/>
  <c r="EC28" i="1" s="1"/>
  <c r="GH28" i="1" s="1"/>
  <c r="GD27" i="1"/>
  <c r="GB27" i="1"/>
  <c r="FZ27" i="1"/>
  <c r="FW27" i="1"/>
  <c r="FV27" i="1"/>
  <c r="FS27" i="1"/>
  <c r="FM27" i="1"/>
  <c r="FJ27" i="1"/>
  <c r="FH27" i="1"/>
  <c r="FF27" i="1"/>
  <c r="FD27" i="1"/>
  <c r="FB27" i="1"/>
  <c r="FA27" i="1"/>
  <c r="EZ27" i="1"/>
  <c r="EX27" i="1"/>
  <c r="EV27" i="1"/>
  <c r="ET27" i="1"/>
  <c r="EL27" i="1"/>
  <c r="EF27" i="1"/>
  <c r="ED27" i="1"/>
  <c r="EB27" i="1"/>
  <c r="EA27" i="1"/>
  <c r="DZ27" i="1"/>
  <c r="DW27" i="1"/>
  <c r="ER27" i="1" s="1"/>
  <c r="DV27" i="1"/>
  <c r="DT27" i="1"/>
  <c r="DR27" i="1"/>
  <c r="BF27" i="1"/>
  <c r="FO27" i="1" s="1"/>
  <c r="BE27" i="1"/>
  <c r="BD27" i="1"/>
  <c r="FP27" i="1" s="1"/>
  <c r="BA27" i="1"/>
  <c r="FN27" i="1" s="1"/>
  <c r="AO27" i="1"/>
  <c r="EI27" i="1" s="1"/>
  <c r="AM27" i="1"/>
  <c r="EH27" i="1" s="1"/>
  <c r="AK27" i="1"/>
  <c r="Z27" i="1"/>
  <c r="AA27" i="1" s="1"/>
  <c r="DY27" i="1" s="1"/>
  <c r="EC27" i="1" s="1"/>
  <c r="GH27" i="1" s="1"/>
  <c r="Y27" i="1"/>
  <c r="GD26" i="1"/>
  <c r="GB26" i="1"/>
  <c r="FZ26" i="1"/>
  <c r="FW26" i="1"/>
  <c r="FV26" i="1"/>
  <c r="FX26" i="1" s="1"/>
  <c r="FS26" i="1"/>
  <c r="FM26" i="1"/>
  <c r="FJ26" i="1"/>
  <c r="FH26" i="1"/>
  <c r="FF26" i="1"/>
  <c r="FD26" i="1"/>
  <c r="FB26" i="1"/>
  <c r="FA26" i="1"/>
  <c r="EZ26" i="1"/>
  <c r="EX26" i="1"/>
  <c r="EV26" i="1"/>
  <c r="ET26" i="1"/>
  <c r="EL26" i="1"/>
  <c r="EF26" i="1"/>
  <c r="ED26" i="1"/>
  <c r="EB26" i="1"/>
  <c r="EA26" i="1"/>
  <c r="DZ26" i="1"/>
  <c r="DV26" i="1"/>
  <c r="DW26" i="1" s="1"/>
  <c r="ER26" i="1" s="1"/>
  <c r="DT26" i="1"/>
  <c r="DR26" i="1"/>
  <c r="BE26" i="1"/>
  <c r="BF26" i="1" s="1"/>
  <c r="FO26" i="1" s="1"/>
  <c r="BD26" i="1"/>
  <c r="FP26" i="1" s="1"/>
  <c r="BA26" i="1"/>
  <c r="FN26" i="1" s="1"/>
  <c r="AO26" i="1"/>
  <c r="EI26" i="1" s="1"/>
  <c r="AM26" i="1"/>
  <c r="EH26" i="1" s="1"/>
  <c r="AK26" i="1"/>
  <c r="Y26" i="1"/>
  <c r="Z26" i="1" s="1"/>
  <c r="AA26" i="1" s="1"/>
  <c r="DY26" i="1" s="1"/>
  <c r="EC26" i="1" s="1"/>
  <c r="GH26" i="1" s="1"/>
  <c r="GD25" i="1"/>
  <c r="GB25" i="1"/>
  <c r="FZ25" i="1"/>
  <c r="FW25" i="1"/>
  <c r="FV25" i="1"/>
  <c r="FX25" i="1" s="1"/>
  <c r="FS25" i="1"/>
  <c r="FM25" i="1"/>
  <c r="FJ25" i="1"/>
  <c r="FH25" i="1"/>
  <c r="FF25" i="1"/>
  <c r="FD25" i="1"/>
  <c r="FB25" i="1"/>
  <c r="FA25" i="1"/>
  <c r="EZ25" i="1"/>
  <c r="EX25" i="1"/>
  <c r="EV25" i="1"/>
  <c r="ET25" i="1"/>
  <c r="EL25" i="1"/>
  <c r="EF25" i="1"/>
  <c r="ED25" i="1"/>
  <c r="EB25" i="1"/>
  <c r="EA25" i="1"/>
  <c r="DZ25" i="1"/>
  <c r="DV25" i="1"/>
  <c r="DW25" i="1" s="1"/>
  <c r="ER25" i="1" s="1"/>
  <c r="DT25" i="1"/>
  <c r="DR25" i="1"/>
  <c r="BE25" i="1"/>
  <c r="BF25" i="1" s="1"/>
  <c r="FO25" i="1" s="1"/>
  <c r="BD25" i="1"/>
  <c r="FP25" i="1" s="1"/>
  <c r="BA25" i="1"/>
  <c r="FN25" i="1" s="1"/>
  <c r="AO25" i="1"/>
  <c r="EI25" i="1" s="1"/>
  <c r="AM25" i="1"/>
  <c r="EH25" i="1" s="1"/>
  <c r="AK25" i="1"/>
  <c r="Y25" i="1"/>
  <c r="Z25" i="1" s="1"/>
  <c r="AA25" i="1" s="1"/>
  <c r="DY25" i="1" s="1"/>
  <c r="EC25" i="1" s="1"/>
  <c r="GH25" i="1" s="1"/>
  <c r="GD24" i="1"/>
  <c r="GB24" i="1"/>
  <c r="FZ24" i="1"/>
  <c r="FW24" i="1"/>
  <c r="FX24" i="1" s="1"/>
  <c r="FV24" i="1"/>
  <c r="FS24" i="1"/>
  <c r="FM24" i="1"/>
  <c r="FJ24" i="1"/>
  <c r="FH24" i="1"/>
  <c r="FF24" i="1"/>
  <c r="FD24" i="1"/>
  <c r="FB24" i="1"/>
  <c r="FA24" i="1"/>
  <c r="EZ24" i="1"/>
  <c r="EX24" i="1"/>
  <c r="EV24" i="1"/>
  <c r="ET24" i="1"/>
  <c r="EL24" i="1"/>
  <c r="EF24" i="1"/>
  <c r="ED24" i="1"/>
  <c r="EB24" i="1"/>
  <c r="EA24" i="1"/>
  <c r="DZ24" i="1"/>
  <c r="DV24" i="1"/>
  <c r="DW24" i="1" s="1"/>
  <c r="ER24" i="1" s="1"/>
  <c r="DT24" i="1"/>
  <c r="DR24" i="1"/>
  <c r="BE24" i="1"/>
  <c r="BF24" i="1" s="1"/>
  <c r="FO24" i="1" s="1"/>
  <c r="BD24" i="1"/>
  <c r="FP24" i="1" s="1"/>
  <c r="BA24" i="1"/>
  <c r="FN24" i="1" s="1"/>
  <c r="AO24" i="1"/>
  <c r="EI24" i="1" s="1"/>
  <c r="AM24" i="1"/>
  <c r="EH24" i="1" s="1"/>
  <c r="AK24" i="1"/>
  <c r="Y24" i="1"/>
  <c r="Z24" i="1" s="1"/>
  <c r="AA24" i="1" s="1"/>
  <c r="DY24" i="1" s="1"/>
  <c r="EC24" i="1" s="1"/>
  <c r="GH24" i="1" s="1"/>
  <c r="GD23" i="1"/>
  <c r="GB23" i="1"/>
  <c r="FZ23" i="1"/>
  <c r="FW23" i="1"/>
  <c r="FV23" i="1"/>
  <c r="FS23" i="1"/>
  <c r="FM23" i="1"/>
  <c r="FJ23" i="1"/>
  <c r="FH23" i="1"/>
  <c r="FF23" i="1"/>
  <c r="FD23" i="1"/>
  <c r="FB23" i="1"/>
  <c r="FA23" i="1"/>
  <c r="EZ23" i="1"/>
  <c r="EX23" i="1"/>
  <c r="EV23" i="1"/>
  <c r="ET23" i="1"/>
  <c r="EL23" i="1"/>
  <c r="EF23" i="1"/>
  <c r="ED23" i="1"/>
  <c r="EB23" i="1"/>
  <c r="EA23" i="1"/>
  <c r="DZ23" i="1"/>
  <c r="DW23" i="1"/>
  <c r="ER23" i="1" s="1"/>
  <c r="DV23" i="1"/>
  <c r="DT23" i="1"/>
  <c r="DR23" i="1"/>
  <c r="BF23" i="1"/>
  <c r="FO23" i="1" s="1"/>
  <c r="BE23" i="1"/>
  <c r="BD23" i="1"/>
  <c r="FP23" i="1" s="1"/>
  <c r="BA23" i="1"/>
  <c r="FN23" i="1" s="1"/>
  <c r="AO23" i="1"/>
  <c r="EI23" i="1" s="1"/>
  <c r="AM23" i="1"/>
  <c r="EH23" i="1" s="1"/>
  <c r="AK23" i="1"/>
  <c r="Z23" i="1"/>
  <c r="AA23" i="1" s="1"/>
  <c r="DY23" i="1" s="1"/>
  <c r="EC23" i="1" s="1"/>
  <c r="GH23" i="1" s="1"/>
  <c r="Y23" i="1"/>
  <c r="GD22" i="1"/>
  <c r="GB22" i="1"/>
  <c r="FZ22" i="1"/>
  <c r="FW22" i="1"/>
  <c r="FV22" i="1"/>
  <c r="FS22" i="1"/>
  <c r="FM22" i="1"/>
  <c r="FJ22" i="1"/>
  <c r="FH22" i="1"/>
  <c r="FF22" i="1"/>
  <c r="FD22" i="1"/>
  <c r="FB22" i="1"/>
  <c r="FA22" i="1"/>
  <c r="EZ22" i="1"/>
  <c r="EX22" i="1"/>
  <c r="EV22" i="1"/>
  <c r="ET22" i="1"/>
  <c r="EL22" i="1"/>
  <c r="EF22" i="1"/>
  <c r="ED22" i="1"/>
  <c r="EB22" i="1"/>
  <c r="EA22" i="1"/>
  <c r="DZ22" i="1"/>
  <c r="DV22" i="1"/>
  <c r="DW22" i="1" s="1"/>
  <c r="ER22" i="1" s="1"/>
  <c r="DT22" i="1"/>
  <c r="DR22" i="1"/>
  <c r="BE22" i="1"/>
  <c r="BF22" i="1" s="1"/>
  <c r="FO22" i="1" s="1"/>
  <c r="BD22" i="1"/>
  <c r="FP22" i="1" s="1"/>
  <c r="BA22" i="1"/>
  <c r="FN22" i="1" s="1"/>
  <c r="AO22" i="1"/>
  <c r="EI22" i="1" s="1"/>
  <c r="AM22" i="1"/>
  <c r="EH22" i="1" s="1"/>
  <c r="AK22" i="1"/>
  <c r="Y22" i="1"/>
  <c r="Z22" i="1" s="1"/>
  <c r="AA22" i="1" s="1"/>
  <c r="DY22" i="1" s="1"/>
  <c r="EC22" i="1" s="1"/>
  <c r="GH22" i="1" s="1"/>
  <c r="GD21" i="1"/>
  <c r="GB21" i="1"/>
  <c r="FZ21" i="1"/>
  <c r="FW21" i="1"/>
  <c r="FV21" i="1"/>
  <c r="FS21" i="1"/>
  <c r="FM21" i="1"/>
  <c r="FJ21" i="1"/>
  <c r="FH21" i="1"/>
  <c r="FF21" i="1"/>
  <c r="FD21" i="1"/>
  <c r="FB21" i="1"/>
  <c r="FA21" i="1"/>
  <c r="EZ21" i="1"/>
  <c r="EX21" i="1"/>
  <c r="EV21" i="1"/>
  <c r="ET21" i="1"/>
  <c r="EL21" i="1"/>
  <c r="EF21" i="1"/>
  <c r="ED21" i="1"/>
  <c r="EB21" i="1"/>
  <c r="EA21" i="1"/>
  <c r="DZ21" i="1"/>
  <c r="DW21" i="1"/>
  <c r="ER21" i="1" s="1"/>
  <c r="DV21" i="1"/>
  <c r="DT21" i="1"/>
  <c r="DR21" i="1"/>
  <c r="BF21" i="1"/>
  <c r="FO21" i="1" s="1"/>
  <c r="BE21" i="1"/>
  <c r="BD21" i="1"/>
  <c r="FP21" i="1" s="1"/>
  <c r="BA21" i="1"/>
  <c r="FN21" i="1" s="1"/>
  <c r="AO21" i="1"/>
  <c r="EI21" i="1" s="1"/>
  <c r="AM21" i="1"/>
  <c r="EH21" i="1" s="1"/>
  <c r="AK21" i="1"/>
  <c r="Z21" i="1"/>
  <c r="AA21" i="1" s="1"/>
  <c r="DY21" i="1" s="1"/>
  <c r="EC21" i="1" s="1"/>
  <c r="GH21" i="1" s="1"/>
  <c r="Y21" i="1"/>
  <c r="GD20" i="1"/>
  <c r="GB20" i="1"/>
  <c r="FZ20" i="1"/>
  <c r="FW20" i="1"/>
  <c r="FV20" i="1"/>
  <c r="FS20" i="1"/>
  <c r="FM20" i="1"/>
  <c r="FJ20" i="1"/>
  <c r="FH20" i="1"/>
  <c r="FF20" i="1"/>
  <c r="FD20" i="1"/>
  <c r="FB20" i="1"/>
  <c r="FA20" i="1"/>
  <c r="EZ20" i="1"/>
  <c r="EX20" i="1"/>
  <c r="EV20" i="1"/>
  <c r="ET20" i="1"/>
  <c r="EL20" i="1"/>
  <c r="EF20" i="1"/>
  <c r="ED20" i="1"/>
  <c r="EB20" i="1"/>
  <c r="EA20" i="1"/>
  <c r="DZ20" i="1"/>
  <c r="DV20" i="1"/>
  <c r="DW20" i="1" s="1"/>
  <c r="ER20" i="1" s="1"/>
  <c r="DT20" i="1"/>
  <c r="DR20" i="1"/>
  <c r="BE20" i="1"/>
  <c r="BF20" i="1" s="1"/>
  <c r="FO20" i="1" s="1"/>
  <c r="BD20" i="1"/>
  <c r="FP20" i="1" s="1"/>
  <c r="BA20" i="1"/>
  <c r="FN20" i="1" s="1"/>
  <c r="AO20" i="1"/>
  <c r="EI20" i="1" s="1"/>
  <c r="AM20" i="1"/>
  <c r="EH20" i="1" s="1"/>
  <c r="AK20" i="1"/>
  <c r="Y20" i="1"/>
  <c r="Z20" i="1" s="1"/>
  <c r="AA20" i="1" s="1"/>
  <c r="DY20" i="1" s="1"/>
  <c r="EC20" i="1" s="1"/>
  <c r="GH20" i="1" s="1"/>
  <c r="GD19" i="1"/>
  <c r="GB19" i="1"/>
  <c r="FZ19" i="1"/>
  <c r="FW19" i="1"/>
  <c r="FV19" i="1"/>
  <c r="FX19" i="1" s="1"/>
  <c r="FS19" i="1"/>
  <c r="FP19" i="1"/>
  <c r="FO19" i="1"/>
  <c r="FN19" i="1"/>
  <c r="FM19" i="1"/>
  <c r="FJ19" i="1"/>
  <c r="FH19" i="1"/>
  <c r="FF19" i="1"/>
  <c r="FD19" i="1"/>
  <c r="FB19" i="1"/>
  <c r="FA19" i="1"/>
  <c r="EZ19" i="1"/>
  <c r="EX19" i="1"/>
  <c r="EV19" i="1"/>
  <c r="ET19" i="1"/>
  <c r="EL19" i="1"/>
  <c r="EH19" i="1"/>
  <c r="EF19" i="1"/>
  <c r="ED19" i="1"/>
  <c r="EB19" i="1"/>
  <c r="EA19" i="1"/>
  <c r="DZ19" i="1"/>
  <c r="DY19" i="1"/>
  <c r="EC19" i="1" s="1"/>
  <c r="GH19" i="1" s="1"/>
  <c r="DV19" i="1"/>
  <c r="DW19" i="1" s="1"/>
  <c r="ER19" i="1" s="1"/>
  <c r="DT19" i="1"/>
  <c r="DR19" i="1"/>
  <c r="AO19" i="1"/>
  <c r="EI19" i="1" s="1"/>
  <c r="GD18" i="1"/>
  <c r="GB18" i="1"/>
  <c r="FZ18" i="1"/>
  <c r="FW18" i="1"/>
  <c r="FV18" i="1"/>
  <c r="FS18" i="1"/>
  <c r="FP18" i="1"/>
  <c r="FO18" i="1"/>
  <c r="FN18" i="1"/>
  <c r="FM18" i="1"/>
  <c r="FJ18" i="1"/>
  <c r="FH18" i="1"/>
  <c r="FF18" i="1"/>
  <c r="FD18" i="1"/>
  <c r="FB18" i="1"/>
  <c r="FA18" i="1"/>
  <c r="EZ18" i="1"/>
  <c r="EX18" i="1"/>
  <c r="EV18" i="1"/>
  <c r="ET18" i="1"/>
  <c r="EL18" i="1"/>
  <c r="EH18" i="1"/>
  <c r="EF18" i="1"/>
  <c r="ED18" i="1"/>
  <c r="EB18" i="1"/>
  <c r="EA18" i="1"/>
  <c r="DZ18" i="1"/>
  <c r="DY18" i="1"/>
  <c r="EC18" i="1" s="1"/>
  <c r="GH18" i="1" s="1"/>
  <c r="DV18" i="1"/>
  <c r="DW18" i="1" s="1"/>
  <c r="ER18" i="1" s="1"/>
  <c r="DT18" i="1"/>
  <c r="DR18" i="1"/>
  <c r="AO18" i="1"/>
  <c r="EI18" i="1" s="1"/>
  <c r="GD17" i="1"/>
  <c r="GB17" i="1"/>
  <c r="FZ17" i="1"/>
  <c r="FW17" i="1"/>
  <c r="FX17" i="1" s="1"/>
  <c r="FV17" i="1"/>
  <c r="FS17" i="1"/>
  <c r="FP17" i="1"/>
  <c r="FO17" i="1"/>
  <c r="FN17" i="1"/>
  <c r="FM17" i="1"/>
  <c r="FJ17" i="1"/>
  <c r="FH17" i="1"/>
  <c r="FF17" i="1"/>
  <c r="FD17" i="1"/>
  <c r="FB17" i="1"/>
  <c r="FA17" i="1"/>
  <c r="EZ17" i="1"/>
  <c r="EX17" i="1"/>
  <c r="EV17" i="1"/>
  <c r="ET17" i="1"/>
  <c r="EL17" i="1"/>
  <c r="EH17" i="1"/>
  <c r="EF17" i="1"/>
  <c r="ED17" i="1"/>
  <c r="EB17" i="1"/>
  <c r="EA17" i="1"/>
  <c r="DZ17" i="1"/>
  <c r="DY17" i="1"/>
  <c r="EC17" i="1" s="1"/>
  <c r="GH17" i="1" s="1"/>
  <c r="DV17" i="1"/>
  <c r="DW17" i="1" s="1"/>
  <c r="ER17" i="1" s="1"/>
  <c r="DT17" i="1"/>
  <c r="DR17" i="1"/>
  <c r="AO17" i="1"/>
  <c r="EI17" i="1" s="1"/>
  <c r="GD16" i="1"/>
  <c r="GB16" i="1"/>
  <c r="FZ16" i="1"/>
  <c r="FW16" i="1"/>
  <c r="FV16" i="1"/>
  <c r="FS16" i="1"/>
  <c r="FP16" i="1"/>
  <c r="FO16" i="1"/>
  <c r="FN16" i="1"/>
  <c r="FM16" i="1"/>
  <c r="FJ16" i="1"/>
  <c r="FH16" i="1"/>
  <c r="FF16" i="1"/>
  <c r="FD16" i="1"/>
  <c r="FB16" i="1"/>
  <c r="FA16" i="1"/>
  <c r="EZ16" i="1"/>
  <c r="EX16" i="1"/>
  <c r="EV16" i="1"/>
  <c r="ET16" i="1"/>
  <c r="EL16" i="1"/>
  <c r="EH16" i="1"/>
  <c r="EF16" i="1"/>
  <c r="ED16" i="1"/>
  <c r="EB16" i="1"/>
  <c r="EA16" i="1"/>
  <c r="DZ16" i="1"/>
  <c r="DY16" i="1"/>
  <c r="EC16" i="1" s="1"/>
  <c r="GH16" i="1" s="1"/>
  <c r="DW16" i="1"/>
  <c r="ER16" i="1" s="1"/>
  <c r="DV16" i="1"/>
  <c r="DT16" i="1"/>
  <c r="DR16" i="1"/>
  <c r="AO16" i="1"/>
  <c r="EI16" i="1" s="1"/>
  <c r="GD15" i="1"/>
  <c r="GB15" i="1"/>
  <c r="FZ15" i="1"/>
  <c r="FW15" i="1"/>
  <c r="FV15" i="1"/>
  <c r="FS15" i="1"/>
  <c r="FP15" i="1"/>
  <c r="FO15" i="1"/>
  <c r="FN15" i="1"/>
  <c r="FM15" i="1"/>
  <c r="FJ15" i="1"/>
  <c r="FH15" i="1"/>
  <c r="FF15" i="1"/>
  <c r="FD15" i="1"/>
  <c r="FB15" i="1"/>
  <c r="FA15" i="1"/>
  <c r="EZ15" i="1"/>
  <c r="EX15" i="1"/>
  <c r="EV15" i="1"/>
  <c r="ET15" i="1"/>
  <c r="EL15" i="1"/>
  <c r="EH15" i="1"/>
  <c r="EF15" i="1"/>
  <c r="ED15" i="1"/>
  <c r="EE15" i="1" s="1"/>
  <c r="EB15" i="1"/>
  <c r="EA15" i="1"/>
  <c r="DZ15" i="1"/>
  <c r="DY15" i="1"/>
  <c r="EC15" i="1" s="1"/>
  <c r="GH15" i="1" s="1"/>
  <c r="DV15" i="1"/>
  <c r="DW15" i="1" s="1"/>
  <c r="ER15" i="1" s="1"/>
  <c r="DT15" i="1"/>
  <c r="DR15" i="1"/>
  <c r="AO15" i="1"/>
  <c r="EI15" i="1" s="1"/>
  <c r="GD14" i="1"/>
  <c r="GB14" i="1"/>
  <c r="FZ14" i="1"/>
  <c r="FW14" i="1"/>
  <c r="FV14" i="1"/>
  <c r="FX14" i="1" s="1"/>
  <c r="FS14" i="1"/>
  <c r="FP14" i="1"/>
  <c r="FO14" i="1"/>
  <c r="FN14" i="1"/>
  <c r="FM14" i="1"/>
  <c r="FJ14" i="1"/>
  <c r="FH14" i="1"/>
  <c r="FF14" i="1"/>
  <c r="FD14" i="1"/>
  <c r="FB14" i="1"/>
  <c r="FA14" i="1"/>
  <c r="EZ14" i="1"/>
  <c r="EX14" i="1"/>
  <c r="EV14" i="1"/>
  <c r="ET14" i="1"/>
  <c r="EL14" i="1"/>
  <c r="EH14" i="1"/>
  <c r="EF14" i="1"/>
  <c r="ED14" i="1"/>
  <c r="EB14" i="1"/>
  <c r="EA14" i="1"/>
  <c r="DZ14" i="1"/>
  <c r="DY14" i="1"/>
  <c r="EC14" i="1" s="1"/>
  <c r="GH14" i="1" s="1"/>
  <c r="DV14" i="1"/>
  <c r="DW14" i="1" s="1"/>
  <c r="ER14" i="1" s="1"/>
  <c r="DT14" i="1"/>
  <c r="DR14" i="1"/>
  <c r="AO14" i="1"/>
  <c r="EI14" i="1" s="1"/>
  <c r="GD13" i="1"/>
  <c r="GB13" i="1"/>
  <c r="FZ13" i="1"/>
  <c r="FW13" i="1"/>
  <c r="FV13" i="1"/>
  <c r="FX13" i="1" s="1"/>
  <c r="FS13" i="1"/>
  <c r="FP13" i="1"/>
  <c r="FO13" i="1"/>
  <c r="FN13" i="1"/>
  <c r="FM13" i="1"/>
  <c r="FJ13" i="1"/>
  <c r="FH13" i="1"/>
  <c r="FF13" i="1"/>
  <c r="FD13" i="1"/>
  <c r="FB13" i="1"/>
  <c r="FA13" i="1"/>
  <c r="EZ13" i="1"/>
  <c r="EX13" i="1"/>
  <c r="EV13" i="1"/>
  <c r="ET13" i="1"/>
  <c r="EL13" i="1"/>
  <c r="EH13" i="1"/>
  <c r="EF13" i="1"/>
  <c r="ED13" i="1"/>
  <c r="EB13" i="1"/>
  <c r="EA13" i="1"/>
  <c r="DZ13" i="1"/>
  <c r="DY13" i="1"/>
  <c r="EC13" i="1" s="1"/>
  <c r="GH13" i="1" s="1"/>
  <c r="DV13" i="1"/>
  <c r="DW13" i="1" s="1"/>
  <c r="ER13" i="1" s="1"/>
  <c r="DT13" i="1"/>
  <c r="DR13" i="1"/>
  <c r="AO13" i="1"/>
  <c r="EI13" i="1" s="1"/>
  <c r="GD12" i="1"/>
  <c r="GB12" i="1"/>
  <c r="FZ12" i="1"/>
  <c r="FW12" i="1"/>
  <c r="FV12" i="1"/>
  <c r="FX12" i="1" s="1"/>
  <c r="FS12" i="1"/>
  <c r="FM12" i="1"/>
  <c r="FJ12" i="1"/>
  <c r="FH12" i="1"/>
  <c r="FF12" i="1"/>
  <c r="FD12" i="1"/>
  <c r="FB12" i="1"/>
  <c r="FA12" i="1"/>
  <c r="EZ12" i="1"/>
  <c r="EX12" i="1"/>
  <c r="EV12" i="1"/>
  <c r="ET12" i="1"/>
  <c r="EL12" i="1"/>
  <c r="EH12" i="1"/>
  <c r="EF12" i="1"/>
  <c r="ED12" i="1"/>
  <c r="EB12" i="1"/>
  <c r="EA12" i="1"/>
  <c r="DZ12" i="1"/>
  <c r="DV12" i="1"/>
  <c r="DW12" i="1" s="1"/>
  <c r="ER12" i="1" s="1"/>
  <c r="DT12" i="1"/>
  <c r="DR12" i="1"/>
  <c r="BE12" i="1"/>
  <c r="BF12" i="1" s="1"/>
  <c r="FO12" i="1" s="1"/>
  <c r="BD12" i="1"/>
  <c r="FP12" i="1" s="1"/>
  <c r="BA12" i="1"/>
  <c r="FN12" i="1" s="1"/>
  <c r="FQ12" i="1" s="1"/>
  <c r="AO12" i="1"/>
  <c r="EI12" i="1" s="1"/>
  <c r="AA12" i="1"/>
  <c r="DY12" i="1" s="1"/>
  <c r="EC12" i="1" s="1"/>
  <c r="GH12" i="1" s="1"/>
  <c r="Z12" i="1"/>
  <c r="GD11" i="1"/>
  <c r="GB11" i="1"/>
  <c r="FZ11" i="1"/>
  <c r="FW11" i="1"/>
  <c r="FX11" i="1" s="1"/>
  <c r="FV11" i="1"/>
  <c r="FS11" i="1"/>
  <c r="FM11" i="1"/>
  <c r="FJ11" i="1"/>
  <c r="FH11" i="1"/>
  <c r="FF11" i="1"/>
  <c r="FD11" i="1"/>
  <c r="FB11" i="1"/>
  <c r="FA11" i="1"/>
  <c r="EZ11" i="1"/>
  <c r="EX11" i="1"/>
  <c r="EV11" i="1"/>
  <c r="ET11" i="1"/>
  <c r="EL11" i="1"/>
  <c r="EH11" i="1"/>
  <c r="EF11" i="1"/>
  <c r="ED11" i="1"/>
  <c r="EB11" i="1"/>
  <c r="EA11" i="1"/>
  <c r="DZ11" i="1"/>
  <c r="DV11" i="1"/>
  <c r="DW11" i="1" s="1"/>
  <c r="ER11" i="1" s="1"/>
  <c r="DT11" i="1"/>
  <c r="DR11" i="1"/>
  <c r="BE11" i="1"/>
  <c r="BF11" i="1" s="1"/>
  <c r="FO11" i="1" s="1"/>
  <c r="BD11" i="1"/>
  <c r="FP11" i="1" s="1"/>
  <c r="BA11" i="1"/>
  <c r="FN11" i="1" s="1"/>
  <c r="AO11" i="1"/>
  <c r="EI11" i="1" s="1"/>
  <c r="AA11" i="1"/>
  <c r="DY11" i="1" s="1"/>
  <c r="EC11" i="1" s="1"/>
  <c r="GH11" i="1" s="1"/>
  <c r="Z11" i="1"/>
  <c r="GD10" i="1"/>
  <c r="GB10" i="1"/>
  <c r="FZ10" i="1"/>
  <c r="FW10" i="1"/>
  <c r="FV10" i="1"/>
  <c r="FS10" i="1"/>
  <c r="FM10" i="1"/>
  <c r="FJ10" i="1"/>
  <c r="FH10" i="1"/>
  <c r="FF10" i="1"/>
  <c r="FD10" i="1"/>
  <c r="FB10" i="1"/>
  <c r="FA10" i="1"/>
  <c r="EZ10" i="1"/>
  <c r="EX10" i="1"/>
  <c r="EV10" i="1"/>
  <c r="ET10" i="1"/>
  <c r="EL10" i="1"/>
  <c r="EH10" i="1"/>
  <c r="EF10" i="1"/>
  <c r="ED10" i="1"/>
  <c r="EB10" i="1"/>
  <c r="EA10" i="1"/>
  <c r="DZ10" i="1"/>
  <c r="DV10" i="1"/>
  <c r="DW10" i="1" s="1"/>
  <c r="ER10" i="1" s="1"/>
  <c r="DT10" i="1"/>
  <c r="DR10" i="1"/>
  <c r="BE10" i="1"/>
  <c r="BF10" i="1" s="1"/>
  <c r="FO10" i="1" s="1"/>
  <c r="BD10" i="1"/>
  <c r="FP10" i="1" s="1"/>
  <c r="BA10" i="1"/>
  <c r="FN10" i="1" s="1"/>
  <c r="AO10" i="1"/>
  <c r="EI10" i="1" s="1"/>
  <c r="Z10" i="1"/>
  <c r="AA10" i="1" s="1"/>
  <c r="DY10" i="1" s="1"/>
  <c r="EC10" i="1" s="1"/>
  <c r="GH10" i="1" s="1"/>
  <c r="Y10" i="1"/>
  <c r="GD9" i="1"/>
  <c r="GB9" i="1"/>
  <c r="FZ9" i="1"/>
  <c r="FW9" i="1"/>
  <c r="FV9" i="1"/>
  <c r="FS9" i="1"/>
  <c r="FM9" i="1"/>
  <c r="FJ9" i="1"/>
  <c r="FH9" i="1"/>
  <c r="FF9" i="1"/>
  <c r="FD9" i="1"/>
  <c r="FB9" i="1"/>
  <c r="FA9" i="1"/>
  <c r="EZ9" i="1"/>
  <c r="EX9" i="1"/>
  <c r="EV9" i="1"/>
  <c r="ET9" i="1"/>
  <c r="EL9" i="1"/>
  <c r="EH9" i="1"/>
  <c r="EF9" i="1"/>
  <c r="ED9" i="1"/>
  <c r="EB9" i="1"/>
  <c r="EA9" i="1"/>
  <c r="DZ9" i="1"/>
  <c r="DV9" i="1"/>
  <c r="DW9" i="1" s="1"/>
  <c r="ER9" i="1" s="1"/>
  <c r="DT9" i="1"/>
  <c r="DR9" i="1"/>
  <c r="BE9" i="1"/>
  <c r="BF9" i="1" s="1"/>
  <c r="FO9" i="1" s="1"/>
  <c r="BD9" i="1"/>
  <c r="FP9" i="1" s="1"/>
  <c r="BA9" i="1"/>
  <c r="FN9" i="1" s="1"/>
  <c r="AO9" i="1"/>
  <c r="EI9" i="1" s="1"/>
  <c r="Z9" i="1"/>
  <c r="AA9" i="1" s="1"/>
  <c r="DY9" i="1" s="1"/>
  <c r="EC9" i="1" s="1"/>
  <c r="GH9" i="1" s="1"/>
  <c r="Y9" i="1"/>
  <c r="GD8" i="1"/>
  <c r="GB8" i="1"/>
  <c r="FZ8" i="1"/>
  <c r="FW8" i="1"/>
  <c r="FV8" i="1"/>
  <c r="FX8" i="1" s="1"/>
  <c r="FS8" i="1"/>
  <c r="FM8" i="1"/>
  <c r="FJ8" i="1"/>
  <c r="FH8" i="1"/>
  <c r="FF8" i="1"/>
  <c r="FD8" i="1"/>
  <c r="FB8" i="1"/>
  <c r="FA8" i="1"/>
  <c r="EZ8" i="1"/>
  <c r="EX8" i="1"/>
  <c r="EV8" i="1"/>
  <c r="ET8" i="1"/>
  <c r="EL8" i="1"/>
  <c r="EH8" i="1"/>
  <c r="EF8" i="1"/>
  <c r="ED8" i="1"/>
  <c r="EB8" i="1"/>
  <c r="EA8" i="1"/>
  <c r="DZ8" i="1"/>
  <c r="DV8" i="1"/>
  <c r="DW8" i="1" s="1"/>
  <c r="ER8" i="1" s="1"/>
  <c r="DT8" i="1"/>
  <c r="DR8" i="1"/>
  <c r="BE8" i="1"/>
  <c r="BF8" i="1" s="1"/>
  <c r="FO8" i="1" s="1"/>
  <c r="BD8" i="1"/>
  <c r="FP8" i="1" s="1"/>
  <c r="BA8" i="1"/>
  <c r="FN8" i="1" s="1"/>
  <c r="AO8" i="1"/>
  <c r="EI8" i="1" s="1"/>
  <c r="Z8" i="1"/>
  <c r="AA8" i="1" s="1"/>
  <c r="DY8" i="1" s="1"/>
  <c r="EC8" i="1" s="1"/>
  <c r="GH8" i="1" s="1"/>
  <c r="Y8" i="1"/>
  <c r="GD7" i="1"/>
  <c r="GB7" i="1"/>
  <c r="FZ7" i="1"/>
  <c r="FW7" i="1"/>
  <c r="FV7" i="1"/>
  <c r="FX7" i="1" s="1"/>
  <c r="FS7" i="1"/>
  <c r="FP7" i="1"/>
  <c r="FO7" i="1"/>
  <c r="FN7" i="1"/>
  <c r="FM7" i="1"/>
  <c r="FJ7" i="1"/>
  <c r="FH7" i="1"/>
  <c r="FF7" i="1"/>
  <c r="FD7" i="1"/>
  <c r="FB7" i="1"/>
  <c r="FA7" i="1"/>
  <c r="EZ7" i="1"/>
  <c r="EX7" i="1"/>
  <c r="EV7" i="1"/>
  <c r="ET7" i="1"/>
  <c r="EL7" i="1"/>
  <c r="EH7" i="1"/>
  <c r="EF7" i="1"/>
  <c r="ED7" i="1"/>
  <c r="EB7" i="1"/>
  <c r="EA7" i="1"/>
  <c r="DZ7" i="1"/>
  <c r="DV7" i="1"/>
  <c r="DW7" i="1" s="1"/>
  <c r="ER7" i="1" s="1"/>
  <c r="DT7" i="1"/>
  <c r="DR7" i="1"/>
  <c r="AO7" i="1"/>
  <c r="EI7" i="1" s="1"/>
  <c r="Z7" i="1"/>
  <c r="AA7" i="1" s="1"/>
  <c r="DY7" i="1" s="1"/>
  <c r="EC7" i="1" s="1"/>
  <c r="GH7" i="1" s="1"/>
  <c r="GD6" i="1"/>
  <c r="GB6" i="1"/>
  <c r="FZ6" i="1"/>
  <c r="FW6" i="1"/>
  <c r="FV6" i="1"/>
  <c r="FX6" i="1" s="1"/>
  <c r="FS6" i="1"/>
  <c r="FP6" i="1"/>
  <c r="FO6" i="1"/>
  <c r="FN6" i="1"/>
  <c r="FM6" i="1"/>
  <c r="FJ6" i="1"/>
  <c r="FH6" i="1"/>
  <c r="FF6" i="1"/>
  <c r="FD6" i="1"/>
  <c r="FE8" i="1" s="1"/>
  <c r="FB6" i="1"/>
  <c r="FA6" i="1"/>
  <c r="EZ6" i="1"/>
  <c r="EX6" i="1"/>
  <c r="EV6" i="1"/>
  <c r="ET6" i="1"/>
  <c r="EL6" i="1"/>
  <c r="EH6" i="1"/>
  <c r="EF6" i="1"/>
  <c r="ED6" i="1"/>
  <c r="EB6" i="1"/>
  <c r="EA6" i="1"/>
  <c r="DZ6" i="1"/>
  <c r="DW6" i="1"/>
  <c r="ER6" i="1" s="1"/>
  <c r="DV6" i="1"/>
  <c r="DT6" i="1"/>
  <c r="DR6" i="1"/>
  <c r="AO6" i="1"/>
  <c r="EI6" i="1" s="1"/>
  <c r="Z6" i="1"/>
  <c r="AA6" i="1" s="1"/>
  <c r="DY6" i="1" s="1"/>
  <c r="EC6" i="1" s="1"/>
  <c r="GH6" i="1" s="1"/>
  <c r="GD5" i="1"/>
  <c r="GE5" i="1" s="1"/>
  <c r="GB5" i="1"/>
  <c r="FZ5" i="1"/>
  <c r="FW5" i="1"/>
  <c r="FV5" i="1"/>
  <c r="FS5" i="1"/>
  <c r="FO5" i="1"/>
  <c r="FN5" i="1"/>
  <c r="FM5" i="1"/>
  <c r="FJ5" i="1"/>
  <c r="FH5" i="1"/>
  <c r="FF5" i="1"/>
  <c r="FD5" i="1"/>
  <c r="FB5" i="1"/>
  <c r="FA5" i="1"/>
  <c r="EZ5" i="1"/>
  <c r="EX5" i="1"/>
  <c r="EV5" i="1"/>
  <c r="ET5" i="1"/>
  <c r="EL5" i="1"/>
  <c r="EH5" i="1"/>
  <c r="EF5" i="1"/>
  <c r="ED5" i="1"/>
  <c r="EB5" i="1"/>
  <c r="EA5" i="1"/>
  <c r="DZ5" i="1"/>
  <c r="DV5" i="1"/>
  <c r="DW5" i="1" s="1"/>
  <c r="ER5" i="1" s="1"/>
  <c r="DT5" i="1"/>
  <c r="DR5" i="1"/>
  <c r="BD5" i="1"/>
  <c r="FP5" i="1" s="1"/>
  <c r="AO5" i="1"/>
  <c r="EI5" i="1" s="1"/>
  <c r="Z5" i="1"/>
  <c r="AA5" i="1" s="1"/>
  <c r="DY5" i="1" s="1"/>
  <c r="EC5" i="1" s="1"/>
  <c r="GH5" i="1" s="1"/>
  <c r="GD4" i="1"/>
  <c r="GB4" i="1"/>
  <c r="FZ4" i="1"/>
  <c r="GA4" i="1" s="1"/>
  <c r="FW4" i="1"/>
  <c r="FX4" i="1" s="1"/>
  <c r="FV4" i="1"/>
  <c r="FS4" i="1"/>
  <c r="FO4" i="1"/>
  <c r="FN4" i="1"/>
  <c r="FM4" i="1"/>
  <c r="FJ4" i="1"/>
  <c r="FH4" i="1"/>
  <c r="FF4" i="1"/>
  <c r="FD4" i="1"/>
  <c r="FB4" i="1"/>
  <c r="FA4" i="1"/>
  <c r="EZ4" i="1"/>
  <c r="EX4" i="1"/>
  <c r="EV4" i="1"/>
  <c r="ET4" i="1"/>
  <c r="EL4" i="1"/>
  <c r="EH4" i="1"/>
  <c r="EF4" i="1"/>
  <c r="ED4" i="1"/>
  <c r="EB4" i="1"/>
  <c r="EA4" i="1"/>
  <c r="DZ4" i="1"/>
  <c r="DV4" i="1"/>
  <c r="DW4" i="1" s="1"/>
  <c r="ER4" i="1" s="1"/>
  <c r="DT4" i="1"/>
  <c r="DR4" i="1"/>
  <c r="EN4" i="1" s="1"/>
  <c r="BD4" i="1"/>
  <c r="FP4" i="1" s="1"/>
  <c r="AO4" i="1"/>
  <c r="EI4" i="1" s="1"/>
  <c r="Z4" i="1"/>
  <c r="AA4" i="1" s="1"/>
  <c r="DY4" i="1" s="1"/>
  <c r="EC4" i="1" s="1"/>
  <c r="GH4" i="1" s="1"/>
  <c r="AO3" i="1"/>
  <c r="Z3" i="1"/>
  <c r="AA3" i="1" s="1"/>
  <c r="GD2" i="1"/>
  <c r="GB2" i="1"/>
  <c r="GC56" i="1" s="1"/>
  <c r="FZ2" i="1"/>
  <c r="FW2" i="1"/>
  <c r="FV2" i="1"/>
  <c r="FX2" i="1" s="1"/>
  <c r="FS2" i="1"/>
  <c r="FM2" i="1"/>
  <c r="FJ2" i="1"/>
  <c r="FH2" i="1"/>
  <c r="FF2" i="1"/>
  <c r="FD2" i="1"/>
  <c r="FB2" i="1"/>
  <c r="FA2" i="1"/>
  <c r="EZ2" i="1"/>
  <c r="EX2" i="1"/>
  <c r="EV2" i="1"/>
  <c r="EW52" i="1" s="1"/>
  <c r="ET2" i="1"/>
  <c r="EL2" i="1"/>
  <c r="EF2" i="1"/>
  <c r="EE2" i="1"/>
  <c r="ED2" i="1"/>
  <c r="EB2" i="1"/>
  <c r="EA2" i="1"/>
  <c r="DZ2" i="1"/>
  <c r="DV2" i="1"/>
  <c r="DW2" i="1" s="1"/>
  <c r="ER2" i="1" s="1"/>
  <c r="DT2" i="1"/>
  <c r="EO2" i="1" s="1"/>
  <c r="DR2" i="1"/>
  <c r="BE2" i="1"/>
  <c r="BF2" i="1" s="1"/>
  <c r="FO2" i="1" s="1"/>
  <c r="BD2" i="1"/>
  <c r="FP2" i="1" s="1"/>
  <c r="BA2" i="1"/>
  <c r="FN2" i="1" s="1"/>
  <c r="AO2" i="1"/>
  <c r="EI2" i="1" s="1"/>
  <c r="AM2" i="1"/>
  <c r="EH2" i="1" s="1"/>
  <c r="AK2" i="1"/>
  <c r="Y2" i="1"/>
  <c r="Z2" i="1" s="1"/>
  <c r="AA2" i="1" s="1"/>
  <c r="DY2" i="1" s="1"/>
  <c r="EC2" i="1" s="1"/>
  <c r="GH2" i="1" s="1"/>
  <c r="EJ21" i="1" l="1"/>
  <c r="EJ274" i="1"/>
  <c r="EJ230" i="1"/>
  <c r="FX246" i="1"/>
  <c r="EJ242" i="1"/>
  <c r="FQ17" i="1"/>
  <c r="EJ109" i="1"/>
  <c r="FX146" i="1"/>
  <c r="EJ177" i="1"/>
  <c r="EJ85" i="1"/>
  <c r="FQ116" i="1"/>
  <c r="FQ213" i="1"/>
  <c r="FX279" i="1"/>
  <c r="EJ44" i="1"/>
  <c r="EJ62" i="1"/>
  <c r="EJ146" i="1"/>
  <c r="FX188" i="1"/>
  <c r="EJ251" i="1"/>
  <c r="FQ73" i="1"/>
  <c r="FQ109" i="1"/>
  <c r="FQ120" i="1"/>
  <c r="EJ144" i="1"/>
  <c r="EJ166" i="1"/>
  <c r="EJ222" i="1"/>
  <c r="EJ240" i="1"/>
  <c r="FX260" i="1"/>
  <c r="FY11" i="1"/>
  <c r="EJ52" i="1"/>
  <c r="FQ251" i="1"/>
  <c r="FX5" i="1"/>
  <c r="FY5" i="1" s="1"/>
  <c r="FX22" i="1"/>
  <c r="FY22" i="1" s="1"/>
  <c r="FX23" i="1"/>
  <c r="FY23" i="1" s="1"/>
  <c r="FX137" i="1"/>
  <c r="EJ172" i="1"/>
  <c r="EJ224" i="1"/>
  <c r="EJ252" i="1"/>
  <c r="FX10" i="1"/>
  <c r="FQ15" i="1"/>
  <c r="EJ48" i="1"/>
  <c r="FQ48" i="1"/>
  <c r="FQ52" i="1"/>
  <c r="EJ162" i="1"/>
  <c r="EJ209" i="1"/>
  <c r="FX250" i="1"/>
  <c r="EJ272" i="1"/>
  <c r="FX273" i="1"/>
  <c r="EJ276" i="1"/>
  <c r="EJ56" i="1"/>
  <c r="FQ76" i="1"/>
  <c r="FX109" i="1"/>
  <c r="FY109" i="1" s="1"/>
  <c r="EJ110" i="1"/>
  <c r="EJ170" i="1"/>
  <c r="FQ172" i="1"/>
  <c r="EJ188" i="1"/>
  <c r="EJ229" i="1"/>
  <c r="FQ277" i="1"/>
  <c r="FQ69" i="1"/>
  <c r="FY56" i="1"/>
  <c r="EJ16" i="1"/>
  <c r="FX16" i="1"/>
  <c r="FQ21" i="1"/>
  <c r="EJ49" i="1"/>
  <c r="EJ54" i="1"/>
  <c r="EJ105" i="1"/>
  <c r="EJ123" i="1"/>
  <c r="EJ152" i="1"/>
  <c r="EJ174" i="1"/>
  <c r="EJ176" i="1"/>
  <c r="EJ179" i="1"/>
  <c r="EJ195" i="1"/>
  <c r="EJ208" i="1"/>
  <c r="FQ208" i="1"/>
  <c r="EJ216" i="1"/>
  <c r="EJ223" i="1"/>
  <c r="EJ250" i="1"/>
  <c r="EJ258" i="1"/>
  <c r="EJ268" i="1"/>
  <c r="EJ279" i="1"/>
  <c r="EJ283" i="1"/>
  <c r="EJ286" i="1"/>
  <c r="FQ286" i="1"/>
  <c r="EO6" i="1"/>
  <c r="EW8" i="1"/>
  <c r="EY13" i="1"/>
  <c r="FT13" i="1"/>
  <c r="EW14" i="1"/>
  <c r="FK14" i="1"/>
  <c r="EN15" i="1"/>
  <c r="GC17" i="1"/>
  <c r="EO18" i="1"/>
  <c r="EW18" i="1"/>
  <c r="FI19" i="1"/>
  <c r="EU20" i="1"/>
  <c r="EO21" i="1"/>
  <c r="FE21" i="1"/>
  <c r="GA21" i="1"/>
  <c r="EO23" i="1"/>
  <c r="GA23" i="1"/>
  <c r="FY24" i="1"/>
  <c r="EY26" i="1"/>
  <c r="FQ211" i="1"/>
  <c r="FK7" i="1"/>
  <c r="FK10" i="1"/>
  <c r="EN12" i="1"/>
  <c r="GE12" i="1"/>
  <c r="FI15" i="1"/>
  <c r="EY17" i="1"/>
  <c r="FT17" i="1"/>
  <c r="FK18" i="1"/>
  <c r="EN19" i="1"/>
  <c r="EE19" i="1"/>
  <c r="FK22" i="1"/>
  <c r="FK24" i="1"/>
  <c r="EE46" i="1"/>
  <c r="EW2" i="1"/>
  <c r="FK56" i="1"/>
  <c r="EY4" i="1"/>
  <c r="FE4" i="1"/>
  <c r="FQ4" i="1"/>
  <c r="EU5" i="1"/>
  <c r="FI5" i="1"/>
  <c r="FY6" i="1"/>
  <c r="GE39" i="1"/>
  <c r="EO7" i="1"/>
  <c r="FQ7" i="1"/>
  <c r="FT7" i="1"/>
  <c r="GC7" i="1"/>
  <c r="EE9" i="1"/>
  <c r="FG9" i="1"/>
  <c r="FT9" i="1"/>
  <c r="GC9" i="1"/>
  <c r="FG11" i="1"/>
  <c r="EY12" i="1"/>
  <c r="FE12" i="1"/>
  <c r="FG13" i="1"/>
  <c r="GC13" i="1"/>
  <c r="EO14" i="1"/>
  <c r="FT14" i="1"/>
  <c r="GC14" i="1"/>
  <c r="EO15" i="1"/>
  <c r="EW15" i="1"/>
  <c r="GA15" i="1"/>
  <c r="EN16" i="1"/>
  <c r="EU16" i="1"/>
  <c r="FI16" i="1"/>
  <c r="GE16" i="1"/>
  <c r="FG17" i="1"/>
  <c r="FQ18" i="1"/>
  <c r="FT18" i="1"/>
  <c r="GC18" i="1"/>
  <c r="EO19" i="1"/>
  <c r="EW19" i="1"/>
  <c r="GA19" i="1"/>
  <c r="FK20" i="1"/>
  <c r="FX20" i="1"/>
  <c r="FY20" i="1" s="1"/>
  <c r="EY22" i="1"/>
  <c r="FI23" i="1"/>
  <c r="EY24" i="1"/>
  <c r="EE25" i="1"/>
  <c r="FI25" i="1"/>
  <c r="GE25" i="1"/>
  <c r="FG26" i="1"/>
  <c r="FT26" i="1"/>
  <c r="GC26" i="1"/>
  <c r="EN27" i="1"/>
  <c r="FX33" i="1"/>
  <c r="FY33" i="1" s="1"/>
  <c r="FX37" i="1"/>
  <c r="FX38" i="1"/>
  <c r="FX42" i="1"/>
  <c r="FX44" i="1"/>
  <c r="FY44" i="1" s="1"/>
  <c r="FX53" i="1"/>
  <c r="FX54" i="1"/>
  <c r="FQ71" i="1"/>
  <c r="FX74" i="1"/>
  <c r="FY74" i="1" s="1"/>
  <c r="FQ88" i="1"/>
  <c r="EJ89" i="1"/>
  <c r="EJ116" i="1"/>
  <c r="EJ120" i="1"/>
  <c r="EE7" i="1"/>
  <c r="EO8" i="1"/>
  <c r="FG8" i="1"/>
  <c r="FE15" i="1"/>
  <c r="EJ17" i="1"/>
  <c r="EU17" i="1"/>
  <c r="FE19" i="1"/>
  <c r="EE21" i="1"/>
  <c r="FG22" i="1"/>
  <c r="EE23" i="1"/>
  <c r="EW7" i="1"/>
  <c r="FK8" i="1"/>
  <c r="FY8" i="1"/>
  <c r="EO9" i="1"/>
  <c r="EW10" i="1"/>
  <c r="EY11" i="1"/>
  <c r="EJ2" i="1"/>
  <c r="EK2" i="1" s="1"/>
  <c r="GE4" i="1"/>
  <c r="EN5" i="1"/>
  <c r="GA5" i="1"/>
  <c r="EE6" i="1"/>
  <c r="FI14" i="1"/>
  <c r="FG7" i="1"/>
  <c r="EO10" i="1"/>
  <c r="FG10" i="1"/>
  <c r="EU11" i="1"/>
  <c r="FT11" i="1"/>
  <c r="GA12" i="1"/>
  <c r="EU13" i="1"/>
  <c r="FG14" i="1"/>
  <c r="FY17" i="1"/>
  <c r="EE18" i="1"/>
  <c r="FG18" i="1"/>
  <c r="EY20" i="1"/>
  <c r="FI21" i="1"/>
  <c r="GE21" i="1"/>
  <c r="FT22" i="1"/>
  <c r="EW23" i="1"/>
  <c r="GE23" i="1"/>
  <c r="FG24" i="1"/>
  <c r="FT24" i="1"/>
  <c r="GC24" i="1"/>
  <c r="EN25" i="1"/>
  <c r="EP25" i="1" s="1"/>
  <c r="EW25" i="1"/>
  <c r="EU26" i="1"/>
  <c r="FY26" i="1"/>
  <c r="FG60" i="1"/>
  <c r="FT54" i="1"/>
  <c r="EU4" i="1"/>
  <c r="FI4" i="1"/>
  <c r="EY5" i="1"/>
  <c r="FE5" i="1"/>
  <c r="FQ5" i="1"/>
  <c r="EN47" i="1"/>
  <c r="EW6" i="1"/>
  <c r="GA6" i="1"/>
  <c r="EE8" i="1"/>
  <c r="FT8" i="1"/>
  <c r="GC8" i="1"/>
  <c r="EW9" i="1"/>
  <c r="FK9" i="1"/>
  <c r="EE10" i="1"/>
  <c r="FT10" i="1"/>
  <c r="GC10" i="1"/>
  <c r="EJ11" i="1"/>
  <c r="FK11" i="1"/>
  <c r="GC11" i="1"/>
  <c r="EU12" i="1"/>
  <c r="FI12" i="1"/>
  <c r="EJ13" i="1"/>
  <c r="FK13" i="1"/>
  <c r="EE14" i="1"/>
  <c r="GE15" i="1"/>
  <c r="EY16" i="1"/>
  <c r="FE16" i="1"/>
  <c r="GA16" i="1"/>
  <c r="FK17" i="1"/>
  <c r="GE19" i="1"/>
  <c r="FG20" i="1"/>
  <c r="FT20" i="1"/>
  <c r="GC20" i="1"/>
  <c r="EN21" i="1"/>
  <c r="EP21" i="1" s="1"/>
  <c r="EW21" i="1"/>
  <c r="EU22" i="1"/>
  <c r="GC22" i="1"/>
  <c r="EN23" i="1"/>
  <c r="FE23" i="1"/>
  <c r="EU24" i="1"/>
  <c r="EO25" i="1"/>
  <c r="FE25" i="1"/>
  <c r="GA25" i="1"/>
  <c r="FK26" i="1"/>
  <c r="FX49" i="1"/>
  <c r="FQ67" i="1"/>
  <c r="FQ79" i="1"/>
  <c r="FX86" i="1"/>
  <c r="FY86" i="1" s="1"/>
  <c r="FX94" i="1"/>
  <c r="FX114" i="1"/>
  <c r="FX118" i="1"/>
  <c r="FX122" i="1"/>
  <c r="FY122" i="1" s="1"/>
  <c r="FQ176" i="1"/>
  <c r="EJ129" i="1"/>
  <c r="FX145" i="1"/>
  <c r="EJ155" i="1"/>
  <c r="FQ156" i="1"/>
  <c r="EJ160" i="1"/>
  <c r="EJ168" i="1"/>
  <c r="FQ199" i="1"/>
  <c r="FX225" i="1"/>
  <c r="FQ135" i="1"/>
  <c r="FQ153" i="1"/>
  <c r="EJ185" i="1"/>
  <c r="EJ193" i="1"/>
  <c r="FX194" i="1"/>
  <c r="FQ201" i="1"/>
  <c r="EJ213" i="1"/>
  <c r="FX100" i="1"/>
  <c r="FQ105" i="1"/>
  <c r="EJ107" i="1"/>
  <c r="FQ115" i="1"/>
  <c r="FX116" i="1"/>
  <c r="FQ119" i="1"/>
  <c r="FX124" i="1"/>
  <c r="FQ146" i="1"/>
  <c r="FX151" i="1"/>
  <c r="EJ156" i="1"/>
  <c r="FQ159" i="1"/>
  <c r="EJ164" i="1"/>
  <c r="FQ169" i="1"/>
  <c r="FX186" i="1"/>
  <c r="FQ203" i="1"/>
  <c r="EJ246" i="1"/>
  <c r="EJ264" i="1"/>
  <c r="FQ222" i="1"/>
  <c r="EJ232" i="1"/>
  <c r="EJ236" i="1"/>
  <c r="FX236" i="1"/>
  <c r="FQ243" i="1"/>
  <c r="FQ250" i="1"/>
  <c r="FQ252" i="1"/>
  <c r="EJ263" i="1"/>
  <c r="FQ265" i="1"/>
  <c r="FQ266" i="1"/>
  <c r="FQ284" i="1"/>
  <c r="EJ202" i="1"/>
  <c r="FQ224" i="1"/>
  <c r="EJ226" i="1"/>
  <c r="FQ249" i="1"/>
  <c r="EJ256" i="1"/>
  <c r="EJ257" i="1"/>
  <c r="EJ260" i="1"/>
  <c r="FX269" i="1"/>
  <c r="FQ276" i="1"/>
  <c r="FX278" i="1"/>
  <c r="EJ5" i="1"/>
  <c r="FQ6" i="1"/>
  <c r="EJ7" i="1"/>
  <c r="EJ9" i="1"/>
  <c r="FX9" i="1"/>
  <c r="FY9" i="1" s="1"/>
  <c r="FQ10" i="1"/>
  <c r="FQ11" i="1"/>
  <c r="FQ14" i="1"/>
  <c r="FX18" i="1"/>
  <c r="FY18" i="1" s="1"/>
  <c r="FQ19" i="1"/>
  <c r="EJ20" i="1"/>
  <c r="FX21" i="1"/>
  <c r="FY21" i="1" s="1"/>
  <c r="FQ22" i="1"/>
  <c r="FQ23" i="1"/>
  <c r="FX27" i="1"/>
  <c r="FY27" i="1" s="1"/>
  <c r="FQ28" i="1"/>
  <c r="FX35" i="1"/>
  <c r="FY35" i="1" s="1"/>
  <c r="FQ36" i="1"/>
  <c r="FY43" i="1"/>
  <c r="FQ44" i="1"/>
  <c r="FQ46" i="1"/>
  <c r="FX48" i="1"/>
  <c r="FY48" i="1" s="1"/>
  <c r="FQ51" i="1"/>
  <c r="EJ53" i="1"/>
  <c r="EK53" i="1" s="1"/>
  <c r="FQ54" i="1"/>
  <c r="FQ58" i="1"/>
  <c r="FX58" i="1"/>
  <c r="FQ59" i="1"/>
  <c r="FQ66" i="1"/>
  <c r="FQ70" i="1"/>
  <c r="FQ74" i="1"/>
  <c r="EJ76" i="1"/>
  <c r="FQ82" i="1"/>
  <c r="FQ89" i="1"/>
  <c r="EJ127" i="1"/>
  <c r="FQ189" i="1"/>
  <c r="EJ8" i="1"/>
  <c r="FY13" i="1"/>
  <c r="FY14" i="1"/>
  <c r="FY19" i="1"/>
  <c r="FQ20" i="1"/>
  <c r="EJ26" i="1"/>
  <c r="EK26" i="1" s="1"/>
  <c r="FY29" i="1"/>
  <c r="FQ30" i="1"/>
  <c r="FQ38" i="1"/>
  <c r="EJ50" i="1"/>
  <c r="EK50" i="1" s="1"/>
  <c r="FY51" i="1"/>
  <c r="FQ56" i="1"/>
  <c r="EJ57" i="1"/>
  <c r="FQ64" i="1"/>
  <c r="EJ65" i="1"/>
  <c r="EK65" i="1" s="1"/>
  <c r="FQ65" i="1"/>
  <c r="EJ68" i="1"/>
  <c r="EJ72" i="1"/>
  <c r="FQ78" i="1"/>
  <c r="FQ2" i="1"/>
  <c r="FQ9" i="1"/>
  <c r="EJ4" i="1"/>
  <c r="FY7" i="1"/>
  <c r="FQ8" i="1"/>
  <c r="FR8" i="1" s="1"/>
  <c r="FQ13" i="1"/>
  <c r="FX15" i="1"/>
  <c r="FY15" i="1" s="1"/>
  <c r="FQ16" i="1"/>
  <c r="EJ18" i="1"/>
  <c r="EJ24" i="1"/>
  <c r="FY25" i="1"/>
  <c r="FQ26" i="1"/>
  <c r="FY31" i="1"/>
  <c r="FQ32" i="1"/>
  <c r="FY37" i="1"/>
  <c r="FY39" i="1"/>
  <c r="FQ40" i="1"/>
  <c r="FR40" i="1" s="1"/>
  <c r="EJ45" i="1"/>
  <c r="FQ47" i="1"/>
  <c r="FQ50" i="1"/>
  <c r="FQ62" i="1"/>
  <c r="FR62" i="1" s="1"/>
  <c r="FX62" i="1"/>
  <c r="EJ63" i="1"/>
  <c r="FQ63" i="1"/>
  <c r="FQ68" i="1"/>
  <c r="FQ72" i="1"/>
  <c r="FQ75" i="1"/>
  <c r="EJ80" i="1"/>
  <c r="FX83" i="1"/>
  <c r="FX87" i="1"/>
  <c r="EJ93" i="1"/>
  <c r="EJ95" i="1"/>
  <c r="FQ99" i="1"/>
  <c r="EJ101" i="1"/>
  <c r="FQ104" i="1"/>
  <c r="EJ10" i="1"/>
  <c r="EK10" i="1" s="1"/>
  <c r="FY10" i="1"/>
  <c r="EJ12" i="1"/>
  <c r="EJ14" i="1"/>
  <c r="EJ22" i="1"/>
  <c r="EK22" i="1" s="1"/>
  <c r="FQ24" i="1"/>
  <c r="FQ34" i="1"/>
  <c r="FY41" i="1"/>
  <c r="FQ42" i="1"/>
  <c r="EJ46" i="1"/>
  <c r="FY47" i="1"/>
  <c r="EJ55" i="1"/>
  <c r="EK55" i="1" s="1"/>
  <c r="FQ60" i="1"/>
  <c r="FY60" i="1"/>
  <c r="EJ61" i="1"/>
  <c r="EK61" i="1" s="1"/>
  <c r="EJ70" i="1"/>
  <c r="EJ74" i="1"/>
  <c r="FQ83" i="1"/>
  <c r="EJ117" i="1"/>
  <c r="EJ159" i="1"/>
  <c r="EK159" i="1" s="1"/>
  <c r="EJ78" i="1"/>
  <c r="FQ80" i="1"/>
  <c r="FQ84" i="1"/>
  <c r="FQ92" i="1"/>
  <c r="FR92" i="1" s="1"/>
  <c r="FQ93" i="1"/>
  <c r="FQ98" i="1"/>
  <c r="FQ107" i="1"/>
  <c r="FX107" i="1"/>
  <c r="FY107" i="1" s="1"/>
  <c r="EJ108" i="1"/>
  <c r="FQ123" i="1"/>
  <c r="FX123" i="1"/>
  <c r="EJ124" i="1"/>
  <c r="EK124" i="1" s="1"/>
  <c r="FQ124" i="1"/>
  <c r="FQ129" i="1"/>
  <c r="FX129" i="1"/>
  <c r="EJ130" i="1"/>
  <c r="EK130" i="1" s="1"/>
  <c r="FQ130" i="1"/>
  <c r="FQ132" i="1"/>
  <c r="EJ139" i="1"/>
  <c r="FQ145" i="1"/>
  <c r="FQ147" i="1"/>
  <c r="FQ152" i="1"/>
  <c r="FQ155" i="1"/>
  <c r="FQ173" i="1"/>
  <c r="FR173" i="1" s="1"/>
  <c r="FQ183" i="1"/>
  <c r="EJ192" i="1"/>
  <c r="EJ218" i="1"/>
  <c r="EJ219" i="1"/>
  <c r="FQ85" i="1"/>
  <c r="FQ86" i="1"/>
  <c r="FQ100" i="1"/>
  <c r="FQ101" i="1"/>
  <c r="FR101" i="1" s="1"/>
  <c r="FQ113" i="1"/>
  <c r="EJ114" i="1"/>
  <c r="FQ117" i="1"/>
  <c r="FX117" i="1"/>
  <c r="FY117" i="1" s="1"/>
  <c r="EJ118" i="1"/>
  <c r="FQ118" i="1"/>
  <c r="FQ127" i="1"/>
  <c r="EJ128" i="1"/>
  <c r="EK128" i="1" s="1"/>
  <c r="FQ128" i="1"/>
  <c r="EJ133" i="1"/>
  <c r="FQ144" i="1"/>
  <c r="FQ149" i="1"/>
  <c r="FR149" i="1" s="1"/>
  <c r="EJ173" i="1"/>
  <c r="FQ178" i="1"/>
  <c r="EJ181" i="1"/>
  <c r="EJ210" i="1"/>
  <c r="FQ214" i="1"/>
  <c r="FQ219" i="1"/>
  <c r="FQ95" i="1"/>
  <c r="FX95" i="1"/>
  <c r="FY95" i="1" s="1"/>
  <c r="FQ96" i="1"/>
  <c r="EJ106" i="1"/>
  <c r="FQ111" i="1"/>
  <c r="FQ112" i="1"/>
  <c r="FR112" i="1" s="1"/>
  <c r="FQ121" i="1"/>
  <c r="FX121" i="1"/>
  <c r="EJ122" i="1"/>
  <c r="FQ122" i="1"/>
  <c r="FQ125" i="1"/>
  <c r="FX125" i="1"/>
  <c r="EJ126" i="1"/>
  <c r="FQ126" i="1"/>
  <c r="FR126" i="1" s="1"/>
  <c r="FQ133" i="1"/>
  <c r="EJ135" i="1"/>
  <c r="EJ151" i="1"/>
  <c r="FQ180" i="1"/>
  <c r="FR180" i="1" s="1"/>
  <c r="FX183" i="1"/>
  <c r="EJ184" i="1"/>
  <c r="EJ191" i="1"/>
  <c r="EJ225" i="1"/>
  <c r="FQ227" i="1"/>
  <c r="EJ253" i="1"/>
  <c r="EJ265" i="1"/>
  <c r="EJ270" i="1"/>
  <c r="EJ287" i="1"/>
  <c r="FQ141" i="1"/>
  <c r="FQ142" i="1"/>
  <c r="EJ149" i="1"/>
  <c r="FX150" i="1"/>
  <c r="FY150" i="1" s="1"/>
  <c r="FQ151" i="1"/>
  <c r="EJ153" i="1"/>
  <c r="EJ157" i="1"/>
  <c r="EK157" i="1" s="1"/>
  <c r="FQ187" i="1"/>
  <c r="FQ191" i="1"/>
  <c r="FQ193" i="1"/>
  <c r="EJ238" i="1"/>
  <c r="EJ244" i="1"/>
  <c r="EK244" i="1" s="1"/>
  <c r="EJ249" i="1"/>
  <c r="EJ255" i="1"/>
  <c r="FQ258" i="1"/>
  <c r="FQ259" i="1"/>
  <c r="EJ269" i="1"/>
  <c r="FQ270" i="1"/>
  <c r="FQ272" i="1"/>
  <c r="EJ281" i="1"/>
  <c r="EK281" i="1" s="1"/>
  <c r="EJ282" i="1"/>
  <c r="EJ285" i="1"/>
  <c r="FQ157" i="1"/>
  <c r="FR157" i="1" s="1"/>
  <c r="FQ171" i="1"/>
  <c r="FQ174" i="1"/>
  <c r="EJ189" i="1"/>
  <c r="EJ217" i="1"/>
  <c r="EJ227" i="1"/>
  <c r="EK227" i="1" s="1"/>
  <c r="EJ234" i="1"/>
  <c r="FX247" i="1"/>
  <c r="EJ248" i="1"/>
  <c r="FQ248" i="1"/>
  <c r="EJ259" i="1"/>
  <c r="FQ260" i="1"/>
  <c r="EJ261" i="1"/>
  <c r="EJ278" i="1"/>
  <c r="EK278" i="1" s="1"/>
  <c r="FQ195" i="1"/>
  <c r="EJ197" i="1"/>
  <c r="EJ198" i="1"/>
  <c r="EJ204" i="1"/>
  <c r="FQ210" i="1"/>
  <c r="EJ221" i="1"/>
  <c r="FQ256" i="1"/>
  <c r="FQ269" i="1"/>
  <c r="FR269" i="1" s="1"/>
  <c r="EJ273" i="1"/>
  <c r="EJ275" i="1"/>
  <c r="FQ280" i="1"/>
  <c r="FX281" i="1"/>
  <c r="EJ190" i="1"/>
  <c r="EJ200" i="1"/>
  <c r="EJ206" i="1"/>
  <c r="FQ209" i="1"/>
  <c r="FR209" i="1" s="1"/>
  <c r="EJ212" i="1"/>
  <c r="FQ212" i="1"/>
  <c r="EJ214" i="1"/>
  <c r="FQ220" i="1"/>
  <c r="FX221" i="1"/>
  <c r="FX223" i="1"/>
  <c r="FQ229" i="1"/>
  <c r="FX239" i="1"/>
  <c r="FY239" i="1" s="1"/>
  <c r="EJ254" i="1"/>
  <c r="FQ254" i="1"/>
  <c r="EJ262" i="1"/>
  <c r="FQ262" i="1"/>
  <c r="FR262" i="1" s="1"/>
  <c r="EJ266" i="1"/>
  <c r="EJ277" i="1"/>
  <c r="FQ279" i="1"/>
  <c r="EJ284" i="1"/>
  <c r="AD3" i="7"/>
  <c r="ES5" i="1"/>
  <c r="GI6" i="1"/>
  <c r="ES10" i="1"/>
  <c r="GI11" i="1"/>
  <c r="ES13" i="1"/>
  <c r="GI14" i="1"/>
  <c r="EJ15" i="1"/>
  <c r="GI17" i="1"/>
  <c r="EK17" i="1"/>
  <c r="ES19" i="1"/>
  <c r="GI22" i="1"/>
  <c r="A4" i="6" s="1"/>
  <c r="ES24" i="1"/>
  <c r="ES25" i="1"/>
  <c r="GI27" i="1"/>
  <c r="A9" i="6" s="1"/>
  <c r="GI29" i="1"/>
  <c r="A11" i="6" s="1"/>
  <c r="ES31" i="1"/>
  <c r="GI34" i="1"/>
  <c r="A16" i="6" s="1"/>
  <c r="GI37" i="1"/>
  <c r="A19" i="6" s="1"/>
  <c r="FR38" i="1"/>
  <c r="ES39" i="1"/>
  <c r="GI42" i="1"/>
  <c r="A24" i="6" s="1"/>
  <c r="GI44" i="1"/>
  <c r="A26" i="6" s="1"/>
  <c r="GI46" i="1"/>
  <c r="A28" i="6" s="1"/>
  <c r="ES51" i="1"/>
  <c r="ES52" i="1"/>
  <c r="GI53" i="1"/>
  <c r="A35" i="6" s="1"/>
  <c r="GI286" i="1"/>
  <c r="A270" i="6" s="1"/>
  <c r="GI248" i="1"/>
  <c r="A232" i="6" s="1"/>
  <c r="GI178" i="1"/>
  <c r="A161" i="6" s="1"/>
  <c r="GI142" i="1"/>
  <c r="A124" i="6" s="1"/>
  <c r="GI141" i="1"/>
  <c r="A123" i="6" s="1"/>
  <c r="GI107" i="1"/>
  <c r="A89" i="6" s="1"/>
  <c r="GI105" i="1"/>
  <c r="A87" i="6" s="1"/>
  <c r="GI101" i="1"/>
  <c r="A83" i="6" s="1"/>
  <c r="GI93" i="1"/>
  <c r="A75" i="6" s="1"/>
  <c r="GI89" i="1"/>
  <c r="A71" i="6" s="1"/>
  <c r="GI82" i="1"/>
  <c r="A64" i="6" s="1"/>
  <c r="GI47" i="1"/>
  <c r="A29" i="6" s="1"/>
  <c r="GI56" i="1"/>
  <c r="A38" i="6" s="1"/>
  <c r="GI54" i="1"/>
  <c r="A36" i="6" s="1"/>
  <c r="GI51" i="1"/>
  <c r="A33" i="6" s="1"/>
  <c r="GI2" i="1"/>
  <c r="A2" i="6" s="1"/>
  <c r="ES280" i="1"/>
  <c r="ES258" i="1"/>
  <c r="ES260" i="1"/>
  <c r="ES252" i="1"/>
  <c r="ES2" i="1"/>
  <c r="ES48" i="1"/>
  <c r="ES44" i="1"/>
  <c r="FR98" i="1"/>
  <c r="GI4" i="1"/>
  <c r="EK4" i="1"/>
  <c r="ES6" i="1"/>
  <c r="GI7" i="1"/>
  <c r="ES7" i="1"/>
  <c r="ES9" i="1"/>
  <c r="GI10" i="1"/>
  <c r="GI12" i="1"/>
  <c r="GI13" i="1"/>
  <c r="EK13" i="1"/>
  <c r="ES15" i="1"/>
  <c r="GI19" i="1"/>
  <c r="GI20" i="1"/>
  <c r="A3" i="6" s="1"/>
  <c r="ES22" i="1"/>
  <c r="ES23" i="1"/>
  <c r="EK24" i="1"/>
  <c r="GI25" i="1"/>
  <c r="A7" i="6" s="1"/>
  <c r="GI28" i="1"/>
  <c r="A10" i="6" s="1"/>
  <c r="GI31" i="1"/>
  <c r="A13" i="6" s="1"/>
  <c r="ES33" i="1"/>
  <c r="GI36" i="1"/>
  <c r="A18" i="6" s="1"/>
  <c r="GI39" i="1"/>
  <c r="A21" i="6" s="1"/>
  <c r="ES41" i="1"/>
  <c r="EK45" i="1"/>
  <c r="GI49" i="1"/>
  <c r="A31" i="6" s="1"/>
  <c r="ES50" i="1"/>
  <c r="GI52" i="1"/>
  <c r="A34" i="6" s="1"/>
  <c r="GI60" i="1"/>
  <c r="A42" i="6" s="1"/>
  <c r="ES4" i="1"/>
  <c r="GI5" i="1"/>
  <c r="ES8" i="1"/>
  <c r="GI9" i="1"/>
  <c r="EK12" i="1"/>
  <c r="ES12" i="1"/>
  <c r="EK14" i="1"/>
  <c r="EP15" i="1"/>
  <c r="GI15" i="1"/>
  <c r="EK16" i="1"/>
  <c r="ES16" i="1"/>
  <c r="ES18" i="1"/>
  <c r="ES20" i="1"/>
  <c r="ES21" i="1"/>
  <c r="GI23" i="1"/>
  <c r="A5" i="6" s="1"/>
  <c r="EP23" i="1"/>
  <c r="EJ25" i="1"/>
  <c r="EK25" i="1" s="1"/>
  <c r="FQ25" i="1"/>
  <c r="GI26" i="1"/>
  <c r="A8" i="6" s="1"/>
  <c r="GI30" i="1"/>
  <c r="A12" i="6" s="1"/>
  <c r="GI33" i="1"/>
  <c r="A15" i="6" s="1"/>
  <c r="ES35" i="1"/>
  <c r="GI38" i="1"/>
  <c r="A20" i="6" s="1"/>
  <c r="GI41" i="1"/>
  <c r="A23" i="6" s="1"/>
  <c r="ES43" i="1"/>
  <c r="GI45" i="1"/>
  <c r="A27" i="6" s="1"/>
  <c r="EK46" i="1"/>
  <c r="ES47" i="1"/>
  <c r="GI50" i="1"/>
  <c r="A32" i="6" s="1"/>
  <c r="GI58" i="1"/>
  <c r="A40" i="6" s="1"/>
  <c r="EJ6" i="1"/>
  <c r="EK6" i="1" s="1"/>
  <c r="EK7" i="1"/>
  <c r="GI8" i="1"/>
  <c r="EK9" i="1"/>
  <c r="ES11" i="1"/>
  <c r="EK11" i="1"/>
  <c r="ES14" i="1"/>
  <c r="GI16" i="1"/>
  <c r="ES17" i="1"/>
  <c r="GI18" i="1"/>
  <c r="EJ19" i="1"/>
  <c r="EK19" i="1" s="1"/>
  <c r="EK20" i="1"/>
  <c r="GI21" i="1"/>
  <c r="EJ23" i="1"/>
  <c r="EK23" i="1" s="1"/>
  <c r="FR23" i="1"/>
  <c r="GI24" i="1"/>
  <c r="A6" i="6" s="1"/>
  <c r="ES26" i="1"/>
  <c r="ES27" i="1"/>
  <c r="FR28" i="1"/>
  <c r="ES29" i="1"/>
  <c r="GI32" i="1"/>
  <c r="A14" i="6" s="1"/>
  <c r="GI35" i="1"/>
  <c r="A17" i="6" s="1"/>
  <c r="FR36" i="1"/>
  <c r="ES37" i="1"/>
  <c r="GI40" i="1"/>
  <c r="A22" i="6" s="1"/>
  <c r="GI43" i="1"/>
  <c r="A25" i="6" s="1"/>
  <c r="FR44" i="1"/>
  <c r="ES46" i="1"/>
  <c r="GI48" i="1"/>
  <c r="A30" i="6" s="1"/>
  <c r="EK54" i="1"/>
  <c r="EU6" i="1"/>
  <c r="GE7" i="1"/>
  <c r="EN8" i="1"/>
  <c r="EP8" i="1" s="1"/>
  <c r="FI8" i="1"/>
  <c r="GE8" i="1"/>
  <c r="EN9" i="1"/>
  <c r="EP9" i="1" s="1"/>
  <c r="FI9" i="1"/>
  <c r="GE9" i="1"/>
  <c r="GA10" i="1"/>
  <c r="EO11" i="1"/>
  <c r="FY12" i="1"/>
  <c r="GA14" i="1"/>
  <c r="FT16" i="1"/>
  <c r="EW17" i="1"/>
  <c r="FI18" i="1"/>
  <c r="EE20" i="1"/>
  <c r="EE22" i="1"/>
  <c r="EE24" i="1"/>
  <c r="EU25" i="1"/>
  <c r="EE26" i="1"/>
  <c r="EU27" i="1"/>
  <c r="GE27" i="1"/>
  <c r="GA29" i="1"/>
  <c r="EU31" i="1"/>
  <c r="GA31" i="1"/>
  <c r="EO32" i="1"/>
  <c r="GC32" i="1"/>
  <c r="EE35" i="1"/>
  <c r="EU37" i="1"/>
  <c r="GE37" i="1"/>
  <c r="GC38" i="1"/>
  <c r="EY40" i="1"/>
  <c r="FY40" i="1"/>
  <c r="EE41" i="1"/>
  <c r="GA41" i="1"/>
  <c r="EO42" i="1"/>
  <c r="EE44" i="1"/>
  <c r="EE48" i="1"/>
  <c r="GE48" i="1"/>
  <c r="EU49" i="1"/>
  <c r="FG50" i="1"/>
  <c r="EU52" i="1"/>
  <c r="FY52" i="1"/>
  <c r="FG53" i="1"/>
  <c r="GE53" i="1"/>
  <c r="EU56" i="1"/>
  <c r="EW57" i="1"/>
  <c r="EU286" i="1"/>
  <c r="EU285" i="1"/>
  <c r="EU278" i="1"/>
  <c r="EU277" i="1"/>
  <c r="EU270" i="1"/>
  <c r="EU287" i="1"/>
  <c r="EU279" i="1"/>
  <c r="EU283" i="1"/>
  <c r="EU276" i="1"/>
  <c r="EU281" i="1"/>
  <c r="EU273" i="1"/>
  <c r="EU284" i="1"/>
  <c r="EU275" i="1"/>
  <c r="EU282" i="1"/>
  <c r="EU267" i="1"/>
  <c r="EU274" i="1"/>
  <c r="EU261" i="1"/>
  <c r="EU253" i="1"/>
  <c r="EU259" i="1"/>
  <c r="EU247" i="1"/>
  <c r="EU229" i="1"/>
  <c r="EU257" i="1"/>
  <c r="EU249" i="1"/>
  <c r="EU263" i="1"/>
  <c r="EU243" i="1"/>
  <c r="EU235" i="1"/>
  <c r="EU231" i="1"/>
  <c r="EU226" i="1"/>
  <c r="EU225" i="1"/>
  <c r="EU255" i="1"/>
  <c r="EU245" i="1"/>
  <c r="EU237" i="1"/>
  <c r="EU227" i="1"/>
  <c r="EU219" i="1"/>
  <c r="EU239" i="1"/>
  <c r="EU233" i="1"/>
  <c r="EU221" i="1"/>
  <c r="EU265" i="1"/>
  <c r="EU251" i="1"/>
  <c r="EU223" i="1"/>
  <c r="EU215" i="1"/>
  <c r="EU207" i="1"/>
  <c r="EU217" i="1"/>
  <c r="EU209" i="1"/>
  <c r="EU211" i="1"/>
  <c r="EU205" i="1"/>
  <c r="EU203" i="1"/>
  <c r="EU241" i="1"/>
  <c r="EU224" i="1"/>
  <c r="EU213" i="1"/>
  <c r="EU197" i="1"/>
  <c r="EU195" i="1"/>
  <c r="EU193" i="1"/>
  <c r="EU191" i="1"/>
  <c r="EU189" i="1"/>
  <c r="EU187" i="1"/>
  <c r="EU185" i="1"/>
  <c r="EU183" i="1"/>
  <c r="EU181" i="1"/>
  <c r="EU179" i="1"/>
  <c r="EU177" i="1"/>
  <c r="EU201" i="1"/>
  <c r="EU199" i="1"/>
  <c r="EU175" i="1"/>
  <c r="EU169" i="1"/>
  <c r="EU167" i="1"/>
  <c r="EU165" i="1"/>
  <c r="EU163" i="1"/>
  <c r="EU161" i="1"/>
  <c r="EU171" i="1"/>
  <c r="EU173" i="1"/>
  <c r="EU140" i="1"/>
  <c r="EU138" i="1"/>
  <c r="EU136" i="1"/>
  <c r="EY286" i="1"/>
  <c r="EY285" i="1"/>
  <c r="EY278" i="1"/>
  <c r="EY277" i="1"/>
  <c r="EY270" i="1"/>
  <c r="EY287" i="1"/>
  <c r="EY279" i="1"/>
  <c r="EY283" i="1"/>
  <c r="EY284" i="1"/>
  <c r="EY275" i="1"/>
  <c r="EY276" i="1"/>
  <c r="EY274" i="1"/>
  <c r="EY273" i="1"/>
  <c r="EY281" i="1"/>
  <c r="EY267" i="1"/>
  <c r="EY265" i="1"/>
  <c r="EY263" i="1"/>
  <c r="EY255" i="1"/>
  <c r="EY251" i="1"/>
  <c r="EY233" i="1"/>
  <c r="EY231" i="1"/>
  <c r="EY261" i="1"/>
  <c r="EY253" i="1"/>
  <c r="EY229" i="1"/>
  <c r="EY259" i="1"/>
  <c r="EY247" i="1"/>
  <c r="EY249" i="1"/>
  <c r="EY226" i="1"/>
  <c r="EY225" i="1"/>
  <c r="EY257" i="1"/>
  <c r="EY227" i="1"/>
  <c r="EY219" i="1"/>
  <c r="EY221" i="1"/>
  <c r="EY224" i="1"/>
  <c r="EY213" i="1"/>
  <c r="EY223" i="1"/>
  <c r="EY215" i="1"/>
  <c r="EY207" i="1"/>
  <c r="EY217" i="1"/>
  <c r="EY209" i="1"/>
  <c r="EY211" i="1"/>
  <c r="EY195" i="1"/>
  <c r="EY193" i="1"/>
  <c r="EY191" i="1"/>
  <c r="EY189" i="1"/>
  <c r="EY187" i="1"/>
  <c r="EY185" i="1"/>
  <c r="EY183" i="1"/>
  <c r="EY181" i="1"/>
  <c r="EY179" i="1"/>
  <c r="EY177" i="1"/>
  <c r="EY173" i="1"/>
  <c r="EY175" i="1"/>
  <c r="EY167" i="1"/>
  <c r="EY165" i="1"/>
  <c r="EY163" i="1"/>
  <c r="EY161" i="1"/>
  <c r="EY171" i="1"/>
  <c r="EY138" i="1"/>
  <c r="EY136" i="1"/>
  <c r="EY134" i="1"/>
  <c r="EY132" i="1"/>
  <c r="EY77" i="1"/>
  <c r="EY75" i="1"/>
  <c r="EY73" i="1"/>
  <c r="EY71" i="1"/>
  <c r="EY69" i="1"/>
  <c r="EY67" i="1"/>
  <c r="FG2" i="1"/>
  <c r="FK2" i="1"/>
  <c r="FT2" i="1"/>
  <c r="FY2" i="1"/>
  <c r="GC2" i="1"/>
  <c r="EN6" i="1"/>
  <c r="EP6" i="1" s="1"/>
  <c r="FE6" i="1"/>
  <c r="FI6" i="1"/>
  <c r="GE6" i="1"/>
  <c r="EN277" i="1"/>
  <c r="EN285" i="1"/>
  <c r="EN289" i="1"/>
  <c r="EN270" i="1"/>
  <c r="EN262" i="1"/>
  <c r="EN260" i="1"/>
  <c r="EN258" i="1"/>
  <c r="EN256" i="1"/>
  <c r="EN254" i="1"/>
  <c r="EN252" i="1"/>
  <c r="EN250" i="1"/>
  <c r="EN248" i="1"/>
  <c r="EN272" i="1"/>
  <c r="EN266" i="1"/>
  <c r="EN246" i="1"/>
  <c r="EN244" i="1"/>
  <c r="EN242" i="1"/>
  <c r="EN240" i="1"/>
  <c r="EN238" i="1"/>
  <c r="EN236" i="1"/>
  <c r="EN234" i="1"/>
  <c r="EN232" i="1"/>
  <c r="EN230" i="1"/>
  <c r="EN229" i="1"/>
  <c r="EN214" i="1"/>
  <c r="EN212" i="1"/>
  <c r="EN210" i="1"/>
  <c r="EN208" i="1"/>
  <c r="EN251" i="1"/>
  <c r="EN225" i="1"/>
  <c r="EN227" i="1"/>
  <c r="EN215" i="1"/>
  <c r="EN207" i="1"/>
  <c r="EN209" i="1"/>
  <c r="EN206" i="1"/>
  <c r="EN204" i="1"/>
  <c r="EN202" i="1"/>
  <c r="EN200" i="1"/>
  <c r="EN198" i="1"/>
  <c r="EN195" i="1"/>
  <c r="EN193" i="1"/>
  <c r="EN191" i="1"/>
  <c r="EN189" i="1"/>
  <c r="EN180" i="1"/>
  <c r="EN178" i="1"/>
  <c r="EN176" i="1"/>
  <c r="EN174" i="1"/>
  <c r="EN172" i="1"/>
  <c r="EN187" i="1"/>
  <c r="EN185" i="1"/>
  <c r="EN179" i="1"/>
  <c r="EN170" i="1"/>
  <c r="EN168" i="1"/>
  <c r="EN166" i="1"/>
  <c r="EN164" i="1"/>
  <c r="EN162" i="1"/>
  <c r="EN159" i="1"/>
  <c r="EN157" i="1"/>
  <c r="EN155" i="1"/>
  <c r="EN153" i="1"/>
  <c r="EN151" i="1"/>
  <c r="EN183" i="1"/>
  <c r="EN181" i="1"/>
  <c r="EN177" i="1"/>
  <c r="EN146" i="1"/>
  <c r="EN144" i="1"/>
  <c r="EN149" i="1"/>
  <c r="EN142" i="1"/>
  <c r="EN141" i="1"/>
  <c r="EN139" i="1"/>
  <c r="EN137" i="1"/>
  <c r="EN135" i="1"/>
  <c r="EN134" i="1"/>
  <c r="EN133" i="1"/>
  <c r="EN132" i="1"/>
  <c r="EN130" i="1"/>
  <c r="EN128" i="1"/>
  <c r="EN126" i="1"/>
  <c r="EN124" i="1"/>
  <c r="EN122" i="1"/>
  <c r="EN120" i="1"/>
  <c r="EN118" i="1"/>
  <c r="EN116" i="1"/>
  <c r="EN147" i="1"/>
  <c r="EN145" i="1"/>
  <c r="EN143" i="1"/>
  <c r="EN131" i="1"/>
  <c r="EN129" i="1"/>
  <c r="EN127" i="1"/>
  <c r="EN125" i="1"/>
  <c r="EN123" i="1"/>
  <c r="EN121" i="1"/>
  <c r="EN119" i="1"/>
  <c r="EN117" i="1"/>
  <c r="EN115" i="1"/>
  <c r="EN113" i="1"/>
  <c r="EN111" i="1"/>
  <c r="EN109" i="1"/>
  <c r="EN107" i="1"/>
  <c r="EN110" i="1"/>
  <c r="EN103" i="1"/>
  <c r="EN102" i="1"/>
  <c r="EN97" i="1"/>
  <c r="EN94" i="1"/>
  <c r="EN91" i="1"/>
  <c r="EN90" i="1"/>
  <c r="EN87" i="1"/>
  <c r="EN81" i="1"/>
  <c r="EN80" i="1"/>
  <c r="EN79" i="1"/>
  <c r="EN78" i="1"/>
  <c r="EN77" i="1"/>
  <c r="EN76" i="1"/>
  <c r="EN75" i="1"/>
  <c r="EN74" i="1"/>
  <c r="EN73" i="1"/>
  <c r="EN72" i="1"/>
  <c r="EN71" i="1"/>
  <c r="EN70" i="1"/>
  <c r="EN69" i="1"/>
  <c r="EN68" i="1"/>
  <c r="EN67" i="1"/>
  <c r="EN66" i="1"/>
  <c r="EN64" i="1"/>
  <c r="EN62" i="1"/>
  <c r="EN60" i="1"/>
  <c r="EN58" i="1"/>
  <c r="EN56" i="1"/>
  <c r="EN54" i="1"/>
  <c r="EN108" i="1"/>
  <c r="EN106" i="1"/>
  <c r="EN100" i="1"/>
  <c r="EN95" i="1"/>
  <c r="EN85" i="1"/>
  <c r="EN84" i="1"/>
  <c r="EN114" i="1"/>
  <c r="EN105" i="1"/>
  <c r="EN104" i="1"/>
  <c r="EN101" i="1"/>
  <c r="EN98" i="1"/>
  <c r="EN93" i="1"/>
  <c r="EN92" i="1"/>
  <c r="EN89" i="1"/>
  <c r="EN88" i="1"/>
  <c r="EN65" i="1"/>
  <c r="EN63" i="1"/>
  <c r="EN112" i="1"/>
  <c r="EN99" i="1"/>
  <c r="EN96" i="1"/>
  <c r="EN86" i="1"/>
  <c r="EN83" i="1"/>
  <c r="EN82" i="1"/>
  <c r="EU2" i="1"/>
  <c r="EY2" i="1"/>
  <c r="FE289" i="1"/>
  <c r="FE287" i="1"/>
  <c r="FE279" i="1"/>
  <c r="FE288" i="1"/>
  <c r="FE277" i="1"/>
  <c r="FE285" i="1"/>
  <c r="FE262" i="1"/>
  <c r="FE260" i="1"/>
  <c r="FE258" i="1"/>
  <c r="FE256" i="1"/>
  <c r="FE254" i="1"/>
  <c r="FE252" i="1"/>
  <c r="FE250" i="1"/>
  <c r="FE248" i="1"/>
  <c r="FE275" i="1"/>
  <c r="FE272" i="1"/>
  <c r="FE266" i="1"/>
  <c r="FE270" i="1"/>
  <c r="FE247" i="1"/>
  <c r="FE251" i="1"/>
  <c r="FE246" i="1"/>
  <c r="FE241" i="1"/>
  <c r="FE238" i="1"/>
  <c r="FE229" i="1"/>
  <c r="FE214" i="1"/>
  <c r="FE212" i="1"/>
  <c r="FE210" i="1"/>
  <c r="FE208" i="1"/>
  <c r="FE243" i="1"/>
  <c r="FE240" i="1"/>
  <c r="FE235" i="1"/>
  <c r="FE234" i="1"/>
  <c r="FE231" i="1"/>
  <c r="FE230" i="1"/>
  <c r="FE245" i="1"/>
  <c r="FE242" i="1"/>
  <c r="FE237" i="1"/>
  <c r="FE244" i="1"/>
  <c r="FE232" i="1"/>
  <c r="FE215" i="1"/>
  <c r="FE207" i="1"/>
  <c r="FE239" i="1"/>
  <c r="FE236" i="1"/>
  <c r="FE225" i="1"/>
  <c r="FE217" i="1"/>
  <c r="FE233" i="1"/>
  <c r="FE211" i="1"/>
  <c r="FE206" i="1"/>
  <c r="FE205" i="1"/>
  <c r="FE204" i="1"/>
  <c r="FE203" i="1"/>
  <c r="FE199" i="1"/>
  <c r="FE195" i="1"/>
  <c r="FE193" i="1"/>
  <c r="FE191" i="1"/>
  <c r="FE189" i="1"/>
  <c r="FE202" i="1"/>
  <c r="FE197" i="1"/>
  <c r="FE180" i="1"/>
  <c r="FE178" i="1"/>
  <c r="FE176" i="1"/>
  <c r="FE174" i="1"/>
  <c r="FE172" i="1"/>
  <c r="FE201" i="1"/>
  <c r="FE200" i="1"/>
  <c r="FE198" i="1"/>
  <c r="FE185" i="1"/>
  <c r="FE179" i="1"/>
  <c r="FE175" i="1"/>
  <c r="FE170" i="1"/>
  <c r="FE169" i="1"/>
  <c r="FE168" i="1"/>
  <c r="FE167" i="1"/>
  <c r="FE166" i="1"/>
  <c r="FE165" i="1"/>
  <c r="FE164" i="1"/>
  <c r="FE163" i="1"/>
  <c r="FE162" i="1"/>
  <c r="FE161" i="1"/>
  <c r="FE160" i="1"/>
  <c r="FE183" i="1"/>
  <c r="FE159" i="1"/>
  <c r="FE157" i="1"/>
  <c r="FE155" i="1"/>
  <c r="FE153" i="1"/>
  <c r="FE151" i="1"/>
  <c r="FE181" i="1"/>
  <c r="FE177" i="1"/>
  <c r="FE171" i="1"/>
  <c r="FE187" i="1"/>
  <c r="FE146" i="1"/>
  <c r="FE144" i="1"/>
  <c r="FE147" i="1"/>
  <c r="FE145" i="1"/>
  <c r="FE143" i="1"/>
  <c r="FE140" i="1"/>
  <c r="FE130" i="1"/>
  <c r="FE128" i="1"/>
  <c r="FE126" i="1"/>
  <c r="FE124" i="1"/>
  <c r="FE122" i="1"/>
  <c r="FE120" i="1"/>
  <c r="FE118" i="1"/>
  <c r="FE116" i="1"/>
  <c r="FE142" i="1"/>
  <c r="FE141" i="1"/>
  <c r="FE129" i="1"/>
  <c r="FE127" i="1"/>
  <c r="FE125" i="1"/>
  <c r="FE123" i="1"/>
  <c r="FE121" i="1"/>
  <c r="FE119" i="1"/>
  <c r="FE117" i="1"/>
  <c r="FE115" i="1"/>
  <c r="FE113" i="1"/>
  <c r="FE111" i="1"/>
  <c r="FE109" i="1"/>
  <c r="FE107" i="1"/>
  <c r="FE149" i="1"/>
  <c r="FE139" i="1"/>
  <c r="FE138" i="1"/>
  <c r="FE137" i="1"/>
  <c r="FE136" i="1"/>
  <c r="FE135" i="1"/>
  <c r="FE133" i="1"/>
  <c r="FE131" i="1"/>
  <c r="FE108" i="1"/>
  <c r="FE106" i="1"/>
  <c r="FE105" i="1"/>
  <c r="FE104" i="1"/>
  <c r="FE101" i="1"/>
  <c r="FE98" i="1"/>
  <c r="FE93" i="1"/>
  <c r="FE92" i="1"/>
  <c r="FE89" i="1"/>
  <c r="FE88" i="1"/>
  <c r="FE66" i="1"/>
  <c r="FE64" i="1"/>
  <c r="FE62" i="1"/>
  <c r="FE60" i="1"/>
  <c r="FE58" i="1"/>
  <c r="FE56" i="1"/>
  <c r="FE54" i="1"/>
  <c r="FE114" i="1"/>
  <c r="FE99" i="1"/>
  <c r="FE96" i="1"/>
  <c r="FE86" i="1"/>
  <c r="FE83" i="1"/>
  <c r="FE82" i="1"/>
  <c r="FE112" i="1"/>
  <c r="FE103" i="1"/>
  <c r="FE102" i="1"/>
  <c r="FE97" i="1"/>
  <c r="FE94" i="1"/>
  <c r="FE91" i="1"/>
  <c r="FE90" i="1"/>
  <c r="FE87" i="1"/>
  <c r="FE65" i="1"/>
  <c r="FE63" i="1"/>
  <c r="FE110" i="1"/>
  <c r="FE100" i="1"/>
  <c r="FE95" i="1"/>
  <c r="FE85" i="1"/>
  <c r="FE84" i="1"/>
  <c r="FE80" i="1"/>
  <c r="FE78" i="1"/>
  <c r="FE76" i="1"/>
  <c r="FE74" i="1"/>
  <c r="FE72" i="1"/>
  <c r="FE70" i="1"/>
  <c r="FE68" i="1"/>
  <c r="FI285" i="1"/>
  <c r="FI277" i="1"/>
  <c r="FI289" i="1"/>
  <c r="FI283" i="1"/>
  <c r="FI275" i="1"/>
  <c r="FI272" i="1"/>
  <c r="FI270" i="1"/>
  <c r="FI288" i="1"/>
  <c r="FI262" i="1"/>
  <c r="FI260" i="1"/>
  <c r="FI258" i="1"/>
  <c r="FI256" i="1"/>
  <c r="FI254" i="1"/>
  <c r="FI252" i="1"/>
  <c r="FI250" i="1"/>
  <c r="FI248" i="1"/>
  <c r="FI266" i="1"/>
  <c r="FI251" i="1"/>
  <c r="FI273" i="1"/>
  <c r="FI244" i="1"/>
  <c r="FI239" i="1"/>
  <c r="FI236" i="1"/>
  <c r="FI233" i="1"/>
  <c r="FI232" i="1"/>
  <c r="FI214" i="1"/>
  <c r="FI212" i="1"/>
  <c r="FI210" i="1"/>
  <c r="FI208" i="1"/>
  <c r="FI249" i="1"/>
  <c r="FI246" i="1"/>
  <c r="FI241" i="1"/>
  <c r="FI238" i="1"/>
  <c r="FI229" i="1"/>
  <c r="FI243" i="1"/>
  <c r="FI240" i="1"/>
  <c r="FI235" i="1"/>
  <c r="FI234" i="1"/>
  <c r="FI231" i="1"/>
  <c r="FI230" i="1"/>
  <c r="FI245" i="1"/>
  <c r="FI237" i="1"/>
  <c r="FI213" i="1"/>
  <c r="FI242" i="1"/>
  <c r="FI223" i="1"/>
  <c r="FI217" i="1"/>
  <c r="FI209" i="1"/>
  <c r="FI206" i="1"/>
  <c r="FI205" i="1"/>
  <c r="FI204" i="1"/>
  <c r="FI203" i="1"/>
  <c r="FI202" i="1"/>
  <c r="FI201" i="1"/>
  <c r="FI200" i="1"/>
  <c r="FI199" i="1"/>
  <c r="FI195" i="1"/>
  <c r="FI193" i="1"/>
  <c r="FI191" i="1"/>
  <c r="FI189" i="1"/>
  <c r="FI197" i="1"/>
  <c r="FI180" i="1"/>
  <c r="FI178" i="1"/>
  <c r="FI176" i="1"/>
  <c r="FI174" i="1"/>
  <c r="FI172" i="1"/>
  <c r="FI198" i="1"/>
  <c r="FI187" i="1"/>
  <c r="FI170" i="1"/>
  <c r="FI169" i="1"/>
  <c r="FI168" i="1"/>
  <c r="FI167" i="1"/>
  <c r="FI166" i="1"/>
  <c r="FI165" i="1"/>
  <c r="FI164" i="1"/>
  <c r="FI163" i="1"/>
  <c r="FI162" i="1"/>
  <c r="FI161" i="1"/>
  <c r="FI160" i="1"/>
  <c r="FI185" i="1"/>
  <c r="FI179" i="1"/>
  <c r="FI159" i="1"/>
  <c r="FI157" i="1"/>
  <c r="FI155" i="1"/>
  <c r="FI153" i="1"/>
  <c r="FI151" i="1"/>
  <c r="FI183" i="1"/>
  <c r="FI181" i="1"/>
  <c r="FI177" i="1"/>
  <c r="FI146" i="1"/>
  <c r="FI144" i="1"/>
  <c r="FI149" i="1"/>
  <c r="FI143" i="1"/>
  <c r="FI140" i="1"/>
  <c r="FI130" i="1"/>
  <c r="FI128" i="1"/>
  <c r="FI126" i="1"/>
  <c r="FI124" i="1"/>
  <c r="FI122" i="1"/>
  <c r="FI120" i="1"/>
  <c r="FI118" i="1"/>
  <c r="FI116" i="1"/>
  <c r="FI147" i="1"/>
  <c r="FI145" i="1"/>
  <c r="FI142" i="1"/>
  <c r="FI141" i="1"/>
  <c r="FI129" i="1"/>
  <c r="FI127" i="1"/>
  <c r="FI125" i="1"/>
  <c r="FI123" i="1"/>
  <c r="FI121" i="1"/>
  <c r="FI119" i="1"/>
  <c r="FI117" i="1"/>
  <c r="FI115" i="1"/>
  <c r="FI113" i="1"/>
  <c r="FI111" i="1"/>
  <c r="FI109" i="1"/>
  <c r="FI107" i="1"/>
  <c r="FI105" i="1"/>
  <c r="FI139" i="1"/>
  <c r="FI138" i="1"/>
  <c r="FI137" i="1"/>
  <c r="FI136" i="1"/>
  <c r="FI135" i="1"/>
  <c r="FI133" i="1"/>
  <c r="FI131" i="1"/>
  <c r="FI110" i="1"/>
  <c r="FI104" i="1"/>
  <c r="FI101" i="1"/>
  <c r="FI98" i="1"/>
  <c r="FI93" i="1"/>
  <c r="FI92" i="1"/>
  <c r="FI89" i="1"/>
  <c r="FI88" i="1"/>
  <c r="FI66" i="1"/>
  <c r="FI64" i="1"/>
  <c r="FI62" i="1"/>
  <c r="FI60" i="1"/>
  <c r="FI58" i="1"/>
  <c r="FI56" i="1"/>
  <c r="FI54" i="1"/>
  <c r="FI108" i="1"/>
  <c r="FI106" i="1"/>
  <c r="FI99" i="1"/>
  <c r="FI96" i="1"/>
  <c r="FI86" i="1"/>
  <c r="FI83" i="1"/>
  <c r="FI82" i="1"/>
  <c r="FI114" i="1"/>
  <c r="FI103" i="1"/>
  <c r="FI102" i="1"/>
  <c r="FI97" i="1"/>
  <c r="FI94" i="1"/>
  <c r="FI91" i="1"/>
  <c r="FI90" i="1"/>
  <c r="FI87" i="1"/>
  <c r="FI65" i="1"/>
  <c r="FI63" i="1"/>
  <c r="FI112" i="1"/>
  <c r="FI100" i="1"/>
  <c r="FI95" i="1"/>
  <c r="FI85" i="1"/>
  <c r="FI84" i="1"/>
  <c r="FI81" i="1"/>
  <c r="FI80" i="1"/>
  <c r="FI78" i="1"/>
  <c r="FI76" i="1"/>
  <c r="FI74" i="1"/>
  <c r="FI72" i="1"/>
  <c r="FI70" i="1"/>
  <c r="FI68" i="1"/>
  <c r="GA289" i="1"/>
  <c r="GA288" i="1"/>
  <c r="GA285" i="1"/>
  <c r="GA277" i="1"/>
  <c r="GA283" i="1"/>
  <c r="GA270" i="1"/>
  <c r="GA281" i="1"/>
  <c r="GA275" i="1"/>
  <c r="GA268" i="1"/>
  <c r="GA266" i="1"/>
  <c r="GA262" i="1"/>
  <c r="GA260" i="1"/>
  <c r="GA258" i="1"/>
  <c r="GA256" i="1"/>
  <c r="GA254" i="1"/>
  <c r="GA252" i="1"/>
  <c r="GA250" i="1"/>
  <c r="GA248" i="1"/>
  <c r="GA272" i="1"/>
  <c r="GA246" i="1"/>
  <c r="GA244" i="1"/>
  <c r="GA242" i="1"/>
  <c r="GA240" i="1"/>
  <c r="GA238" i="1"/>
  <c r="GA236" i="1"/>
  <c r="GA234" i="1"/>
  <c r="GA232" i="1"/>
  <c r="GA230" i="1"/>
  <c r="GA249" i="1"/>
  <c r="GA245" i="1"/>
  <c r="GA243" i="1"/>
  <c r="GA241" i="1"/>
  <c r="GA239" i="1"/>
  <c r="GA237" i="1"/>
  <c r="GA235" i="1"/>
  <c r="GA233" i="1"/>
  <c r="GA231" i="1"/>
  <c r="GA229" i="1"/>
  <c r="GA265" i="1"/>
  <c r="GA214" i="1"/>
  <c r="GA212" i="1"/>
  <c r="GA210" i="1"/>
  <c r="GA208" i="1"/>
  <c r="GA209" i="1"/>
  <c r="GA205" i="1"/>
  <c r="GA203" i="1"/>
  <c r="GA223" i="1"/>
  <c r="GA213" i="1"/>
  <c r="GA206" i="1"/>
  <c r="GA204" i="1"/>
  <c r="GA202" i="1"/>
  <c r="GA200" i="1"/>
  <c r="GA198" i="1"/>
  <c r="GA195" i="1"/>
  <c r="GA193" i="1"/>
  <c r="GA191" i="1"/>
  <c r="GA189" i="1"/>
  <c r="GA187" i="1"/>
  <c r="GA180" i="1"/>
  <c r="GA178" i="1"/>
  <c r="GA176" i="1"/>
  <c r="GA174" i="1"/>
  <c r="GA172" i="1"/>
  <c r="GA185" i="1"/>
  <c r="GA179" i="1"/>
  <c r="GA183" i="1"/>
  <c r="GA170" i="1"/>
  <c r="GA168" i="1"/>
  <c r="GA166" i="1"/>
  <c r="GA164" i="1"/>
  <c r="GA162" i="1"/>
  <c r="GA160" i="1"/>
  <c r="GA159" i="1"/>
  <c r="GA157" i="1"/>
  <c r="GA155" i="1"/>
  <c r="GA153" i="1"/>
  <c r="GA151" i="1"/>
  <c r="GA181" i="1"/>
  <c r="GA177" i="1"/>
  <c r="GA173" i="1"/>
  <c r="GA169" i="1"/>
  <c r="GA167" i="1"/>
  <c r="GA146" i="1"/>
  <c r="GA144" i="1"/>
  <c r="GA145" i="1"/>
  <c r="GA141" i="1"/>
  <c r="GA139" i="1"/>
  <c r="GA137" i="1"/>
  <c r="GA135" i="1"/>
  <c r="GA133" i="1"/>
  <c r="GA131" i="1"/>
  <c r="GA130" i="1"/>
  <c r="GA128" i="1"/>
  <c r="GA126" i="1"/>
  <c r="GA124" i="1"/>
  <c r="GA122" i="1"/>
  <c r="GA120" i="1"/>
  <c r="GA118" i="1"/>
  <c r="GA116" i="1"/>
  <c r="GA142" i="1"/>
  <c r="GA149" i="1"/>
  <c r="GA143" i="1"/>
  <c r="GA129" i="1"/>
  <c r="GA127" i="1"/>
  <c r="GA125" i="1"/>
  <c r="GA123" i="1"/>
  <c r="GA121" i="1"/>
  <c r="GA119" i="1"/>
  <c r="GA117" i="1"/>
  <c r="GA115" i="1"/>
  <c r="GA113" i="1"/>
  <c r="GA111" i="1"/>
  <c r="GA109" i="1"/>
  <c r="GA107" i="1"/>
  <c r="GA105" i="1"/>
  <c r="GA147" i="1"/>
  <c r="GA140" i="1"/>
  <c r="GA106" i="1"/>
  <c r="GA102" i="1"/>
  <c r="GA99" i="1"/>
  <c r="GA96" i="1"/>
  <c r="GA90" i="1"/>
  <c r="GA86" i="1"/>
  <c r="GA83" i="1"/>
  <c r="GA80" i="1"/>
  <c r="GA78" i="1"/>
  <c r="GA76" i="1"/>
  <c r="GA74" i="1"/>
  <c r="GA72" i="1"/>
  <c r="GA70" i="1"/>
  <c r="GA68" i="1"/>
  <c r="GA66" i="1"/>
  <c r="GA64" i="1"/>
  <c r="GA62" i="1"/>
  <c r="GA60" i="1"/>
  <c r="GA58" i="1"/>
  <c r="GA56" i="1"/>
  <c r="GA54" i="1"/>
  <c r="GA114" i="1"/>
  <c r="GA112" i="1"/>
  <c r="GA103" i="1"/>
  <c r="GA97" i="1"/>
  <c r="GA94" i="1"/>
  <c r="GA91" i="1"/>
  <c r="GA87" i="1"/>
  <c r="GA84" i="1"/>
  <c r="GA110" i="1"/>
  <c r="GA104" i="1"/>
  <c r="GA100" i="1"/>
  <c r="GA95" i="1"/>
  <c r="GA92" i="1"/>
  <c r="GA88" i="1"/>
  <c r="GA85" i="1"/>
  <c r="GA81" i="1"/>
  <c r="GA65" i="1"/>
  <c r="GA63" i="1"/>
  <c r="GA108" i="1"/>
  <c r="GA101" i="1"/>
  <c r="GA98" i="1"/>
  <c r="GA93" i="1"/>
  <c r="GA89" i="1"/>
  <c r="GA82" i="1"/>
  <c r="GE289" i="1"/>
  <c r="GE288" i="1"/>
  <c r="GE283" i="1"/>
  <c r="GE275" i="1"/>
  <c r="GE281" i="1"/>
  <c r="GE272" i="1"/>
  <c r="GE266" i="1"/>
  <c r="GE268" i="1"/>
  <c r="GE273" i="1"/>
  <c r="GE262" i="1"/>
  <c r="GE260" i="1"/>
  <c r="GE258" i="1"/>
  <c r="GE256" i="1"/>
  <c r="GE254" i="1"/>
  <c r="GE252" i="1"/>
  <c r="GE250" i="1"/>
  <c r="GE248" i="1"/>
  <c r="GE270" i="1"/>
  <c r="GE246" i="1"/>
  <c r="GE244" i="1"/>
  <c r="GE242" i="1"/>
  <c r="GE240" i="1"/>
  <c r="GE238" i="1"/>
  <c r="GE236" i="1"/>
  <c r="GE234" i="1"/>
  <c r="GE232" i="1"/>
  <c r="GE230" i="1"/>
  <c r="GE247" i="1"/>
  <c r="GE245" i="1"/>
  <c r="GE243" i="1"/>
  <c r="GE241" i="1"/>
  <c r="GE239" i="1"/>
  <c r="GE237" i="1"/>
  <c r="GE235" i="1"/>
  <c r="GE233" i="1"/>
  <c r="GE231" i="1"/>
  <c r="GE229" i="1"/>
  <c r="GE214" i="1"/>
  <c r="GE212" i="1"/>
  <c r="GE210" i="1"/>
  <c r="GE208" i="1"/>
  <c r="GE265" i="1"/>
  <c r="GE215" i="1"/>
  <c r="GE207" i="1"/>
  <c r="GE205" i="1"/>
  <c r="GE203" i="1"/>
  <c r="GE221" i="1"/>
  <c r="GE211" i="1"/>
  <c r="GE206" i="1"/>
  <c r="GE204" i="1"/>
  <c r="GE202" i="1"/>
  <c r="GE200" i="1"/>
  <c r="GE198" i="1"/>
  <c r="GE195" i="1"/>
  <c r="GE193" i="1"/>
  <c r="GE191" i="1"/>
  <c r="GE189" i="1"/>
  <c r="GE187" i="1"/>
  <c r="GE180" i="1"/>
  <c r="GE178" i="1"/>
  <c r="GE176" i="1"/>
  <c r="GE174" i="1"/>
  <c r="GE172" i="1"/>
  <c r="GE175" i="1"/>
  <c r="GE185" i="1"/>
  <c r="GE179" i="1"/>
  <c r="GE170" i="1"/>
  <c r="GE168" i="1"/>
  <c r="GE166" i="1"/>
  <c r="GE164" i="1"/>
  <c r="GE162" i="1"/>
  <c r="GE160" i="1"/>
  <c r="GE159" i="1"/>
  <c r="GE157" i="1"/>
  <c r="GE155" i="1"/>
  <c r="GE153" i="1"/>
  <c r="GE151" i="1"/>
  <c r="GE183" i="1"/>
  <c r="GE171" i="1"/>
  <c r="GE169" i="1"/>
  <c r="GE167" i="1"/>
  <c r="GE181" i="1"/>
  <c r="GE177" i="1"/>
  <c r="GE146" i="1"/>
  <c r="GE144" i="1"/>
  <c r="GE147" i="1"/>
  <c r="GE141" i="1"/>
  <c r="GE139" i="1"/>
  <c r="GE137" i="1"/>
  <c r="GE135" i="1"/>
  <c r="GE133" i="1"/>
  <c r="GE131" i="1"/>
  <c r="GE130" i="1"/>
  <c r="GE128" i="1"/>
  <c r="GE126" i="1"/>
  <c r="GE124" i="1"/>
  <c r="GE122" i="1"/>
  <c r="GE120" i="1"/>
  <c r="GE118" i="1"/>
  <c r="GE116" i="1"/>
  <c r="GE145" i="1"/>
  <c r="GE142" i="1"/>
  <c r="GE143" i="1"/>
  <c r="GE129" i="1"/>
  <c r="GE127" i="1"/>
  <c r="GE125" i="1"/>
  <c r="GE123" i="1"/>
  <c r="GE121" i="1"/>
  <c r="GE119" i="1"/>
  <c r="GE117" i="1"/>
  <c r="GE115" i="1"/>
  <c r="GE113" i="1"/>
  <c r="GE111" i="1"/>
  <c r="GE109" i="1"/>
  <c r="GE107" i="1"/>
  <c r="GE105" i="1"/>
  <c r="GE149" i="1"/>
  <c r="GE140" i="1"/>
  <c r="GE108" i="1"/>
  <c r="GE102" i="1"/>
  <c r="GE99" i="1"/>
  <c r="GE96" i="1"/>
  <c r="GE90" i="1"/>
  <c r="GE86" i="1"/>
  <c r="GE83" i="1"/>
  <c r="GE80" i="1"/>
  <c r="GE78" i="1"/>
  <c r="GE76" i="1"/>
  <c r="GE74" i="1"/>
  <c r="GE72" i="1"/>
  <c r="GE70" i="1"/>
  <c r="GE68" i="1"/>
  <c r="GE66" i="1"/>
  <c r="GE64" i="1"/>
  <c r="GE62" i="1"/>
  <c r="GE60" i="1"/>
  <c r="GE58" i="1"/>
  <c r="GE56" i="1"/>
  <c r="GE54" i="1"/>
  <c r="GE106" i="1"/>
  <c r="GE103" i="1"/>
  <c r="GE97" i="1"/>
  <c r="GE94" i="1"/>
  <c r="GE91" i="1"/>
  <c r="GE87" i="1"/>
  <c r="GE84" i="1"/>
  <c r="GE114" i="1"/>
  <c r="GE112" i="1"/>
  <c r="GE104" i="1"/>
  <c r="GE100" i="1"/>
  <c r="GE95" i="1"/>
  <c r="GE92" i="1"/>
  <c r="GE88" i="1"/>
  <c r="GE85" i="1"/>
  <c r="GE81" i="1"/>
  <c r="GE65" i="1"/>
  <c r="GE63" i="1"/>
  <c r="GE110" i="1"/>
  <c r="GE101" i="1"/>
  <c r="GE98" i="1"/>
  <c r="GE93" i="1"/>
  <c r="GE89" i="1"/>
  <c r="GE82" i="1"/>
  <c r="EJ27" i="1"/>
  <c r="EK27" i="1" s="1"/>
  <c r="EY27" i="1"/>
  <c r="FQ27" i="1"/>
  <c r="GC27" i="1"/>
  <c r="EE28" i="1"/>
  <c r="EU28" i="1"/>
  <c r="GA28" i="1"/>
  <c r="GE28" i="1"/>
  <c r="EO29" i="1"/>
  <c r="EY29" i="1"/>
  <c r="FQ29" i="1"/>
  <c r="GC29" i="1"/>
  <c r="EE30" i="1"/>
  <c r="EU30" i="1"/>
  <c r="FX30" i="1"/>
  <c r="FY30" i="1" s="1"/>
  <c r="GA30" i="1"/>
  <c r="GE30" i="1"/>
  <c r="EO31" i="1"/>
  <c r="EY31" i="1"/>
  <c r="FQ31" i="1"/>
  <c r="GC31" i="1"/>
  <c r="EE32" i="1"/>
  <c r="EU32" i="1"/>
  <c r="FX32" i="1"/>
  <c r="FY32" i="1" s="1"/>
  <c r="GA32" i="1"/>
  <c r="GE32" i="1"/>
  <c r="EO33" i="1"/>
  <c r="EY33" i="1"/>
  <c r="FQ33" i="1"/>
  <c r="GC33" i="1"/>
  <c r="EE34" i="1"/>
  <c r="EU34" i="1"/>
  <c r="FX34" i="1"/>
  <c r="FY34" i="1" s="1"/>
  <c r="GA34" i="1"/>
  <c r="GE34" i="1"/>
  <c r="EO35" i="1"/>
  <c r="EY35" i="1"/>
  <c r="FQ35" i="1"/>
  <c r="FR35" i="1" s="1"/>
  <c r="GC35" i="1"/>
  <c r="EE36" i="1"/>
  <c r="EU36" i="1"/>
  <c r="GA36" i="1"/>
  <c r="GE36" i="1"/>
  <c r="EO37" i="1"/>
  <c r="EY37" i="1"/>
  <c r="FQ37" i="1"/>
  <c r="FR37" i="1" s="1"/>
  <c r="GC37" i="1"/>
  <c r="EE38" i="1"/>
  <c r="EU38" i="1"/>
  <c r="GA38" i="1"/>
  <c r="GE38" i="1"/>
  <c r="EO39" i="1"/>
  <c r="EY39" i="1"/>
  <c r="FQ39" i="1"/>
  <c r="FR39" i="1" s="1"/>
  <c r="GC39" i="1"/>
  <c r="EE40" i="1"/>
  <c r="EU40" i="1"/>
  <c r="GA40" i="1"/>
  <c r="GE40" i="1"/>
  <c r="EO41" i="1"/>
  <c r="EY41" i="1"/>
  <c r="FQ41" i="1"/>
  <c r="FR41" i="1" s="1"/>
  <c r="GC41" i="1"/>
  <c r="EE42" i="1"/>
  <c r="EU42" i="1"/>
  <c r="GA42" i="1"/>
  <c r="GE42" i="1"/>
  <c r="EO43" i="1"/>
  <c r="EY43" i="1"/>
  <c r="FQ43" i="1"/>
  <c r="FR43" i="1" s="1"/>
  <c r="GC43" i="1"/>
  <c r="FG44" i="1"/>
  <c r="FT44" i="1"/>
  <c r="GA44" i="1"/>
  <c r="EY45" i="1"/>
  <c r="FQ45" i="1"/>
  <c r="GA45" i="1"/>
  <c r="GE45" i="1"/>
  <c r="EW46" i="1"/>
  <c r="FI46" i="1"/>
  <c r="GC46" i="1"/>
  <c r="EE47" i="1"/>
  <c r="FE47" i="1"/>
  <c r="FI47" i="1"/>
  <c r="GC47" i="1"/>
  <c r="FG48" i="1"/>
  <c r="FT48" i="1"/>
  <c r="GA48" i="1"/>
  <c r="EY49" i="1"/>
  <c r="FQ49" i="1"/>
  <c r="FR49" i="1" s="1"/>
  <c r="FK50" i="1"/>
  <c r="GE50" i="1"/>
  <c r="EO51" i="1"/>
  <c r="EU51" i="1"/>
  <c r="FT51" i="1"/>
  <c r="EN52" i="1"/>
  <c r="EK52" i="1"/>
  <c r="FI52" i="1"/>
  <c r="GC52" i="1"/>
  <c r="EE53" i="1"/>
  <c r="ES53" i="1"/>
  <c r="FE53" i="1"/>
  <c r="FI53" i="1"/>
  <c r="FY53" i="1"/>
  <c r="GC53" i="1"/>
  <c r="ES54" i="1"/>
  <c r="EE54" i="1"/>
  <c r="EY54" i="1"/>
  <c r="GC54" i="1"/>
  <c r="GI55" i="1"/>
  <c r="A37" i="6" s="1"/>
  <c r="ES55" i="1"/>
  <c r="FE55" i="1"/>
  <c r="GA55" i="1"/>
  <c r="ES56" i="1"/>
  <c r="EE56" i="1"/>
  <c r="EY56" i="1"/>
  <c r="GI57" i="1"/>
  <c r="A39" i="6" s="1"/>
  <c r="ES57" i="1"/>
  <c r="FE57" i="1"/>
  <c r="GE57" i="1"/>
  <c r="EW58" i="1"/>
  <c r="EE59" i="1"/>
  <c r="EN59" i="1"/>
  <c r="EY59" i="1"/>
  <c r="FI59" i="1"/>
  <c r="EO60" i="1"/>
  <c r="EJ60" i="1"/>
  <c r="EK60" i="1" s="1"/>
  <c r="EU60" i="1"/>
  <c r="FT60" i="1"/>
  <c r="EW61" i="1"/>
  <c r="GI62" i="1"/>
  <c r="A44" i="6" s="1"/>
  <c r="EW62" i="1"/>
  <c r="EO63" i="1"/>
  <c r="EW63" i="1"/>
  <c r="EO64" i="1"/>
  <c r="EJ64" i="1"/>
  <c r="EK64" i="1" s="1"/>
  <c r="EY64" i="1"/>
  <c r="FY64" i="1"/>
  <c r="EY65" i="1"/>
  <c r="ES67" i="1"/>
  <c r="EU67" i="1"/>
  <c r="FI67" i="1"/>
  <c r="GE67" i="1"/>
  <c r="EK68" i="1"/>
  <c r="EW68" i="1"/>
  <c r="FK68" i="1"/>
  <c r="FE69" i="1"/>
  <c r="GA69" i="1"/>
  <c r="GI70" i="1"/>
  <c r="A52" i="6" s="1"/>
  <c r="EO70" i="1"/>
  <c r="FG70" i="1"/>
  <c r="ES71" i="1"/>
  <c r="EU71" i="1"/>
  <c r="FI71" i="1"/>
  <c r="FY71" i="1"/>
  <c r="GE71" i="1"/>
  <c r="EK72" i="1"/>
  <c r="EW72" i="1"/>
  <c r="FK72" i="1"/>
  <c r="FE73" i="1"/>
  <c r="FR73" i="1"/>
  <c r="GA73" i="1"/>
  <c r="GI74" i="1"/>
  <c r="A56" i="6" s="1"/>
  <c r="EO74" i="1"/>
  <c r="FG74" i="1"/>
  <c r="GI75" i="1"/>
  <c r="A57" i="6" s="1"/>
  <c r="ES78" i="1"/>
  <c r="GI79" i="1"/>
  <c r="A61" i="6" s="1"/>
  <c r="EU79" i="1"/>
  <c r="FI79" i="1"/>
  <c r="FY79" i="1"/>
  <c r="GE79" i="1"/>
  <c r="EK80" i="1"/>
  <c r="EW80" i="1"/>
  <c r="FK80" i="1"/>
  <c r="ES83" i="1"/>
  <c r="ES84" i="1"/>
  <c r="GI85" i="1"/>
  <c r="A67" i="6" s="1"/>
  <c r="GI86" i="1"/>
  <c r="A68" i="6" s="1"/>
  <c r="ES89" i="1"/>
  <c r="GI90" i="1"/>
  <c r="A72" i="6" s="1"/>
  <c r="GI91" i="1"/>
  <c r="A73" i="6" s="1"/>
  <c r="EK93" i="1"/>
  <c r="FY94" i="1"/>
  <c r="ES95" i="1"/>
  <c r="GI97" i="1"/>
  <c r="A79" i="6" s="1"/>
  <c r="FR99" i="1"/>
  <c r="FY103" i="1"/>
  <c r="EK109" i="1"/>
  <c r="FY115" i="1"/>
  <c r="FG289" i="1"/>
  <c r="FG282" i="1"/>
  <c r="FG274" i="1"/>
  <c r="FG280" i="1"/>
  <c r="FG267" i="1"/>
  <c r="FG263" i="1"/>
  <c r="FG261" i="1"/>
  <c r="FG259" i="1"/>
  <c r="FG257" i="1"/>
  <c r="FG255" i="1"/>
  <c r="FG253" i="1"/>
  <c r="FG251" i="1"/>
  <c r="FG249" i="1"/>
  <c r="FG247" i="1"/>
  <c r="FG269" i="1"/>
  <c r="FG271" i="1"/>
  <c r="FG246" i="1"/>
  <c r="FG245" i="1"/>
  <c r="FG244" i="1"/>
  <c r="FG243" i="1"/>
  <c r="FG242" i="1"/>
  <c r="FG241" i="1"/>
  <c r="FG240" i="1"/>
  <c r="FG239" i="1"/>
  <c r="FG238" i="1"/>
  <c r="FG237" i="1"/>
  <c r="FG236" i="1"/>
  <c r="FG235" i="1"/>
  <c r="FG234" i="1"/>
  <c r="FG233" i="1"/>
  <c r="FG232" i="1"/>
  <c r="FG231" i="1"/>
  <c r="FG230" i="1"/>
  <c r="FG228" i="1"/>
  <c r="FG215" i="1"/>
  <c r="FG213" i="1"/>
  <c r="FG211" i="1"/>
  <c r="FG209" i="1"/>
  <c r="FG207" i="1"/>
  <c r="FG250" i="1"/>
  <c r="FG266" i="1"/>
  <c r="FG214" i="1"/>
  <c r="FG206" i="1"/>
  <c r="FG205" i="1"/>
  <c r="FG204" i="1"/>
  <c r="FG203" i="1"/>
  <c r="FG201" i="1"/>
  <c r="FG210" i="1"/>
  <c r="FG220" i="1"/>
  <c r="FG196" i="1"/>
  <c r="FG194" i="1"/>
  <c r="FG192" i="1"/>
  <c r="FG190" i="1"/>
  <c r="FG188" i="1"/>
  <c r="FG198" i="1"/>
  <c r="FG199" i="1"/>
  <c r="FG181" i="1"/>
  <c r="FG179" i="1"/>
  <c r="FG177" i="1"/>
  <c r="FG175" i="1"/>
  <c r="FG173" i="1"/>
  <c r="FG171" i="1"/>
  <c r="FG197" i="1"/>
  <c r="FG184" i="1"/>
  <c r="FG182" i="1"/>
  <c r="FG178" i="1"/>
  <c r="FG158" i="1"/>
  <c r="FG156" i="1"/>
  <c r="FG154" i="1"/>
  <c r="FG152" i="1"/>
  <c r="FG170" i="1"/>
  <c r="FG169" i="1"/>
  <c r="FG168" i="1"/>
  <c r="FG167" i="1"/>
  <c r="FG165" i="1"/>
  <c r="FG163" i="1"/>
  <c r="FG161" i="1"/>
  <c r="FG186" i="1"/>
  <c r="FG180" i="1"/>
  <c r="FG147" i="1"/>
  <c r="FG145" i="1"/>
  <c r="FG150" i="1"/>
  <c r="FG142" i="1"/>
  <c r="FG141" i="1"/>
  <c r="FG129" i="1"/>
  <c r="FG127" i="1"/>
  <c r="FG125" i="1"/>
  <c r="FG123" i="1"/>
  <c r="FG121" i="1"/>
  <c r="FG119" i="1"/>
  <c r="FG117" i="1"/>
  <c r="FG148" i="1"/>
  <c r="FG138" i="1"/>
  <c r="FG136" i="1"/>
  <c r="FG134" i="1"/>
  <c r="FG132" i="1"/>
  <c r="FG146" i="1"/>
  <c r="FG144" i="1"/>
  <c r="FG143" i="1"/>
  <c r="FG140" i="1"/>
  <c r="FG130" i="1"/>
  <c r="FG128" i="1"/>
  <c r="FG126" i="1"/>
  <c r="FG124" i="1"/>
  <c r="FG122" i="1"/>
  <c r="FG120" i="1"/>
  <c r="FG118" i="1"/>
  <c r="FG116" i="1"/>
  <c r="FG114" i="1"/>
  <c r="FG112" i="1"/>
  <c r="FG110" i="1"/>
  <c r="FG108" i="1"/>
  <c r="FG106" i="1"/>
  <c r="FG111" i="1"/>
  <c r="FG103" i="1"/>
  <c r="FG102" i="1"/>
  <c r="FG97" i="1"/>
  <c r="FG94" i="1"/>
  <c r="FG91" i="1"/>
  <c r="FG90" i="1"/>
  <c r="FG87" i="1"/>
  <c r="FG65" i="1"/>
  <c r="FG63" i="1"/>
  <c r="FG61" i="1"/>
  <c r="FG59" i="1"/>
  <c r="FG57" i="1"/>
  <c r="FG55" i="1"/>
  <c r="FG109" i="1"/>
  <c r="FG100" i="1"/>
  <c r="FG95" i="1"/>
  <c r="FG85" i="1"/>
  <c r="FG84" i="1"/>
  <c r="FG81" i="1"/>
  <c r="FG79" i="1"/>
  <c r="FG77" i="1"/>
  <c r="FG75" i="1"/>
  <c r="FG73" i="1"/>
  <c r="FG71" i="1"/>
  <c r="FG69" i="1"/>
  <c r="FG67" i="1"/>
  <c r="FG107" i="1"/>
  <c r="FG105" i="1"/>
  <c r="FG104" i="1"/>
  <c r="FG101" i="1"/>
  <c r="FG98" i="1"/>
  <c r="FG93" i="1"/>
  <c r="FG92" i="1"/>
  <c r="FG89" i="1"/>
  <c r="FG88" i="1"/>
  <c r="FG66" i="1"/>
  <c r="FG64" i="1"/>
  <c r="FG62" i="1"/>
  <c r="FG115" i="1"/>
  <c r="FG113" i="1"/>
  <c r="FG99" i="1"/>
  <c r="FG96" i="1"/>
  <c r="FG86" i="1"/>
  <c r="FG83" i="1"/>
  <c r="FG82" i="1"/>
  <c r="GC289" i="1"/>
  <c r="GC288" i="1"/>
  <c r="GC282" i="1"/>
  <c r="GC274" i="1"/>
  <c r="GC267" i="1"/>
  <c r="GC280" i="1"/>
  <c r="GC269" i="1"/>
  <c r="GC271" i="1"/>
  <c r="GC263" i="1"/>
  <c r="GC261" i="1"/>
  <c r="GC259" i="1"/>
  <c r="GC257" i="1"/>
  <c r="GC255" i="1"/>
  <c r="GC253" i="1"/>
  <c r="GC251" i="1"/>
  <c r="GC249" i="1"/>
  <c r="GC247" i="1"/>
  <c r="GC265" i="1"/>
  <c r="GC243" i="1"/>
  <c r="GC235" i="1"/>
  <c r="GC231" i="1"/>
  <c r="GC215" i="1"/>
  <c r="GC213" i="1"/>
  <c r="GC211" i="1"/>
  <c r="GC209" i="1"/>
  <c r="GC207" i="1"/>
  <c r="GC245" i="1"/>
  <c r="GC237" i="1"/>
  <c r="GC250" i="1"/>
  <c r="GC239" i="1"/>
  <c r="GC233" i="1"/>
  <c r="GC229" i="1"/>
  <c r="GC228" i="1"/>
  <c r="GC278" i="1"/>
  <c r="GC220" i="1"/>
  <c r="GC214" i="1"/>
  <c r="GC241" i="1"/>
  <c r="GC216" i="1"/>
  <c r="GC210" i="1"/>
  <c r="GC205" i="1"/>
  <c r="GC203" i="1"/>
  <c r="GC198" i="1"/>
  <c r="GC196" i="1"/>
  <c r="GC194" i="1"/>
  <c r="GC192" i="1"/>
  <c r="GC190" i="1"/>
  <c r="GC188" i="1"/>
  <c r="GC199" i="1"/>
  <c r="GC197" i="1"/>
  <c r="GC201" i="1"/>
  <c r="GC181" i="1"/>
  <c r="GC179" i="1"/>
  <c r="GC177" i="1"/>
  <c r="GC175" i="1"/>
  <c r="GC173" i="1"/>
  <c r="GC171" i="1"/>
  <c r="GC180" i="1"/>
  <c r="GC169" i="1"/>
  <c r="GC167" i="1"/>
  <c r="GC165" i="1"/>
  <c r="GC163" i="1"/>
  <c r="GC161" i="1"/>
  <c r="GC186" i="1"/>
  <c r="GC158" i="1"/>
  <c r="GC156" i="1"/>
  <c r="GC154" i="1"/>
  <c r="GC152" i="1"/>
  <c r="GC184" i="1"/>
  <c r="GC178" i="1"/>
  <c r="GC182" i="1"/>
  <c r="GC147" i="1"/>
  <c r="GC145" i="1"/>
  <c r="GC148" i="1"/>
  <c r="GC146" i="1"/>
  <c r="GC144" i="1"/>
  <c r="GC143" i="1"/>
  <c r="GC129" i="1"/>
  <c r="GC127" i="1"/>
  <c r="GC125" i="1"/>
  <c r="GC123" i="1"/>
  <c r="GC121" i="1"/>
  <c r="GC119" i="1"/>
  <c r="GC117" i="1"/>
  <c r="GC140" i="1"/>
  <c r="GC141" i="1"/>
  <c r="GC133" i="1"/>
  <c r="GC131" i="1"/>
  <c r="GC130" i="1"/>
  <c r="GC128" i="1"/>
  <c r="GC126" i="1"/>
  <c r="GC124" i="1"/>
  <c r="GC122" i="1"/>
  <c r="GC120" i="1"/>
  <c r="GC118" i="1"/>
  <c r="GC116" i="1"/>
  <c r="GC114" i="1"/>
  <c r="GC112" i="1"/>
  <c r="GC110" i="1"/>
  <c r="GC108" i="1"/>
  <c r="GC106" i="1"/>
  <c r="GC150" i="1"/>
  <c r="GC142" i="1"/>
  <c r="GC138" i="1"/>
  <c r="GC136" i="1"/>
  <c r="GC134" i="1"/>
  <c r="GC132" i="1"/>
  <c r="GC107" i="1"/>
  <c r="GC105" i="1"/>
  <c r="GC104" i="1"/>
  <c r="GC100" i="1"/>
  <c r="GC95" i="1"/>
  <c r="GC92" i="1"/>
  <c r="GC88" i="1"/>
  <c r="GC85" i="1"/>
  <c r="GC81" i="1"/>
  <c r="GC65" i="1"/>
  <c r="GC63" i="1"/>
  <c r="GC61" i="1"/>
  <c r="GC59" i="1"/>
  <c r="GC57" i="1"/>
  <c r="GC55" i="1"/>
  <c r="GC115" i="1"/>
  <c r="GC113" i="1"/>
  <c r="GC101" i="1"/>
  <c r="GC98" i="1"/>
  <c r="GC93" i="1"/>
  <c r="GC89" i="1"/>
  <c r="GC82" i="1"/>
  <c r="GC111" i="1"/>
  <c r="GC102" i="1"/>
  <c r="GC99" i="1"/>
  <c r="GC96" i="1"/>
  <c r="GC90" i="1"/>
  <c r="GC86" i="1"/>
  <c r="GC83" i="1"/>
  <c r="GC80" i="1"/>
  <c r="GC78" i="1"/>
  <c r="GC76" i="1"/>
  <c r="GC74" i="1"/>
  <c r="GC72" i="1"/>
  <c r="GC70" i="1"/>
  <c r="GC68" i="1"/>
  <c r="GC66" i="1"/>
  <c r="GC64" i="1"/>
  <c r="GC62" i="1"/>
  <c r="GC109" i="1"/>
  <c r="GC103" i="1"/>
  <c r="GC97" i="1"/>
  <c r="GC94" i="1"/>
  <c r="GC91" i="1"/>
  <c r="GC87" i="1"/>
  <c r="GC84" i="1"/>
  <c r="GC79" i="1"/>
  <c r="GC77" i="1"/>
  <c r="GC75" i="1"/>
  <c r="GC73" i="1"/>
  <c r="GC71" i="1"/>
  <c r="GC69" i="1"/>
  <c r="GC67" i="1"/>
  <c r="FT4" i="1"/>
  <c r="FE7" i="1"/>
  <c r="FE9" i="1"/>
  <c r="EN10" i="1"/>
  <c r="EP10" i="1" s="1"/>
  <c r="FE10" i="1"/>
  <c r="GE10" i="1"/>
  <c r="EE11" i="1"/>
  <c r="FG12" i="1"/>
  <c r="FT12" i="1"/>
  <c r="EE13" i="1"/>
  <c r="EO13" i="1"/>
  <c r="EU15" i="1"/>
  <c r="EE17" i="1"/>
  <c r="FE18" i="1"/>
  <c r="GE18" i="1"/>
  <c r="EY19" i="1"/>
  <c r="EW20" i="1"/>
  <c r="EO22" i="1"/>
  <c r="EU23" i="1"/>
  <c r="EY28" i="1"/>
  <c r="GC28" i="1"/>
  <c r="EY30" i="1"/>
  <c r="EE31" i="1"/>
  <c r="GE31" i="1"/>
  <c r="EY32" i="1"/>
  <c r="GE33" i="1"/>
  <c r="EO34" i="1"/>
  <c r="GC34" i="1"/>
  <c r="EY36" i="1"/>
  <c r="FY36" i="1"/>
  <c r="EE37" i="1"/>
  <c r="EY38" i="1"/>
  <c r="FY38" i="1"/>
  <c r="EE39" i="1"/>
  <c r="GA39" i="1"/>
  <c r="EO40" i="1"/>
  <c r="EY42" i="1"/>
  <c r="FY42" i="1"/>
  <c r="GA43" i="1"/>
  <c r="FK44" i="1"/>
  <c r="EO45" i="1"/>
  <c r="FT45" i="1"/>
  <c r="FY45" i="1"/>
  <c r="EO46" i="1"/>
  <c r="EU46" i="1"/>
  <c r="FY46" i="1"/>
  <c r="EW47" i="1"/>
  <c r="FK47" i="1"/>
  <c r="EO49" i="1"/>
  <c r="EN50" i="1"/>
  <c r="GA50" i="1"/>
  <c r="EY51" i="1"/>
  <c r="FE52" i="1"/>
  <c r="EN53" i="1"/>
  <c r="FK53" i="1"/>
  <c r="FG54" i="1"/>
  <c r="FG56" i="1"/>
  <c r="FY58" i="1"/>
  <c r="GA59" i="1"/>
  <c r="ES61" i="1"/>
  <c r="FE61" i="1"/>
  <c r="GE61" i="1"/>
  <c r="EE63" i="1"/>
  <c r="EE64" i="1"/>
  <c r="EU64" i="1"/>
  <c r="GI65" i="1"/>
  <c r="A47" i="6" s="1"/>
  <c r="EU65" i="1"/>
  <c r="GI68" i="1"/>
  <c r="A50" i="6" s="1"/>
  <c r="EO68" i="1"/>
  <c r="ES69" i="1"/>
  <c r="EU69" i="1"/>
  <c r="GE69" i="1"/>
  <c r="EW70" i="1"/>
  <c r="FE71" i="1"/>
  <c r="GA71" i="1"/>
  <c r="FG72" i="1"/>
  <c r="FI73" i="1"/>
  <c r="FY73" i="1"/>
  <c r="EK74" i="1"/>
  <c r="GI77" i="1"/>
  <c r="A59" i="6" s="1"/>
  <c r="EY79" i="1"/>
  <c r="EO80" i="1"/>
  <c r="EO284" i="1"/>
  <c r="EO276" i="1"/>
  <c r="EO286" i="1"/>
  <c r="EO278" i="1"/>
  <c r="EO287" i="1"/>
  <c r="EO288" i="1"/>
  <c r="EO282" i="1"/>
  <c r="EO280" i="1"/>
  <c r="EO274" i="1"/>
  <c r="EO279" i="1"/>
  <c r="EO272" i="1"/>
  <c r="EO273" i="1"/>
  <c r="EO268" i="1"/>
  <c r="EO260" i="1"/>
  <c r="EO252" i="1"/>
  <c r="EO270" i="1"/>
  <c r="EO258" i="1"/>
  <c r="EO228" i="1"/>
  <c r="EO264" i="1"/>
  <c r="EO256" i="1"/>
  <c r="EO248" i="1"/>
  <c r="EO254" i="1"/>
  <c r="EO246" i="1"/>
  <c r="EO238" i="1"/>
  <c r="EO224" i="1"/>
  <c r="EO240" i="1"/>
  <c r="EO234" i="1"/>
  <c r="EO230" i="1"/>
  <c r="EO226" i="1"/>
  <c r="EO225" i="1"/>
  <c r="EO242" i="1"/>
  <c r="EO227" i="1"/>
  <c r="EO220" i="1"/>
  <c r="EO262" i="1"/>
  <c r="EO250" i="1"/>
  <c r="EO244" i="1"/>
  <c r="EO232" i="1"/>
  <c r="EO222" i="1"/>
  <c r="EO218" i="1"/>
  <c r="EO214" i="1"/>
  <c r="EO236" i="1"/>
  <c r="EO229" i="1"/>
  <c r="EO221" i="1"/>
  <c r="EO216" i="1"/>
  <c r="EO208" i="1"/>
  <c r="EO210" i="1"/>
  <c r="EO204" i="1"/>
  <c r="EO212" i="1"/>
  <c r="EO200" i="1"/>
  <c r="EO202" i="1"/>
  <c r="EO196" i="1"/>
  <c r="EO194" i="1"/>
  <c r="EO192" i="1"/>
  <c r="EO190" i="1"/>
  <c r="EO188" i="1"/>
  <c r="EO186" i="1"/>
  <c r="EO184" i="1"/>
  <c r="EO182" i="1"/>
  <c r="EO180" i="1"/>
  <c r="EO178" i="1"/>
  <c r="EO174" i="1"/>
  <c r="EO170" i="1"/>
  <c r="EO168" i="1"/>
  <c r="EO166" i="1"/>
  <c r="EO164" i="1"/>
  <c r="EO162" i="1"/>
  <c r="EO176" i="1"/>
  <c r="EO172" i="1"/>
  <c r="EO139" i="1"/>
  <c r="EO137" i="1"/>
  <c r="EO135" i="1"/>
  <c r="EO133" i="1"/>
  <c r="EE288" i="1"/>
  <c r="EE285" i="1"/>
  <c r="EE280" i="1"/>
  <c r="EE277" i="1"/>
  <c r="EE282" i="1"/>
  <c r="EE274" i="1"/>
  <c r="EE286" i="1"/>
  <c r="EE283" i="1"/>
  <c r="EE276" i="1"/>
  <c r="EE284" i="1"/>
  <c r="EE275" i="1"/>
  <c r="EE278" i="1"/>
  <c r="EE260" i="1"/>
  <c r="EE252" i="1"/>
  <c r="EE250" i="1"/>
  <c r="EE258" i="1"/>
  <c r="EE228" i="1"/>
  <c r="EE268" i="1"/>
  <c r="EE264" i="1"/>
  <c r="EE256" i="1"/>
  <c r="EE220" i="1"/>
  <c r="EE222" i="1"/>
  <c r="EE262" i="1"/>
  <c r="EE224" i="1"/>
  <c r="EE254" i="1"/>
  <c r="EE248" i="1"/>
  <c r="EE218" i="1"/>
  <c r="EE212" i="1"/>
  <c r="EE214" i="1"/>
  <c r="EE216" i="1"/>
  <c r="EE208" i="1"/>
  <c r="EE226" i="1"/>
  <c r="EE223" i="1"/>
  <c r="EE210" i="1"/>
  <c r="EE198" i="1"/>
  <c r="EE200" i="1"/>
  <c r="EE196" i="1"/>
  <c r="EE194" i="1"/>
  <c r="EE192" i="1"/>
  <c r="EE190" i="1"/>
  <c r="EE188" i="1"/>
  <c r="EE186" i="1"/>
  <c r="EE184" i="1"/>
  <c r="EE182" i="1"/>
  <c r="EE180" i="1"/>
  <c r="EE178" i="1"/>
  <c r="EE172" i="1"/>
  <c r="EE174" i="1"/>
  <c r="EE176" i="1"/>
  <c r="EE80" i="1"/>
  <c r="EE78" i="1"/>
  <c r="EE76" i="1"/>
  <c r="EE74" i="1"/>
  <c r="EE72" i="1"/>
  <c r="EE70" i="1"/>
  <c r="EE68" i="1"/>
  <c r="EN2" i="1"/>
  <c r="EP2" i="1" s="1"/>
  <c r="EW282" i="1"/>
  <c r="EW281" i="1"/>
  <c r="EW274" i="1"/>
  <c r="EW284" i="1"/>
  <c r="EW276" i="1"/>
  <c r="EW287" i="1"/>
  <c r="EW286" i="1"/>
  <c r="EW280" i="1"/>
  <c r="EW278" i="1"/>
  <c r="EW279" i="1"/>
  <c r="EW268" i="1"/>
  <c r="EW260" i="1"/>
  <c r="EW252" i="1"/>
  <c r="EW258" i="1"/>
  <c r="EW248" i="1"/>
  <c r="EW246" i="1"/>
  <c r="EW244" i="1"/>
  <c r="EW242" i="1"/>
  <c r="EW240" i="1"/>
  <c r="EW238" i="1"/>
  <c r="EW236" i="1"/>
  <c r="EW234" i="1"/>
  <c r="EW232" i="1"/>
  <c r="EW230" i="1"/>
  <c r="EW228" i="1"/>
  <c r="EW266" i="1"/>
  <c r="EW264" i="1"/>
  <c r="EW256" i="1"/>
  <c r="EW250" i="1"/>
  <c r="EW262" i="1"/>
  <c r="EW222" i="1"/>
  <c r="EW254" i="1"/>
  <c r="EW224" i="1"/>
  <c r="EW226" i="1"/>
  <c r="EW227" i="1"/>
  <c r="EW218" i="1"/>
  <c r="EW216" i="1"/>
  <c r="EW208" i="1"/>
  <c r="EW206" i="1"/>
  <c r="EW204" i="1"/>
  <c r="EW210" i="1"/>
  <c r="EW220" i="1"/>
  <c r="EW212" i="1"/>
  <c r="EW219" i="1"/>
  <c r="EW214" i="1"/>
  <c r="EW198" i="1"/>
  <c r="EW196" i="1"/>
  <c r="EW194" i="1"/>
  <c r="EW192" i="1"/>
  <c r="EW190" i="1"/>
  <c r="EW188" i="1"/>
  <c r="EW186" i="1"/>
  <c r="EW184" i="1"/>
  <c r="EW182" i="1"/>
  <c r="EW180" i="1"/>
  <c r="EW178" i="1"/>
  <c r="EW176" i="1"/>
  <c r="EW172" i="1"/>
  <c r="EW170" i="1"/>
  <c r="EW168" i="1"/>
  <c r="EW174" i="1"/>
  <c r="FE2" i="1"/>
  <c r="FI2" i="1"/>
  <c r="GA2" i="1"/>
  <c r="GE2" i="1"/>
  <c r="EE4" i="1"/>
  <c r="EO4" i="1"/>
  <c r="EP4" i="1" s="1"/>
  <c r="EW4" i="1"/>
  <c r="EE5" i="1"/>
  <c r="EO5" i="1"/>
  <c r="EP5" i="1" s="1"/>
  <c r="EW5" i="1"/>
  <c r="FG6" i="1"/>
  <c r="FK6" i="1"/>
  <c r="FT6" i="1"/>
  <c r="GC6" i="1"/>
  <c r="EU7" i="1"/>
  <c r="EY7" i="1"/>
  <c r="EU8" i="1"/>
  <c r="EY8" i="1"/>
  <c r="EU9" i="1"/>
  <c r="EY9" i="1"/>
  <c r="EU10" i="1"/>
  <c r="EY10" i="1"/>
  <c r="EN11" i="1"/>
  <c r="EP11" i="1" s="1"/>
  <c r="FE11" i="1"/>
  <c r="FI11" i="1"/>
  <c r="GA11" i="1"/>
  <c r="GE11" i="1"/>
  <c r="EE12" i="1"/>
  <c r="EO12" i="1"/>
  <c r="EP12" i="1" s="1"/>
  <c r="EW12" i="1"/>
  <c r="EN13" i="1"/>
  <c r="EP13" i="1" s="1"/>
  <c r="FE13" i="1"/>
  <c r="FI13" i="1"/>
  <c r="GA13" i="1"/>
  <c r="GE13" i="1"/>
  <c r="EU14" i="1"/>
  <c r="EY14" i="1"/>
  <c r="FG15" i="1"/>
  <c r="FK15" i="1"/>
  <c r="FT15" i="1"/>
  <c r="GC15" i="1"/>
  <c r="EE16" i="1"/>
  <c r="EO16" i="1"/>
  <c r="EP16" i="1" s="1"/>
  <c r="EW16" i="1"/>
  <c r="EN17" i="1"/>
  <c r="FE17" i="1"/>
  <c r="FI17" i="1"/>
  <c r="GA17" i="1"/>
  <c r="GE17" i="1"/>
  <c r="EU18" i="1"/>
  <c r="EY18" i="1"/>
  <c r="FG19" i="1"/>
  <c r="FK19" i="1"/>
  <c r="FT19" i="1"/>
  <c r="GC19" i="1"/>
  <c r="EN20" i="1"/>
  <c r="FE20" i="1"/>
  <c r="FI20" i="1"/>
  <c r="GA20" i="1"/>
  <c r="GE20" i="1"/>
  <c r="FG21" i="1"/>
  <c r="FK21" i="1"/>
  <c r="FT21" i="1"/>
  <c r="GC21" i="1"/>
  <c r="EN22" i="1"/>
  <c r="EP22" i="1" s="1"/>
  <c r="FE22" i="1"/>
  <c r="FI22" i="1"/>
  <c r="GA22" i="1"/>
  <c r="GE22" i="1"/>
  <c r="FG23" i="1"/>
  <c r="FK23" i="1"/>
  <c r="FT23" i="1"/>
  <c r="GC23" i="1"/>
  <c r="EN24" i="1"/>
  <c r="FE24" i="1"/>
  <c r="FI24" i="1"/>
  <c r="GA24" i="1"/>
  <c r="GE24" i="1"/>
  <c r="FG25" i="1"/>
  <c r="FK25" i="1"/>
  <c r="FT25" i="1"/>
  <c r="GC25" i="1"/>
  <c r="EN26" i="1"/>
  <c r="FE26" i="1"/>
  <c r="FI26" i="1"/>
  <c r="GA26" i="1"/>
  <c r="GE26" i="1"/>
  <c r="FE27" i="1"/>
  <c r="FI27" i="1"/>
  <c r="FT27" i="1"/>
  <c r="EN28" i="1"/>
  <c r="EW28" i="1"/>
  <c r="FG28" i="1"/>
  <c r="FK28" i="1"/>
  <c r="EJ29" i="1"/>
  <c r="EK29" i="1" s="1"/>
  <c r="FE29" i="1"/>
  <c r="FI29" i="1"/>
  <c r="FT29" i="1"/>
  <c r="EN30" i="1"/>
  <c r="EW30" i="1"/>
  <c r="FG30" i="1"/>
  <c r="FK30" i="1"/>
  <c r="EJ31" i="1"/>
  <c r="EK31" i="1" s="1"/>
  <c r="FE31" i="1"/>
  <c r="FI31" i="1"/>
  <c r="FT31" i="1"/>
  <c r="EN32" i="1"/>
  <c r="EP32" i="1" s="1"/>
  <c r="EW32" i="1"/>
  <c r="FG32" i="1"/>
  <c r="FK32" i="1"/>
  <c r="EJ33" i="1"/>
  <c r="EK33" i="1" s="1"/>
  <c r="FE33" i="1"/>
  <c r="FI33" i="1"/>
  <c r="FT33" i="1"/>
  <c r="EN34" i="1"/>
  <c r="EP34" i="1" s="1"/>
  <c r="EW34" i="1"/>
  <c r="FG34" i="1"/>
  <c r="FK34" i="1"/>
  <c r="EJ35" i="1"/>
  <c r="EK35" i="1" s="1"/>
  <c r="FE35" i="1"/>
  <c r="FI35" i="1"/>
  <c r="FT35" i="1"/>
  <c r="EN36" i="1"/>
  <c r="EW36" i="1"/>
  <c r="FG36" i="1"/>
  <c r="FK36" i="1"/>
  <c r="EJ37" i="1"/>
  <c r="EK37" i="1" s="1"/>
  <c r="FE37" i="1"/>
  <c r="FI37" i="1"/>
  <c r="FT37" i="1"/>
  <c r="EN38" i="1"/>
  <c r="EW38" i="1"/>
  <c r="FG38" i="1"/>
  <c r="FK38" i="1"/>
  <c r="EJ39" i="1"/>
  <c r="EK39" i="1" s="1"/>
  <c r="FE39" i="1"/>
  <c r="FI39" i="1"/>
  <c r="FT39" i="1"/>
  <c r="EN40" i="1"/>
  <c r="EP40" i="1" s="1"/>
  <c r="EW40" i="1"/>
  <c r="FG40" i="1"/>
  <c r="FK40" i="1"/>
  <c r="EJ41" i="1"/>
  <c r="EK41" i="1" s="1"/>
  <c r="FE41" i="1"/>
  <c r="FI41" i="1"/>
  <c r="FT41" i="1"/>
  <c r="EN42" i="1"/>
  <c r="EP42" i="1" s="1"/>
  <c r="EW42" i="1"/>
  <c r="FG42" i="1"/>
  <c r="FK42" i="1"/>
  <c r="EJ43" i="1"/>
  <c r="EK43" i="1" s="1"/>
  <c r="FE43" i="1"/>
  <c r="FI43" i="1"/>
  <c r="FT43" i="1"/>
  <c r="EN44" i="1"/>
  <c r="EK44" i="1"/>
  <c r="EW44" i="1"/>
  <c r="FI44" i="1"/>
  <c r="GC44" i="1"/>
  <c r="EE45" i="1"/>
  <c r="ES45" i="1"/>
  <c r="FE45" i="1"/>
  <c r="FI45" i="1"/>
  <c r="FK46" i="1"/>
  <c r="GE46" i="1"/>
  <c r="EO47" i="1"/>
  <c r="EP47" i="1" s="1"/>
  <c r="EU47" i="1"/>
  <c r="FT47" i="1"/>
  <c r="EN48" i="1"/>
  <c r="EK48" i="1"/>
  <c r="EW48" i="1"/>
  <c r="FI48" i="1"/>
  <c r="GC48" i="1"/>
  <c r="EE49" i="1"/>
  <c r="ES49" i="1"/>
  <c r="FE49" i="1"/>
  <c r="FI49" i="1"/>
  <c r="FY49" i="1"/>
  <c r="GC49" i="1"/>
  <c r="EO50" i="1"/>
  <c r="EU50" i="1"/>
  <c r="EY50" i="1"/>
  <c r="FE50" i="1"/>
  <c r="FY50" i="1"/>
  <c r="EJ51" i="1"/>
  <c r="EK51" i="1" s="1"/>
  <c r="EN51" i="1"/>
  <c r="EP51" i="1" s="1"/>
  <c r="EW51" i="1"/>
  <c r="FG51" i="1"/>
  <c r="FK51" i="1"/>
  <c r="GA51" i="1"/>
  <c r="GE51" i="1"/>
  <c r="EE52" i="1"/>
  <c r="FK52" i="1"/>
  <c r="GE52" i="1"/>
  <c r="EO53" i="1"/>
  <c r="EU53" i="1"/>
  <c r="FT53" i="1"/>
  <c r="FK54" i="1"/>
  <c r="FY54" i="1"/>
  <c r="EO55" i="1"/>
  <c r="EU55" i="1"/>
  <c r="FQ55" i="1"/>
  <c r="FR55" i="1" s="1"/>
  <c r="EO57" i="1"/>
  <c r="EU57" i="1"/>
  <c r="FQ57" i="1"/>
  <c r="GA57" i="1"/>
  <c r="ES58" i="1"/>
  <c r="EE58" i="1"/>
  <c r="EY58" i="1"/>
  <c r="GC58" i="1"/>
  <c r="GI59" i="1"/>
  <c r="A41" i="6" s="1"/>
  <c r="ES59" i="1"/>
  <c r="FE59" i="1"/>
  <c r="GE59" i="1"/>
  <c r="EW60" i="1"/>
  <c r="EE61" i="1"/>
  <c r="EN61" i="1"/>
  <c r="EY61" i="1"/>
  <c r="FI61" i="1"/>
  <c r="EO62" i="1"/>
  <c r="EK62" i="1"/>
  <c r="EY62" i="1"/>
  <c r="FY62" i="1"/>
  <c r="EK63" i="1"/>
  <c r="EY63" i="1"/>
  <c r="EE65" i="1"/>
  <c r="ES65" i="1"/>
  <c r="ES66" i="1"/>
  <c r="EE66" i="1"/>
  <c r="EU66" i="1"/>
  <c r="GI67" i="1"/>
  <c r="A49" i="6" s="1"/>
  <c r="FR68" i="1"/>
  <c r="ES70" i="1"/>
  <c r="GI71" i="1"/>
  <c r="A53" i="6" s="1"/>
  <c r="ES74" i="1"/>
  <c r="FE75" i="1"/>
  <c r="GA75" i="1"/>
  <c r="GI76" i="1"/>
  <c r="A58" i="6" s="1"/>
  <c r="EO76" i="1"/>
  <c r="FG76" i="1"/>
  <c r="ES77" i="1"/>
  <c r="EU77" i="1"/>
  <c r="FI77" i="1"/>
  <c r="GE77" i="1"/>
  <c r="EK78" i="1"/>
  <c r="EW78" i="1"/>
  <c r="FK78" i="1"/>
  <c r="EY81" i="1"/>
  <c r="FE81" i="1"/>
  <c r="GI83" i="1"/>
  <c r="A65" i="6" s="1"/>
  <c r="GI84" i="1"/>
  <c r="A66" i="6" s="1"/>
  <c r="EK85" i="1"/>
  <c r="GI88" i="1"/>
  <c r="A70" i="6" s="1"/>
  <c r="FY91" i="1"/>
  <c r="GI95" i="1"/>
  <c r="A77" i="6" s="1"/>
  <c r="GI96" i="1"/>
  <c r="A78" i="6" s="1"/>
  <c r="FY97" i="1"/>
  <c r="FY98" i="1"/>
  <c r="ES99" i="1"/>
  <c r="ES100" i="1"/>
  <c r="EK101" i="1"/>
  <c r="ES105" i="1"/>
  <c r="EK107" i="1"/>
  <c r="GI113" i="1"/>
  <c r="A95" i="6" s="1"/>
  <c r="FK289" i="1"/>
  <c r="FK280" i="1"/>
  <c r="FK278" i="1"/>
  <c r="FK271" i="1"/>
  <c r="FK276" i="1"/>
  <c r="FK286" i="1"/>
  <c r="FK269" i="1"/>
  <c r="FK267" i="1"/>
  <c r="FK263" i="1"/>
  <c r="FK261" i="1"/>
  <c r="FK259" i="1"/>
  <c r="FK257" i="1"/>
  <c r="FK255" i="1"/>
  <c r="FK253" i="1"/>
  <c r="FK251" i="1"/>
  <c r="FK249" i="1"/>
  <c r="FK247" i="1"/>
  <c r="FK266" i="1"/>
  <c r="FK250" i="1"/>
  <c r="FK268" i="1"/>
  <c r="FK246" i="1"/>
  <c r="FK245" i="1"/>
  <c r="FK244" i="1"/>
  <c r="FK243" i="1"/>
  <c r="FK242" i="1"/>
  <c r="FK241" i="1"/>
  <c r="FK240" i="1"/>
  <c r="FK239" i="1"/>
  <c r="FK238" i="1"/>
  <c r="FK237" i="1"/>
  <c r="FK236" i="1"/>
  <c r="FK235" i="1"/>
  <c r="FK234" i="1"/>
  <c r="FK233" i="1"/>
  <c r="FK232" i="1"/>
  <c r="FK231" i="1"/>
  <c r="FK230" i="1"/>
  <c r="FK215" i="1"/>
  <c r="FK213" i="1"/>
  <c r="FK211" i="1"/>
  <c r="FK209" i="1"/>
  <c r="FK207" i="1"/>
  <c r="FK228" i="1"/>
  <c r="FK248" i="1"/>
  <c r="FK226" i="1"/>
  <c r="FK212" i="1"/>
  <c r="FK206" i="1"/>
  <c r="FK205" i="1"/>
  <c r="FK204" i="1"/>
  <c r="FK203" i="1"/>
  <c r="FK201" i="1"/>
  <c r="FK216" i="1"/>
  <c r="FK208" i="1"/>
  <c r="FK196" i="1"/>
  <c r="FK194" i="1"/>
  <c r="FK192" i="1"/>
  <c r="FK190" i="1"/>
  <c r="FK188" i="1"/>
  <c r="FK198" i="1"/>
  <c r="FK199" i="1"/>
  <c r="FK181" i="1"/>
  <c r="FK179" i="1"/>
  <c r="FK177" i="1"/>
  <c r="FK175" i="1"/>
  <c r="FK173" i="1"/>
  <c r="FK171" i="1"/>
  <c r="FK197" i="1"/>
  <c r="FK186" i="1"/>
  <c r="FK180" i="1"/>
  <c r="FK172" i="1"/>
  <c r="FK184" i="1"/>
  <c r="FK158" i="1"/>
  <c r="FK156" i="1"/>
  <c r="FK154" i="1"/>
  <c r="FK152" i="1"/>
  <c r="FK182" i="1"/>
  <c r="FK178" i="1"/>
  <c r="FK176" i="1"/>
  <c r="FK170" i="1"/>
  <c r="FK169" i="1"/>
  <c r="FK168" i="1"/>
  <c r="FK167" i="1"/>
  <c r="FK165" i="1"/>
  <c r="FK163" i="1"/>
  <c r="FK161" i="1"/>
  <c r="FK147" i="1"/>
  <c r="FK145" i="1"/>
  <c r="FK142" i="1"/>
  <c r="FK141" i="1"/>
  <c r="FK129" i="1"/>
  <c r="FK127" i="1"/>
  <c r="FK125" i="1"/>
  <c r="FK123" i="1"/>
  <c r="FK121" i="1"/>
  <c r="FK119" i="1"/>
  <c r="FK117" i="1"/>
  <c r="FK150" i="1"/>
  <c r="FK138" i="1"/>
  <c r="FK136" i="1"/>
  <c r="FK134" i="1"/>
  <c r="FK132" i="1"/>
  <c r="FK148" i="1"/>
  <c r="FK143" i="1"/>
  <c r="FK140" i="1"/>
  <c r="FK130" i="1"/>
  <c r="FK128" i="1"/>
  <c r="FK126" i="1"/>
  <c r="FK124" i="1"/>
  <c r="FK122" i="1"/>
  <c r="FK120" i="1"/>
  <c r="FK118" i="1"/>
  <c r="FK116" i="1"/>
  <c r="FK114" i="1"/>
  <c r="FK112" i="1"/>
  <c r="FK110" i="1"/>
  <c r="FK108" i="1"/>
  <c r="FK106" i="1"/>
  <c r="FK146" i="1"/>
  <c r="FK144" i="1"/>
  <c r="FK115" i="1"/>
  <c r="FK113" i="1"/>
  <c r="FK103" i="1"/>
  <c r="FK102" i="1"/>
  <c r="FK97" i="1"/>
  <c r="FK94" i="1"/>
  <c r="FK91" i="1"/>
  <c r="FK90" i="1"/>
  <c r="FK87" i="1"/>
  <c r="FK65" i="1"/>
  <c r="FK63" i="1"/>
  <c r="FK61" i="1"/>
  <c r="FK59" i="1"/>
  <c r="FK57" i="1"/>
  <c r="FK55" i="1"/>
  <c r="FK111" i="1"/>
  <c r="FK100" i="1"/>
  <c r="FK95" i="1"/>
  <c r="FK85" i="1"/>
  <c r="FK84" i="1"/>
  <c r="FK81" i="1"/>
  <c r="FK79" i="1"/>
  <c r="FK77" i="1"/>
  <c r="FK75" i="1"/>
  <c r="FK73" i="1"/>
  <c r="FK71" i="1"/>
  <c r="FK69" i="1"/>
  <c r="FK67" i="1"/>
  <c r="FK109" i="1"/>
  <c r="FK104" i="1"/>
  <c r="FK101" i="1"/>
  <c r="FK98" i="1"/>
  <c r="FK93" i="1"/>
  <c r="FK92" i="1"/>
  <c r="FK89" i="1"/>
  <c r="FK88" i="1"/>
  <c r="FK66" i="1"/>
  <c r="FK64" i="1"/>
  <c r="FK62" i="1"/>
  <c r="FK107" i="1"/>
  <c r="FK105" i="1"/>
  <c r="FK99" i="1"/>
  <c r="FK96" i="1"/>
  <c r="FK86" i="1"/>
  <c r="FK83" i="1"/>
  <c r="FK82" i="1"/>
  <c r="FY288" i="1"/>
  <c r="FY289" i="1"/>
  <c r="FY248" i="1"/>
  <c r="FY245" i="1"/>
  <c r="FY237" i="1"/>
  <c r="FY233" i="1"/>
  <c r="FY229" i="1"/>
  <c r="FY241" i="1"/>
  <c r="FY243" i="1"/>
  <c r="FY208" i="1"/>
  <c r="FY212" i="1"/>
  <c r="FY203" i="1"/>
  <c r="FY196" i="1"/>
  <c r="FY194" i="1"/>
  <c r="FY192" i="1"/>
  <c r="FY190" i="1"/>
  <c r="FY188" i="1"/>
  <c r="FY201" i="1"/>
  <c r="FY199" i="1"/>
  <c r="FY197" i="1"/>
  <c r="FY186" i="1"/>
  <c r="FY176" i="1"/>
  <c r="FY169" i="1"/>
  <c r="FY167" i="1"/>
  <c r="FY161" i="1"/>
  <c r="FY184" i="1"/>
  <c r="FY178" i="1"/>
  <c r="FY182" i="1"/>
  <c r="FY172" i="1"/>
  <c r="FY180" i="1"/>
  <c r="FY147" i="1"/>
  <c r="FY143" i="1"/>
  <c r="FY141" i="1"/>
  <c r="FY133" i="1"/>
  <c r="FY131" i="1"/>
  <c r="FY128" i="1"/>
  <c r="FY126" i="1"/>
  <c r="FY120" i="1"/>
  <c r="FY112" i="1"/>
  <c r="FY110" i="1"/>
  <c r="FY108" i="1"/>
  <c r="FY148" i="1"/>
  <c r="FY146" i="1"/>
  <c r="FY144" i="1"/>
  <c r="FY142" i="1"/>
  <c r="FY134" i="1"/>
  <c r="FY132" i="1"/>
  <c r="FY104" i="1"/>
  <c r="FY92" i="1"/>
  <c r="FY88" i="1"/>
  <c r="FY65" i="1"/>
  <c r="FY63" i="1"/>
  <c r="FY61" i="1"/>
  <c r="FY59" i="1"/>
  <c r="FY57" i="1"/>
  <c r="FY111" i="1"/>
  <c r="FY101" i="1"/>
  <c r="FY82" i="1"/>
  <c r="FY102" i="1"/>
  <c r="FY99" i="1"/>
  <c r="FY96" i="1"/>
  <c r="FY90" i="1"/>
  <c r="FY83" i="1"/>
  <c r="FY80" i="1"/>
  <c r="FY78" i="1"/>
  <c r="FY76" i="1"/>
  <c r="FY72" i="1"/>
  <c r="FY70" i="1"/>
  <c r="FY68" i="1"/>
  <c r="FY84" i="1"/>
  <c r="FK4" i="1"/>
  <c r="FY4" i="1"/>
  <c r="FG5" i="1"/>
  <c r="FT5" i="1"/>
  <c r="FE14" i="1"/>
  <c r="GE14" i="1"/>
  <c r="EY15" i="1"/>
  <c r="FK16" i="1"/>
  <c r="FY16" i="1"/>
  <c r="EO17" i="1"/>
  <c r="GA18" i="1"/>
  <c r="EO20" i="1"/>
  <c r="EU21" i="1"/>
  <c r="EY23" i="1"/>
  <c r="EW24" i="1"/>
  <c r="EW26" i="1"/>
  <c r="EE27" i="1"/>
  <c r="GA27" i="1"/>
  <c r="EO28" i="1"/>
  <c r="FY28" i="1"/>
  <c r="EE29" i="1"/>
  <c r="GC30" i="1"/>
  <c r="EU33" i="1"/>
  <c r="EY34" i="1"/>
  <c r="GE35" i="1"/>
  <c r="GC36" i="1"/>
  <c r="GA37" i="1"/>
  <c r="EO38" i="1"/>
  <c r="EU41" i="1"/>
  <c r="GE41" i="1"/>
  <c r="GC42" i="1"/>
  <c r="EE43" i="1"/>
  <c r="GE43" i="1"/>
  <c r="FE46" i="1"/>
  <c r="FG47" i="1"/>
  <c r="GE47" i="1"/>
  <c r="FK48" i="1"/>
  <c r="FT49" i="1"/>
  <c r="EO52" i="1"/>
  <c r="EW53" i="1"/>
  <c r="GA53" i="1"/>
  <c r="EO54" i="1"/>
  <c r="EW55" i="1"/>
  <c r="EO56" i="1"/>
  <c r="EK57" i="1"/>
  <c r="FK58" i="1"/>
  <c r="FT289" i="1"/>
  <c r="FT284" i="1"/>
  <c r="FT276" i="1"/>
  <c r="FT288" i="1"/>
  <c r="FT282" i="1"/>
  <c r="FT274" i="1"/>
  <c r="FT271" i="1"/>
  <c r="FT267" i="1"/>
  <c r="FT269" i="1"/>
  <c r="FT263" i="1"/>
  <c r="FT261" i="1"/>
  <c r="FT259" i="1"/>
  <c r="FT257" i="1"/>
  <c r="FT255" i="1"/>
  <c r="FT253" i="1"/>
  <c r="FT251" i="1"/>
  <c r="FT249" i="1"/>
  <c r="FT247" i="1"/>
  <c r="FT248" i="1"/>
  <c r="FT245" i="1"/>
  <c r="FT243" i="1"/>
  <c r="FT241" i="1"/>
  <c r="FT239" i="1"/>
  <c r="FT237" i="1"/>
  <c r="FT235" i="1"/>
  <c r="FT233" i="1"/>
  <c r="FT231" i="1"/>
  <c r="FT228" i="1"/>
  <c r="FT215" i="1"/>
  <c r="FT213" i="1"/>
  <c r="FT211" i="1"/>
  <c r="FT209" i="1"/>
  <c r="FT207" i="1"/>
  <c r="FT208" i="1"/>
  <c r="FT222" i="1"/>
  <c r="FT205" i="1"/>
  <c r="FT203" i="1"/>
  <c r="FT201" i="1"/>
  <c r="FT212" i="1"/>
  <c r="FT199" i="1"/>
  <c r="FT197" i="1"/>
  <c r="FT196" i="1"/>
  <c r="FT194" i="1"/>
  <c r="FT192" i="1"/>
  <c r="FT190" i="1"/>
  <c r="FT188" i="1"/>
  <c r="FT181" i="1"/>
  <c r="FT179" i="1"/>
  <c r="FT177" i="1"/>
  <c r="FT175" i="1"/>
  <c r="FT173" i="1"/>
  <c r="FT171" i="1"/>
  <c r="FT186" i="1"/>
  <c r="FT176" i="1"/>
  <c r="FT184" i="1"/>
  <c r="FT178" i="1"/>
  <c r="FT158" i="1"/>
  <c r="FT156" i="1"/>
  <c r="FT154" i="1"/>
  <c r="FT152" i="1"/>
  <c r="FT182" i="1"/>
  <c r="FT172" i="1"/>
  <c r="FT180" i="1"/>
  <c r="FT169" i="1"/>
  <c r="FT167" i="1"/>
  <c r="FT165" i="1"/>
  <c r="FT163" i="1"/>
  <c r="FT161" i="1"/>
  <c r="FT147" i="1"/>
  <c r="FT145" i="1"/>
  <c r="FT143" i="1"/>
  <c r="FT140" i="1"/>
  <c r="FT129" i="1"/>
  <c r="FT127" i="1"/>
  <c r="FT125" i="1"/>
  <c r="FT123" i="1"/>
  <c r="FT121" i="1"/>
  <c r="FT119" i="1"/>
  <c r="FT117" i="1"/>
  <c r="FT150" i="1"/>
  <c r="FT148" i="1"/>
  <c r="FT146" i="1"/>
  <c r="FT144" i="1"/>
  <c r="FT142" i="1"/>
  <c r="FT141" i="1"/>
  <c r="FT138" i="1"/>
  <c r="FT136" i="1"/>
  <c r="FT134" i="1"/>
  <c r="FT133" i="1"/>
  <c r="FT132" i="1"/>
  <c r="FT131" i="1"/>
  <c r="FT130" i="1"/>
  <c r="FT128" i="1"/>
  <c r="FT126" i="1"/>
  <c r="FT124" i="1"/>
  <c r="FT122" i="1"/>
  <c r="FT120" i="1"/>
  <c r="FT118" i="1"/>
  <c r="FT116" i="1"/>
  <c r="FT114" i="1"/>
  <c r="FT112" i="1"/>
  <c r="FT110" i="1"/>
  <c r="FT108" i="1"/>
  <c r="FT106" i="1"/>
  <c r="FT111" i="1"/>
  <c r="FT104" i="1"/>
  <c r="FT101" i="1"/>
  <c r="FT98" i="1"/>
  <c r="FT93" i="1"/>
  <c r="FT92" i="1"/>
  <c r="FT89" i="1"/>
  <c r="FT88" i="1"/>
  <c r="FT65" i="1"/>
  <c r="FT63" i="1"/>
  <c r="FT61" i="1"/>
  <c r="FT59" i="1"/>
  <c r="FT57" i="1"/>
  <c r="FT55" i="1"/>
  <c r="FT109" i="1"/>
  <c r="FT99" i="1"/>
  <c r="FT96" i="1"/>
  <c r="FT86" i="1"/>
  <c r="FT83" i="1"/>
  <c r="FT82" i="1"/>
  <c r="FT107" i="1"/>
  <c r="FT105" i="1"/>
  <c r="FT103" i="1"/>
  <c r="FT102" i="1"/>
  <c r="FT97" i="1"/>
  <c r="FT94" i="1"/>
  <c r="FT91" i="1"/>
  <c r="FT90" i="1"/>
  <c r="FT87" i="1"/>
  <c r="FT80" i="1"/>
  <c r="FT79" i="1"/>
  <c r="FT78" i="1"/>
  <c r="FT77" i="1"/>
  <c r="FT76" i="1"/>
  <c r="FT75" i="1"/>
  <c r="FT74" i="1"/>
  <c r="FT73" i="1"/>
  <c r="FT72" i="1"/>
  <c r="FT71" i="1"/>
  <c r="FT70" i="1"/>
  <c r="FT69" i="1"/>
  <c r="FT68" i="1"/>
  <c r="FT67" i="1"/>
  <c r="FT66" i="1"/>
  <c r="FT64" i="1"/>
  <c r="FT62" i="1"/>
  <c r="FT115" i="1"/>
  <c r="FT113" i="1"/>
  <c r="FT100" i="1"/>
  <c r="FT95" i="1"/>
  <c r="FT85" i="1"/>
  <c r="FT84" i="1"/>
  <c r="FT81" i="1"/>
  <c r="FG4" i="1"/>
  <c r="GC4" i="1"/>
  <c r="FK5" i="1"/>
  <c r="GC5" i="1"/>
  <c r="EY6" i="1"/>
  <c r="EN7" i="1"/>
  <c r="EP7" i="1" s="1"/>
  <c r="FI7" i="1"/>
  <c r="GA7" i="1"/>
  <c r="GA8" i="1"/>
  <c r="GA9" i="1"/>
  <c r="FI10" i="1"/>
  <c r="EW11" i="1"/>
  <c r="FK12" i="1"/>
  <c r="GC12" i="1"/>
  <c r="EW13" i="1"/>
  <c r="EN14" i="1"/>
  <c r="EP14" i="1" s="1"/>
  <c r="FG16" i="1"/>
  <c r="GC16" i="1"/>
  <c r="EN18" i="1"/>
  <c r="EP18" i="1" s="1"/>
  <c r="EU19" i="1"/>
  <c r="EY21" i="1"/>
  <c r="EW22" i="1"/>
  <c r="EO24" i="1"/>
  <c r="EY25" i="1"/>
  <c r="EO26" i="1"/>
  <c r="EU29" i="1"/>
  <c r="GE29" i="1"/>
  <c r="EO30" i="1"/>
  <c r="EE33" i="1"/>
  <c r="GA33" i="1"/>
  <c r="EU35" i="1"/>
  <c r="GA35" i="1"/>
  <c r="EO36" i="1"/>
  <c r="EU39" i="1"/>
  <c r="GC40" i="1"/>
  <c r="EU43" i="1"/>
  <c r="GE44" i="1"/>
  <c r="EU45" i="1"/>
  <c r="GC45" i="1"/>
  <c r="EY46" i="1"/>
  <c r="EJ47" i="1"/>
  <c r="EK47" i="1" s="1"/>
  <c r="GA47" i="1"/>
  <c r="FT50" i="1"/>
  <c r="EY52" i="1"/>
  <c r="EU54" i="1"/>
  <c r="FY55" i="1"/>
  <c r="FT56" i="1"/>
  <c r="EO59" i="1"/>
  <c r="EU59" i="1"/>
  <c r="ES60" i="1"/>
  <c r="EE60" i="1"/>
  <c r="EY60" i="1"/>
  <c r="GC60" i="1"/>
  <c r="GI61" i="1"/>
  <c r="A43" i="6" s="1"/>
  <c r="ES63" i="1"/>
  <c r="ES64" i="1"/>
  <c r="GI66" i="1"/>
  <c r="A48" i="6" s="1"/>
  <c r="EW66" i="1"/>
  <c r="FE67" i="1"/>
  <c r="GA67" i="1"/>
  <c r="FG68" i="1"/>
  <c r="FI69" i="1"/>
  <c r="FY69" i="1"/>
  <c r="EK70" i="1"/>
  <c r="FK70" i="1"/>
  <c r="GI72" i="1"/>
  <c r="A54" i="6" s="1"/>
  <c r="EO72" i="1"/>
  <c r="ES73" i="1"/>
  <c r="EU73" i="1"/>
  <c r="GE73" i="1"/>
  <c r="EW74" i="1"/>
  <c r="FK74" i="1"/>
  <c r="ES76" i="1"/>
  <c r="FE79" i="1"/>
  <c r="GA79" i="1"/>
  <c r="GI80" i="1"/>
  <c r="A62" i="6" s="1"/>
  <c r="FG80" i="1"/>
  <c r="FY85" i="1"/>
  <c r="ES87" i="1"/>
  <c r="EK89" i="1"/>
  <c r="ES93" i="1"/>
  <c r="GI94" i="1"/>
  <c r="A76" i="6" s="1"/>
  <c r="EK95" i="1"/>
  <c r="GI99" i="1"/>
  <c r="A81" i="6" s="1"/>
  <c r="GI100" i="1"/>
  <c r="A82" i="6" s="1"/>
  <c r="ES103" i="1"/>
  <c r="GI104" i="1"/>
  <c r="A86" i="6" s="1"/>
  <c r="GI111" i="1"/>
  <c r="A93" i="6" s="1"/>
  <c r="FY113" i="1"/>
  <c r="EO27" i="1"/>
  <c r="EP27" i="1" s="1"/>
  <c r="EW27" i="1"/>
  <c r="FG27" i="1"/>
  <c r="FK27" i="1"/>
  <c r="EJ28" i="1"/>
  <c r="EK28" i="1" s="1"/>
  <c r="ES28" i="1"/>
  <c r="FE28" i="1"/>
  <c r="FI28" i="1"/>
  <c r="FT28" i="1"/>
  <c r="EN29" i="1"/>
  <c r="EP29" i="1" s="1"/>
  <c r="EW29" i="1"/>
  <c r="FG29" i="1"/>
  <c r="FK29" i="1"/>
  <c r="EJ30" i="1"/>
  <c r="EK30" i="1" s="1"/>
  <c r="ES30" i="1"/>
  <c r="FE30" i="1"/>
  <c r="FI30" i="1"/>
  <c r="FT30" i="1"/>
  <c r="EN31" i="1"/>
  <c r="EP31" i="1" s="1"/>
  <c r="EW31" i="1"/>
  <c r="FG31" i="1"/>
  <c r="FK31" i="1"/>
  <c r="EJ32" i="1"/>
  <c r="EK32" i="1" s="1"/>
  <c r="ES32" i="1"/>
  <c r="FE32" i="1"/>
  <c r="FI32" i="1"/>
  <c r="FT32" i="1"/>
  <c r="EN33" i="1"/>
  <c r="EP33" i="1" s="1"/>
  <c r="EW33" i="1"/>
  <c r="FG33" i="1"/>
  <c r="FK33" i="1"/>
  <c r="EJ34" i="1"/>
  <c r="EK34" i="1" s="1"/>
  <c r="ES34" i="1"/>
  <c r="FE34" i="1"/>
  <c r="FI34" i="1"/>
  <c r="FT34" i="1"/>
  <c r="EN35" i="1"/>
  <c r="EP35" i="1" s="1"/>
  <c r="EW35" i="1"/>
  <c r="FG35" i="1"/>
  <c r="FK35" i="1"/>
  <c r="EJ36" i="1"/>
  <c r="EK36" i="1" s="1"/>
  <c r="ES36" i="1"/>
  <c r="FE36" i="1"/>
  <c r="FI36" i="1"/>
  <c r="FT36" i="1"/>
  <c r="EN37" i="1"/>
  <c r="EP37" i="1" s="1"/>
  <c r="EW37" i="1"/>
  <c r="FG37" i="1"/>
  <c r="FK37" i="1"/>
  <c r="EJ38" i="1"/>
  <c r="EK38" i="1" s="1"/>
  <c r="ES38" i="1"/>
  <c r="FE38" i="1"/>
  <c r="FI38" i="1"/>
  <c r="FT38" i="1"/>
  <c r="EN39" i="1"/>
  <c r="EP39" i="1" s="1"/>
  <c r="EW39" i="1"/>
  <c r="FG39" i="1"/>
  <c r="FK39" i="1"/>
  <c r="EJ40" i="1"/>
  <c r="EK40" i="1" s="1"/>
  <c r="ES40" i="1"/>
  <c r="FE40" i="1"/>
  <c r="FI40" i="1"/>
  <c r="FT40" i="1"/>
  <c r="EN41" i="1"/>
  <c r="EP41" i="1" s="1"/>
  <c r="EW41" i="1"/>
  <c r="FG41" i="1"/>
  <c r="FK41" i="1"/>
  <c r="EJ42" i="1"/>
  <c r="EK42" i="1" s="1"/>
  <c r="ES42" i="1"/>
  <c r="FE42" i="1"/>
  <c r="FI42" i="1"/>
  <c r="FT42" i="1"/>
  <c r="EN43" i="1"/>
  <c r="EP43" i="1" s="1"/>
  <c r="EW43" i="1"/>
  <c r="FG43" i="1"/>
  <c r="FK43" i="1"/>
  <c r="EO44" i="1"/>
  <c r="EU44" i="1"/>
  <c r="EY44" i="1"/>
  <c r="FE44" i="1"/>
  <c r="EN45" i="1"/>
  <c r="EP45" i="1" s="1"/>
  <c r="EW45" i="1"/>
  <c r="FG45" i="1"/>
  <c r="FK45" i="1"/>
  <c r="EN46" i="1"/>
  <c r="EP46" i="1" s="1"/>
  <c r="FG46" i="1"/>
  <c r="FT46" i="1"/>
  <c r="GA46" i="1"/>
  <c r="EY47" i="1"/>
  <c r="EO48" i="1"/>
  <c r="EU48" i="1"/>
  <c r="EY48" i="1"/>
  <c r="FE48" i="1"/>
  <c r="EN49" i="1"/>
  <c r="EP49" i="1" s="1"/>
  <c r="EW49" i="1"/>
  <c r="FG49" i="1"/>
  <c r="FK49" i="1"/>
  <c r="GA49" i="1"/>
  <c r="GE49" i="1"/>
  <c r="EE50" i="1"/>
  <c r="EW50" i="1"/>
  <c r="FI50" i="1"/>
  <c r="GC50" i="1"/>
  <c r="EE51" i="1"/>
  <c r="FE51" i="1"/>
  <c r="FI51" i="1"/>
  <c r="GC51" i="1"/>
  <c r="FG52" i="1"/>
  <c r="FT52" i="1"/>
  <c r="GA52" i="1"/>
  <c r="EY53" i="1"/>
  <c r="FQ53" i="1"/>
  <c r="FR53" i="1" s="1"/>
  <c r="EW54" i="1"/>
  <c r="EE55" i="1"/>
  <c r="EN55" i="1"/>
  <c r="EP55" i="1" s="1"/>
  <c r="EY55" i="1"/>
  <c r="FI55" i="1"/>
  <c r="GE55" i="1"/>
  <c r="EW56" i="1"/>
  <c r="EE57" i="1"/>
  <c r="EN57" i="1"/>
  <c r="EP57" i="1" s="1"/>
  <c r="EY57" i="1"/>
  <c r="FI57" i="1"/>
  <c r="EO58" i="1"/>
  <c r="EJ58" i="1"/>
  <c r="EK58" i="1" s="1"/>
  <c r="EU58" i="1"/>
  <c r="FG58" i="1"/>
  <c r="FR58" i="1"/>
  <c r="FT58" i="1"/>
  <c r="EJ59" i="1"/>
  <c r="EK59" i="1" s="1"/>
  <c r="EW59" i="1"/>
  <c r="FK60" i="1"/>
  <c r="EO61" i="1"/>
  <c r="EU61" i="1"/>
  <c r="FQ61" i="1"/>
  <c r="GA61" i="1"/>
  <c r="ES62" i="1"/>
  <c r="EE62" i="1"/>
  <c r="EU62" i="1"/>
  <c r="GI63" i="1"/>
  <c r="A45" i="6" s="1"/>
  <c r="EU63" i="1"/>
  <c r="GI64" i="1"/>
  <c r="A46" i="6" s="1"/>
  <c r="EW64" i="1"/>
  <c r="EO65" i="1"/>
  <c r="EW65" i="1"/>
  <c r="EO66" i="1"/>
  <c r="EJ66" i="1"/>
  <c r="EK66" i="1" s="1"/>
  <c r="EY66" i="1"/>
  <c r="FY66" i="1"/>
  <c r="ES68" i="1"/>
  <c r="GI69" i="1"/>
  <c r="A51" i="6" s="1"/>
  <c r="ES72" i="1"/>
  <c r="GI73" i="1"/>
  <c r="A55" i="6" s="1"/>
  <c r="FR74" i="1"/>
  <c r="ES75" i="1"/>
  <c r="EU75" i="1"/>
  <c r="FI75" i="1"/>
  <c r="FY75" i="1"/>
  <c r="GE75" i="1"/>
  <c r="EK76" i="1"/>
  <c r="EW76" i="1"/>
  <c r="FK76" i="1"/>
  <c r="FE77" i="1"/>
  <c r="FQ77" i="1"/>
  <c r="GA77" i="1"/>
  <c r="GI78" i="1"/>
  <c r="A60" i="6" s="1"/>
  <c r="EO78" i="1"/>
  <c r="FG78" i="1"/>
  <c r="ES80" i="1"/>
  <c r="GI81" i="1"/>
  <c r="A63" i="6" s="1"/>
  <c r="EU81" i="1"/>
  <c r="FY81" i="1"/>
  <c r="FR82" i="1"/>
  <c r="ES85" i="1"/>
  <c r="GI87" i="1"/>
  <c r="A69" i="6" s="1"/>
  <c r="FY87" i="1"/>
  <c r="ES91" i="1"/>
  <c r="GI92" i="1"/>
  <c r="A74" i="6" s="1"/>
  <c r="FR96" i="1"/>
  <c r="ES97" i="1"/>
  <c r="GI98" i="1"/>
  <c r="A80" i="6" s="1"/>
  <c r="FY100" i="1"/>
  <c r="ES101" i="1"/>
  <c r="GI102" i="1"/>
  <c r="A84" i="6" s="1"/>
  <c r="GI103" i="1"/>
  <c r="A85" i="6" s="1"/>
  <c r="EK105" i="1"/>
  <c r="FY105" i="1"/>
  <c r="GI109" i="1"/>
  <c r="A91" i="6" s="1"/>
  <c r="GI115" i="1"/>
  <c r="A97" i="6" s="1"/>
  <c r="EU68" i="1"/>
  <c r="EU70" i="1"/>
  <c r="EU72" i="1"/>
  <c r="EU74" i="1"/>
  <c r="EU76" i="1"/>
  <c r="EU78" i="1"/>
  <c r="EU80" i="1"/>
  <c r="EW82" i="1"/>
  <c r="EO83" i="1"/>
  <c r="EJ83" i="1"/>
  <c r="EK83" i="1" s="1"/>
  <c r="EW83" i="1"/>
  <c r="EJ84" i="1"/>
  <c r="EK84" i="1" s="1"/>
  <c r="EE85" i="1"/>
  <c r="EW86" i="1"/>
  <c r="EY87" i="1"/>
  <c r="FQ87" i="1"/>
  <c r="EE88" i="1"/>
  <c r="EU88" i="1"/>
  <c r="EU89" i="1"/>
  <c r="FX89" i="1"/>
  <c r="FY89" i="1" s="1"/>
  <c r="EO90" i="1"/>
  <c r="EY90" i="1"/>
  <c r="FQ90" i="1"/>
  <c r="EY91" i="1"/>
  <c r="FQ91" i="1"/>
  <c r="FR91" i="1" s="1"/>
  <c r="EE92" i="1"/>
  <c r="EU92" i="1"/>
  <c r="EU93" i="1"/>
  <c r="FX93" i="1"/>
  <c r="FY93" i="1" s="1"/>
  <c r="EO94" i="1"/>
  <c r="EY94" i="1"/>
  <c r="FQ94" i="1"/>
  <c r="EE95" i="1"/>
  <c r="EW96" i="1"/>
  <c r="EY97" i="1"/>
  <c r="FQ97" i="1"/>
  <c r="EE98" i="1"/>
  <c r="EU98" i="1"/>
  <c r="EO99" i="1"/>
  <c r="EJ99" i="1"/>
  <c r="EK99" i="1" s="1"/>
  <c r="EW99" i="1"/>
  <c r="EJ100" i="1"/>
  <c r="EK100" i="1" s="1"/>
  <c r="EU101" i="1"/>
  <c r="EO102" i="1"/>
  <c r="EY102" i="1"/>
  <c r="FQ102" i="1"/>
  <c r="EY103" i="1"/>
  <c r="FQ103" i="1"/>
  <c r="EE104" i="1"/>
  <c r="EU104" i="1"/>
  <c r="EU105" i="1"/>
  <c r="EO106" i="1"/>
  <c r="EU106" i="1"/>
  <c r="FQ106" i="1"/>
  <c r="EO108" i="1"/>
  <c r="EU108" i="1"/>
  <c r="FQ108" i="1"/>
  <c r="FR108" i="1" s="1"/>
  <c r="ES109" i="1"/>
  <c r="EE109" i="1"/>
  <c r="EY109" i="1"/>
  <c r="GI110" i="1"/>
  <c r="A92" i="6" s="1"/>
  <c r="ES110" i="1"/>
  <c r="EW111" i="1"/>
  <c r="EE112" i="1"/>
  <c r="EY112" i="1"/>
  <c r="EO113" i="1"/>
  <c r="EJ113" i="1"/>
  <c r="EK113" i="1" s="1"/>
  <c r="EU113" i="1"/>
  <c r="FR113" i="1"/>
  <c r="EK114" i="1"/>
  <c r="EW114" i="1"/>
  <c r="FY114" i="1"/>
  <c r="EO115" i="1"/>
  <c r="EJ115" i="1"/>
  <c r="EK115" i="1" s="1"/>
  <c r="EU115" i="1"/>
  <c r="EK116" i="1"/>
  <c r="EY116" i="1"/>
  <c r="FY116" i="1"/>
  <c r="ES117" i="1"/>
  <c r="EE117" i="1"/>
  <c r="EU117" i="1"/>
  <c r="GI118" i="1"/>
  <c r="A100" i="6" s="1"/>
  <c r="EU118" i="1"/>
  <c r="EO119" i="1"/>
  <c r="EJ119" i="1"/>
  <c r="EK119" i="1" s="1"/>
  <c r="EY119" i="1"/>
  <c r="FR119" i="1"/>
  <c r="FY119" i="1"/>
  <c r="EY120" i="1"/>
  <c r="FR120" i="1"/>
  <c r="EE122" i="1"/>
  <c r="ES122" i="1"/>
  <c r="GI123" i="1"/>
  <c r="A105" i="6" s="1"/>
  <c r="EW123" i="1"/>
  <c r="EO124" i="1"/>
  <c r="EW124" i="1"/>
  <c r="EE126" i="1"/>
  <c r="ES126" i="1"/>
  <c r="ES127" i="1"/>
  <c r="EE127" i="1"/>
  <c r="EU127" i="1"/>
  <c r="GI128" i="1"/>
  <c r="A110" i="6" s="1"/>
  <c r="EU128" i="1"/>
  <c r="GI129" i="1"/>
  <c r="A111" i="6" s="1"/>
  <c r="EW129" i="1"/>
  <c r="EO130" i="1"/>
  <c r="EW130" i="1"/>
  <c r="FG131" i="1"/>
  <c r="GI132" i="1"/>
  <c r="A114" i="6" s="1"/>
  <c r="GI133" i="1"/>
  <c r="A115" i="6" s="1"/>
  <c r="FG133" i="1"/>
  <c r="ES134" i="1"/>
  <c r="EU134" i="1"/>
  <c r="FI134" i="1"/>
  <c r="GE134" i="1"/>
  <c r="EJ137" i="1"/>
  <c r="EK137" i="1" s="1"/>
  <c r="FT137" i="1"/>
  <c r="ES138" i="1"/>
  <c r="FT139" i="1"/>
  <c r="ES140" i="1"/>
  <c r="GI146" i="1"/>
  <c r="A128" i="6" s="1"/>
  <c r="EO67" i="1"/>
  <c r="EE67" i="1"/>
  <c r="EW67" i="1"/>
  <c r="EO69" i="1"/>
  <c r="EE69" i="1"/>
  <c r="EW69" i="1"/>
  <c r="EO71" i="1"/>
  <c r="EE71" i="1"/>
  <c r="EW71" i="1"/>
  <c r="EO73" i="1"/>
  <c r="EE73" i="1"/>
  <c r="EW73" i="1"/>
  <c r="EO75" i="1"/>
  <c r="EE75" i="1"/>
  <c r="EW75" i="1"/>
  <c r="EO77" i="1"/>
  <c r="EE77" i="1"/>
  <c r="EW77" i="1"/>
  <c r="EO79" i="1"/>
  <c r="EE79" i="1"/>
  <c r="EW79" i="1"/>
  <c r="EO81" i="1"/>
  <c r="EE81" i="1"/>
  <c r="EW81" i="1"/>
  <c r="EO82" i="1"/>
  <c r="EY82" i="1"/>
  <c r="EY83" i="1"/>
  <c r="EE84" i="1"/>
  <c r="EU84" i="1"/>
  <c r="EU85" i="1"/>
  <c r="EO86" i="1"/>
  <c r="EY86" i="1"/>
  <c r="EE87" i="1"/>
  <c r="EW88" i="1"/>
  <c r="EO89" i="1"/>
  <c r="EW89" i="1"/>
  <c r="EJ90" i="1"/>
  <c r="EK90" i="1" s="1"/>
  <c r="ES90" i="1"/>
  <c r="EE91" i="1"/>
  <c r="EW92" i="1"/>
  <c r="EO93" i="1"/>
  <c r="EW93" i="1"/>
  <c r="EJ94" i="1"/>
  <c r="EK94" i="1" s="1"/>
  <c r="ES94" i="1"/>
  <c r="EU95" i="1"/>
  <c r="EO96" i="1"/>
  <c r="EY96" i="1"/>
  <c r="EE97" i="1"/>
  <c r="EW98" i="1"/>
  <c r="EY99" i="1"/>
  <c r="EE100" i="1"/>
  <c r="EU100" i="1"/>
  <c r="EO101" i="1"/>
  <c r="EW101" i="1"/>
  <c r="EJ102" i="1"/>
  <c r="EK102" i="1" s="1"/>
  <c r="ES102" i="1"/>
  <c r="EE103" i="1"/>
  <c r="EW104" i="1"/>
  <c r="EO105" i="1"/>
  <c r="EW105" i="1"/>
  <c r="EK106" i="1"/>
  <c r="EW106" i="1"/>
  <c r="FY106" i="1"/>
  <c r="EO107" i="1"/>
  <c r="EU107" i="1"/>
  <c r="FR107" i="1"/>
  <c r="EK108" i="1"/>
  <c r="EW108" i="1"/>
  <c r="EO110" i="1"/>
  <c r="EU110" i="1"/>
  <c r="FQ110" i="1"/>
  <c r="ES111" i="1"/>
  <c r="EE111" i="1"/>
  <c r="EY111" i="1"/>
  <c r="GI112" i="1"/>
  <c r="A94" i="6" s="1"/>
  <c r="ES112" i="1"/>
  <c r="EW113" i="1"/>
  <c r="EE114" i="1"/>
  <c r="EY114" i="1"/>
  <c r="EW115" i="1"/>
  <c r="EE116" i="1"/>
  <c r="ES116" i="1"/>
  <c r="GI117" i="1"/>
  <c r="A99" i="6" s="1"/>
  <c r="EW117" i="1"/>
  <c r="EO118" i="1"/>
  <c r="EW118" i="1"/>
  <c r="EE120" i="1"/>
  <c r="ES120" i="1"/>
  <c r="ES121" i="1"/>
  <c r="EE121" i="1"/>
  <c r="EU121" i="1"/>
  <c r="GI122" i="1"/>
  <c r="A104" i="6" s="1"/>
  <c r="EU122" i="1"/>
  <c r="EO123" i="1"/>
  <c r="EK123" i="1"/>
  <c r="EY123" i="1"/>
  <c r="FY123" i="1"/>
  <c r="EY124" i="1"/>
  <c r="FY124" i="1"/>
  <c r="ES125" i="1"/>
  <c r="EE125" i="1"/>
  <c r="EU125" i="1"/>
  <c r="GI126" i="1"/>
  <c r="A108" i="6" s="1"/>
  <c r="EU126" i="1"/>
  <c r="GI127" i="1"/>
  <c r="A109" i="6" s="1"/>
  <c r="EW127" i="1"/>
  <c r="EO128" i="1"/>
  <c r="EW128" i="1"/>
  <c r="EO129" i="1"/>
  <c r="EK129" i="1"/>
  <c r="EY129" i="1"/>
  <c r="FY129" i="1"/>
  <c r="EY130" i="1"/>
  <c r="FY130" i="1"/>
  <c r="ES131" i="1"/>
  <c r="EE131" i="1"/>
  <c r="EU131" i="1"/>
  <c r="FE132" i="1"/>
  <c r="GA132" i="1"/>
  <c r="ES133" i="1"/>
  <c r="EE133" i="1"/>
  <c r="GI134" i="1"/>
  <c r="A116" i="6" s="1"/>
  <c r="GI135" i="1"/>
  <c r="A117" i="6" s="1"/>
  <c r="FG135" i="1"/>
  <c r="FY135" i="1"/>
  <c r="ES136" i="1"/>
  <c r="GE136" i="1"/>
  <c r="ES137" i="1"/>
  <c r="EE137" i="1"/>
  <c r="EW137" i="1"/>
  <c r="FK137" i="1"/>
  <c r="GC137" i="1"/>
  <c r="GI138" i="1"/>
  <c r="A120" i="6" s="1"/>
  <c r="EN138" i="1"/>
  <c r="GE138" i="1"/>
  <c r="EK139" i="1"/>
  <c r="ES139" i="1"/>
  <c r="EE139" i="1"/>
  <c r="EW139" i="1"/>
  <c r="FK139" i="1"/>
  <c r="GC139" i="1"/>
  <c r="GI140" i="1"/>
  <c r="A122" i="6" s="1"/>
  <c r="EN140" i="1"/>
  <c r="EK146" i="1"/>
  <c r="FX67" i="1"/>
  <c r="FY67" i="1" s="1"/>
  <c r="FX77" i="1"/>
  <c r="FY77" i="1" s="1"/>
  <c r="ES79" i="1"/>
  <c r="ES81" i="1"/>
  <c r="EJ82" i="1"/>
  <c r="EK82" i="1" s="1"/>
  <c r="ES82" i="1"/>
  <c r="EE83" i="1"/>
  <c r="EW84" i="1"/>
  <c r="EO85" i="1"/>
  <c r="EW85" i="1"/>
  <c r="EJ86" i="1"/>
  <c r="EK86" i="1" s="1"/>
  <c r="ES86" i="1"/>
  <c r="EU87" i="1"/>
  <c r="EO88" i="1"/>
  <c r="EY88" i="1"/>
  <c r="EY89" i="1"/>
  <c r="EE90" i="1"/>
  <c r="EU90" i="1"/>
  <c r="EU91" i="1"/>
  <c r="EO92" i="1"/>
  <c r="EY92" i="1"/>
  <c r="EY93" i="1"/>
  <c r="EE94" i="1"/>
  <c r="EU94" i="1"/>
  <c r="EO95" i="1"/>
  <c r="EW95" i="1"/>
  <c r="EJ96" i="1"/>
  <c r="EK96" i="1" s="1"/>
  <c r="ES96" i="1"/>
  <c r="EU97" i="1"/>
  <c r="EO98" i="1"/>
  <c r="EY98" i="1"/>
  <c r="EE99" i="1"/>
  <c r="EW100" i="1"/>
  <c r="EY101" i="1"/>
  <c r="EE102" i="1"/>
  <c r="EU102" i="1"/>
  <c r="EU103" i="1"/>
  <c r="EO104" i="1"/>
  <c r="EY104" i="1"/>
  <c r="EY105" i="1"/>
  <c r="EE106" i="1"/>
  <c r="EY106" i="1"/>
  <c r="EW107" i="1"/>
  <c r="EE108" i="1"/>
  <c r="EY108" i="1"/>
  <c r="EO109" i="1"/>
  <c r="EU109" i="1"/>
  <c r="EK110" i="1"/>
  <c r="EW110" i="1"/>
  <c r="EO112" i="1"/>
  <c r="EU112" i="1"/>
  <c r="ES113" i="1"/>
  <c r="EE113" i="1"/>
  <c r="EY113" i="1"/>
  <c r="GI114" i="1"/>
  <c r="A96" i="6" s="1"/>
  <c r="ES114" i="1"/>
  <c r="ES115" i="1"/>
  <c r="EE115" i="1"/>
  <c r="EY115" i="1"/>
  <c r="GI116" i="1"/>
  <c r="A98" i="6" s="1"/>
  <c r="EU116" i="1"/>
  <c r="EO117" i="1"/>
  <c r="EK117" i="1"/>
  <c r="EY117" i="1"/>
  <c r="FR117" i="1"/>
  <c r="EK118" i="1"/>
  <c r="EY118" i="1"/>
  <c r="FR118" i="1"/>
  <c r="FY118" i="1"/>
  <c r="ES119" i="1"/>
  <c r="EE119" i="1"/>
  <c r="EU119" i="1"/>
  <c r="GI120" i="1"/>
  <c r="A102" i="6" s="1"/>
  <c r="EU120" i="1"/>
  <c r="GI121" i="1"/>
  <c r="A103" i="6" s="1"/>
  <c r="EW121" i="1"/>
  <c r="EO122" i="1"/>
  <c r="EW122" i="1"/>
  <c r="EE124" i="1"/>
  <c r="ES124" i="1"/>
  <c r="GI125" i="1"/>
  <c r="A107" i="6" s="1"/>
  <c r="EW125" i="1"/>
  <c r="EO126" i="1"/>
  <c r="EW126" i="1"/>
  <c r="EO127" i="1"/>
  <c r="EK127" i="1"/>
  <c r="EY127" i="1"/>
  <c r="FR127" i="1"/>
  <c r="FY127" i="1"/>
  <c r="EY128" i="1"/>
  <c r="FR128" i="1"/>
  <c r="EE130" i="1"/>
  <c r="ES130" i="1"/>
  <c r="GI131" i="1"/>
  <c r="A113" i="6" s="1"/>
  <c r="EW131" i="1"/>
  <c r="FK131" i="1"/>
  <c r="EK133" i="1"/>
  <c r="EW133" i="1"/>
  <c r="FK133" i="1"/>
  <c r="FE134" i="1"/>
  <c r="FQ134" i="1"/>
  <c r="GA134" i="1"/>
  <c r="ES135" i="1"/>
  <c r="EE135" i="1"/>
  <c r="FT135" i="1"/>
  <c r="GI136" i="1"/>
  <c r="A118" i="6" s="1"/>
  <c r="EN136" i="1"/>
  <c r="GI137" i="1"/>
  <c r="A119" i="6" s="1"/>
  <c r="GI139" i="1"/>
  <c r="A121" i="6" s="1"/>
  <c r="FY140" i="1"/>
  <c r="FR141" i="1"/>
  <c r="ES143" i="1"/>
  <c r="GI144" i="1"/>
  <c r="A126" i="6" s="1"/>
  <c r="GI150" i="1"/>
  <c r="A132" i="6" s="1"/>
  <c r="EJ67" i="1"/>
  <c r="EK67" i="1" s="1"/>
  <c r="EY68" i="1"/>
  <c r="EJ69" i="1"/>
  <c r="EK69" i="1" s="1"/>
  <c r="EY70" i="1"/>
  <c r="EJ71" i="1"/>
  <c r="EK71" i="1" s="1"/>
  <c r="EY72" i="1"/>
  <c r="EJ73" i="1"/>
  <c r="EK73" i="1" s="1"/>
  <c r="EY74" i="1"/>
  <c r="EJ75" i="1"/>
  <c r="EK75" i="1" s="1"/>
  <c r="EY76" i="1"/>
  <c r="EJ77" i="1"/>
  <c r="EK77" i="1" s="1"/>
  <c r="EY78" i="1"/>
  <c r="EJ79" i="1"/>
  <c r="EK79" i="1" s="1"/>
  <c r="EY80" i="1"/>
  <c r="EJ81" i="1"/>
  <c r="EK81" i="1" s="1"/>
  <c r="FQ81" i="1"/>
  <c r="FR81" i="1" s="1"/>
  <c r="EE82" i="1"/>
  <c r="EU82" i="1"/>
  <c r="EU83" i="1"/>
  <c r="EO84" i="1"/>
  <c r="EY84" i="1"/>
  <c r="EY85" i="1"/>
  <c r="EE86" i="1"/>
  <c r="EU86" i="1"/>
  <c r="EO87" i="1"/>
  <c r="EJ87" i="1"/>
  <c r="EK87" i="1" s="1"/>
  <c r="EW87" i="1"/>
  <c r="EJ88" i="1"/>
  <c r="EK88" i="1" s="1"/>
  <c r="ES88" i="1"/>
  <c r="EE89" i="1"/>
  <c r="EW90" i="1"/>
  <c r="EO91" i="1"/>
  <c r="EJ91" i="1"/>
  <c r="EK91" i="1" s="1"/>
  <c r="EW91" i="1"/>
  <c r="EJ92" i="1"/>
  <c r="EK92" i="1" s="1"/>
  <c r="ES92" i="1"/>
  <c r="EE93" i="1"/>
  <c r="EW94" i="1"/>
  <c r="EY95" i="1"/>
  <c r="EE96" i="1"/>
  <c r="EU96" i="1"/>
  <c r="EO97" i="1"/>
  <c r="EJ97" i="1"/>
  <c r="EK97" i="1" s="1"/>
  <c r="EW97" i="1"/>
  <c r="EJ98" i="1"/>
  <c r="EK98" i="1" s="1"/>
  <c r="ES98" i="1"/>
  <c r="EU99" i="1"/>
  <c r="EO100" i="1"/>
  <c r="EY100" i="1"/>
  <c r="EE101" i="1"/>
  <c r="EW102" i="1"/>
  <c r="EO103" i="1"/>
  <c r="EJ103" i="1"/>
  <c r="EK103" i="1" s="1"/>
  <c r="EW103" i="1"/>
  <c r="EJ104" i="1"/>
  <c r="EK104" i="1" s="1"/>
  <c r="ES104" i="1"/>
  <c r="EE105" i="1"/>
  <c r="GI106" i="1"/>
  <c r="A88" i="6" s="1"/>
  <c r="ES106" i="1"/>
  <c r="ES107" i="1"/>
  <c r="EE107" i="1"/>
  <c r="EY107" i="1"/>
  <c r="GI108" i="1"/>
  <c r="A90" i="6" s="1"/>
  <c r="ES108" i="1"/>
  <c r="EW109" i="1"/>
  <c r="EE110" i="1"/>
  <c r="EY110" i="1"/>
  <c r="EO111" i="1"/>
  <c r="EJ111" i="1"/>
  <c r="EK111" i="1" s="1"/>
  <c r="EU111" i="1"/>
  <c r="EJ112" i="1"/>
  <c r="EK112" i="1" s="1"/>
  <c r="EW112" i="1"/>
  <c r="EO114" i="1"/>
  <c r="EU114" i="1"/>
  <c r="FQ114" i="1"/>
  <c r="FR114" i="1" s="1"/>
  <c r="EO116" i="1"/>
  <c r="EW116" i="1"/>
  <c r="EE118" i="1"/>
  <c r="ES118" i="1"/>
  <c r="GI119" i="1"/>
  <c r="A101" i="6" s="1"/>
  <c r="EW119" i="1"/>
  <c r="EO120" i="1"/>
  <c r="EW120" i="1"/>
  <c r="EO121" i="1"/>
  <c r="EJ121" i="1"/>
  <c r="EK121" i="1" s="1"/>
  <c r="EY121" i="1"/>
  <c r="FR121" i="1"/>
  <c r="FY121" i="1"/>
  <c r="EK122" i="1"/>
  <c r="EY122" i="1"/>
  <c r="FR122" i="1"/>
  <c r="ES123" i="1"/>
  <c r="EE123" i="1"/>
  <c r="EU123" i="1"/>
  <c r="GI124" i="1"/>
  <c r="A106" i="6" s="1"/>
  <c r="EU124" i="1"/>
  <c r="EO125" i="1"/>
  <c r="EJ125" i="1"/>
  <c r="EK125" i="1" s="1"/>
  <c r="EY125" i="1"/>
  <c r="FY125" i="1"/>
  <c r="EK126" i="1"/>
  <c r="EY126" i="1"/>
  <c r="EE128" i="1"/>
  <c r="ES128" i="1"/>
  <c r="ES129" i="1"/>
  <c r="EE129" i="1"/>
  <c r="EU129" i="1"/>
  <c r="GI130" i="1"/>
  <c r="A112" i="6" s="1"/>
  <c r="EU130" i="1"/>
  <c r="EO131" i="1"/>
  <c r="EJ131" i="1"/>
  <c r="EK131" i="1" s="1"/>
  <c r="ES132" i="1"/>
  <c r="EU132" i="1"/>
  <c r="FI132" i="1"/>
  <c r="GE132" i="1"/>
  <c r="FR133" i="1"/>
  <c r="EK135" i="1"/>
  <c r="EW135" i="1"/>
  <c r="FK135" i="1"/>
  <c r="GC135" i="1"/>
  <c r="FQ136" i="1"/>
  <c r="GA136" i="1"/>
  <c r="FG137" i="1"/>
  <c r="FY137" i="1"/>
  <c r="FQ138" i="1"/>
  <c r="GA138" i="1"/>
  <c r="FG139" i="1"/>
  <c r="FY139" i="1"/>
  <c r="ES142" i="1"/>
  <c r="GI143" i="1"/>
  <c r="A125" i="6" s="1"/>
  <c r="FR145" i="1"/>
  <c r="GI148" i="1"/>
  <c r="A130" i="6" s="1"/>
  <c r="EU133" i="1"/>
  <c r="EU135" i="1"/>
  <c r="EU137" i="1"/>
  <c r="EU139" i="1"/>
  <c r="EO141" i="1"/>
  <c r="EY141" i="1"/>
  <c r="EY142" i="1"/>
  <c r="EE143" i="1"/>
  <c r="EU143" i="1"/>
  <c r="EO145" i="1"/>
  <c r="EU145" i="1"/>
  <c r="EO147" i="1"/>
  <c r="EU147" i="1"/>
  <c r="ES148" i="1"/>
  <c r="EE148" i="1"/>
  <c r="EY148" i="1"/>
  <c r="FE148" i="1"/>
  <c r="GE148" i="1"/>
  <c r="EK149" i="1"/>
  <c r="ES149" i="1"/>
  <c r="FK149" i="1"/>
  <c r="FT149" i="1"/>
  <c r="EW150" i="1"/>
  <c r="FI150" i="1"/>
  <c r="ES151" i="1"/>
  <c r="EE151" i="1"/>
  <c r="EU151" i="1"/>
  <c r="FT151" i="1"/>
  <c r="GC151" i="1"/>
  <c r="EO152" i="1"/>
  <c r="EK152" i="1"/>
  <c r="EY152" i="1"/>
  <c r="FE152" i="1"/>
  <c r="GI153" i="1"/>
  <c r="A135" i="6" s="1"/>
  <c r="EO153" i="1"/>
  <c r="FG153" i="1"/>
  <c r="FY153" i="1"/>
  <c r="ES154" i="1"/>
  <c r="EE154" i="1"/>
  <c r="EU154" i="1"/>
  <c r="FI154" i="1"/>
  <c r="EK155" i="1"/>
  <c r="EW155" i="1"/>
  <c r="FK155" i="1"/>
  <c r="GC155" i="1"/>
  <c r="EO156" i="1"/>
  <c r="EK156" i="1"/>
  <c r="EY156" i="1"/>
  <c r="FE156" i="1"/>
  <c r="FR156" i="1"/>
  <c r="GI157" i="1"/>
  <c r="A139" i="6" s="1"/>
  <c r="EO157" i="1"/>
  <c r="FG157" i="1"/>
  <c r="FY157" i="1"/>
  <c r="ES158" i="1"/>
  <c r="EE158" i="1"/>
  <c r="EU158" i="1"/>
  <c r="FI158" i="1"/>
  <c r="EW159" i="1"/>
  <c r="FK159" i="1"/>
  <c r="GC159" i="1"/>
  <c r="EO160" i="1"/>
  <c r="EK160" i="1"/>
  <c r="FY160" i="1"/>
  <c r="ES161" i="1"/>
  <c r="GE161" i="1"/>
  <c r="EK162" i="1"/>
  <c r="ES162" i="1"/>
  <c r="EE162" i="1"/>
  <c r="EW162" i="1"/>
  <c r="FK162" i="1"/>
  <c r="GC162" i="1"/>
  <c r="GI163" i="1"/>
  <c r="A146" i="6" s="1"/>
  <c r="EN163" i="1"/>
  <c r="GE163" i="1"/>
  <c r="ES164" i="1"/>
  <c r="EE164" i="1"/>
  <c r="EW164" i="1"/>
  <c r="FK164" i="1"/>
  <c r="GC164" i="1"/>
  <c r="GI165" i="1"/>
  <c r="A148" i="6" s="1"/>
  <c r="EN165" i="1"/>
  <c r="GE165" i="1"/>
  <c r="EK166" i="1"/>
  <c r="ES166" i="1"/>
  <c r="EE166" i="1"/>
  <c r="EW166" i="1"/>
  <c r="FK166" i="1"/>
  <c r="GC166" i="1"/>
  <c r="GI167" i="1"/>
  <c r="A150" i="6" s="1"/>
  <c r="EN167" i="1"/>
  <c r="EK168" i="1"/>
  <c r="ES168" i="1"/>
  <c r="EE168" i="1"/>
  <c r="GC168" i="1"/>
  <c r="GI169" i="1"/>
  <c r="A152" i="6" s="1"/>
  <c r="EN169" i="1"/>
  <c r="EK170" i="1"/>
  <c r="ES170" i="1"/>
  <c r="EE170" i="1"/>
  <c r="GC170" i="1"/>
  <c r="GI171" i="1"/>
  <c r="A154" i="6" s="1"/>
  <c r="EN171" i="1"/>
  <c r="ES172" i="1"/>
  <c r="FE173" i="1"/>
  <c r="FG174" i="1"/>
  <c r="FI175" i="1"/>
  <c r="EK176" i="1"/>
  <c r="GC176" i="1"/>
  <c r="GI180" i="1"/>
  <c r="A163" i="6" s="1"/>
  <c r="GI182" i="1"/>
  <c r="A165" i="6" s="1"/>
  <c r="EK184" i="1"/>
  <c r="ES185" i="1"/>
  <c r="GI186" i="1"/>
  <c r="A169" i="6" s="1"/>
  <c r="EO132" i="1"/>
  <c r="EE132" i="1"/>
  <c r="EW132" i="1"/>
  <c r="EO134" i="1"/>
  <c r="EE134" i="1"/>
  <c r="EW134" i="1"/>
  <c r="EO136" i="1"/>
  <c r="EE136" i="1"/>
  <c r="EW136" i="1"/>
  <c r="EO138" i="1"/>
  <c r="EE138" i="1"/>
  <c r="EW138" i="1"/>
  <c r="EO140" i="1"/>
  <c r="EE140" i="1"/>
  <c r="EW140" i="1"/>
  <c r="EJ141" i="1"/>
  <c r="EK141" i="1" s="1"/>
  <c r="ES141" i="1"/>
  <c r="EE142" i="1"/>
  <c r="EW143" i="1"/>
  <c r="EO144" i="1"/>
  <c r="EU144" i="1"/>
  <c r="EJ145" i="1"/>
  <c r="EK145" i="1" s="1"/>
  <c r="EW145" i="1"/>
  <c r="FY145" i="1"/>
  <c r="EO146" i="1"/>
  <c r="EU146" i="1"/>
  <c r="FR146" i="1"/>
  <c r="EJ147" i="1"/>
  <c r="EK147" i="1" s="1"/>
  <c r="EW147" i="1"/>
  <c r="EN148" i="1"/>
  <c r="GA148" i="1"/>
  <c r="EU149" i="1"/>
  <c r="FG149" i="1"/>
  <c r="ES150" i="1"/>
  <c r="EE150" i="1"/>
  <c r="EY150" i="1"/>
  <c r="FE150" i="1"/>
  <c r="GE150" i="1"/>
  <c r="EK151" i="1"/>
  <c r="EW151" i="1"/>
  <c r="FK151" i="1"/>
  <c r="GA152" i="1"/>
  <c r="ES153" i="1"/>
  <c r="EE153" i="1"/>
  <c r="EU153" i="1"/>
  <c r="FT153" i="1"/>
  <c r="GI154" i="1"/>
  <c r="A136" i="6" s="1"/>
  <c r="EN154" i="1"/>
  <c r="EW154" i="1"/>
  <c r="FY154" i="1"/>
  <c r="GE154" i="1"/>
  <c r="EY155" i="1"/>
  <c r="GA156" i="1"/>
  <c r="ES157" i="1"/>
  <c r="EE157" i="1"/>
  <c r="EU157" i="1"/>
  <c r="FT157" i="1"/>
  <c r="GI158" i="1"/>
  <c r="A140" i="6" s="1"/>
  <c r="EN158" i="1"/>
  <c r="EW158" i="1"/>
  <c r="FY158" i="1"/>
  <c r="GE158" i="1"/>
  <c r="EY159" i="1"/>
  <c r="FG160" i="1"/>
  <c r="FT160" i="1"/>
  <c r="GI161" i="1"/>
  <c r="A143" i="6" s="1"/>
  <c r="EN161" i="1"/>
  <c r="GI162" i="1"/>
  <c r="A145" i="6" s="1"/>
  <c r="GI164" i="1"/>
  <c r="A147" i="6" s="1"/>
  <c r="GI166" i="1"/>
  <c r="A149" i="6" s="1"/>
  <c r="GI168" i="1"/>
  <c r="A151" i="6" s="1"/>
  <c r="GI170" i="1"/>
  <c r="A153" i="6" s="1"/>
  <c r="FI171" i="1"/>
  <c r="GC172" i="1"/>
  <c r="GI173" i="1"/>
  <c r="A156" i="6" s="1"/>
  <c r="EN173" i="1"/>
  <c r="EK174" i="1"/>
  <c r="FY174" i="1"/>
  <c r="FG176" i="1"/>
  <c r="FR183" i="1"/>
  <c r="FX136" i="1"/>
  <c r="FY136" i="1" s="1"/>
  <c r="FX138" i="1"/>
  <c r="FY138" i="1" s="1"/>
  <c r="EY140" i="1"/>
  <c r="FQ140" i="1"/>
  <c r="FR140" i="1" s="1"/>
  <c r="EE141" i="1"/>
  <c r="EU141" i="1"/>
  <c r="EU142" i="1"/>
  <c r="EO143" i="1"/>
  <c r="EY143" i="1"/>
  <c r="FQ143" i="1"/>
  <c r="EW144" i="1"/>
  <c r="EE145" i="1"/>
  <c r="EY145" i="1"/>
  <c r="EW146" i="1"/>
  <c r="EE147" i="1"/>
  <c r="EY147" i="1"/>
  <c r="EO148" i="1"/>
  <c r="EJ148" i="1"/>
  <c r="EK148" i="1" s="1"/>
  <c r="EU148" i="1"/>
  <c r="FQ148" i="1"/>
  <c r="FR148" i="1" s="1"/>
  <c r="GI149" i="1"/>
  <c r="A131" i="6" s="1"/>
  <c r="EO149" i="1"/>
  <c r="EW149" i="1"/>
  <c r="GC149" i="1"/>
  <c r="EN150" i="1"/>
  <c r="GA150" i="1"/>
  <c r="EY151" i="1"/>
  <c r="FR151" i="1"/>
  <c r="FY151" i="1"/>
  <c r="ES152" i="1"/>
  <c r="EE152" i="1"/>
  <c r="EU152" i="1"/>
  <c r="FI152" i="1"/>
  <c r="EK153" i="1"/>
  <c r="EW153" i="1"/>
  <c r="FK153" i="1"/>
  <c r="GC153" i="1"/>
  <c r="EO154" i="1"/>
  <c r="EJ154" i="1"/>
  <c r="EK154" i="1" s="1"/>
  <c r="EY154" i="1"/>
  <c r="FE154" i="1"/>
  <c r="FQ154" i="1"/>
  <c r="GI155" i="1"/>
  <c r="A137" i="6" s="1"/>
  <c r="EO155" i="1"/>
  <c r="FG155" i="1"/>
  <c r="FY155" i="1"/>
  <c r="ES156" i="1"/>
  <c r="EE156" i="1"/>
  <c r="EU156" i="1"/>
  <c r="FI156" i="1"/>
  <c r="EW157" i="1"/>
  <c r="FK157" i="1"/>
  <c r="GC157" i="1"/>
  <c r="EO158" i="1"/>
  <c r="EJ158" i="1"/>
  <c r="EK158" i="1" s="1"/>
  <c r="EY158" i="1"/>
  <c r="FE158" i="1"/>
  <c r="FQ158" i="1"/>
  <c r="GI159" i="1"/>
  <c r="A141" i="6" s="1"/>
  <c r="EO159" i="1"/>
  <c r="FG159" i="1"/>
  <c r="FY159" i="1"/>
  <c r="ES160" i="1"/>
  <c r="EE160" i="1"/>
  <c r="EU160" i="1"/>
  <c r="GC160" i="1"/>
  <c r="FQ161" i="1"/>
  <c r="FR161" i="1" s="1"/>
  <c r="GA161" i="1"/>
  <c r="FG162" i="1"/>
  <c r="FY162" i="1"/>
  <c r="FQ163" i="1"/>
  <c r="FR163" i="1" s="1"/>
  <c r="GA163" i="1"/>
  <c r="FG164" i="1"/>
  <c r="FY164" i="1"/>
  <c r="FQ165" i="1"/>
  <c r="FR165" i="1" s="1"/>
  <c r="GA165" i="1"/>
  <c r="FG166" i="1"/>
  <c r="FY166" i="1"/>
  <c r="FQ167" i="1"/>
  <c r="FR167" i="1" s="1"/>
  <c r="FY168" i="1"/>
  <c r="EY169" i="1"/>
  <c r="FY170" i="1"/>
  <c r="FG172" i="1"/>
  <c r="FI173" i="1"/>
  <c r="GE173" i="1"/>
  <c r="ES174" i="1"/>
  <c r="FK174" i="1"/>
  <c r="FT174" i="1"/>
  <c r="FQ175" i="1"/>
  <c r="FR175" i="1" s="1"/>
  <c r="GA175" i="1"/>
  <c r="GI176" i="1"/>
  <c r="A159" i="6" s="1"/>
  <c r="ES183" i="1"/>
  <c r="GI184" i="1"/>
  <c r="A167" i="6" s="1"/>
  <c r="EY131" i="1"/>
  <c r="FQ131" i="1"/>
  <c r="FR131" i="1" s="1"/>
  <c r="EJ132" i="1"/>
  <c r="EK132" i="1" s="1"/>
  <c r="EY133" i="1"/>
  <c r="EJ134" i="1"/>
  <c r="EK134" i="1" s="1"/>
  <c r="EY135" i="1"/>
  <c r="EJ136" i="1"/>
  <c r="EK136" i="1" s="1"/>
  <c r="EY137" i="1"/>
  <c r="FQ137" i="1"/>
  <c r="EJ138" i="1"/>
  <c r="EK138" i="1" s="1"/>
  <c r="EY139" i="1"/>
  <c r="FQ139" i="1"/>
  <c r="FR139" i="1" s="1"/>
  <c r="EJ140" i="1"/>
  <c r="EK140" i="1" s="1"/>
  <c r="EW141" i="1"/>
  <c r="EO142" i="1"/>
  <c r="EJ142" i="1"/>
  <c r="EK142" i="1" s="1"/>
  <c r="EW142" i="1"/>
  <c r="EJ143" i="1"/>
  <c r="EK143" i="1" s="1"/>
  <c r="ES144" i="1"/>
  <c r="EE144" i="1"/>
  <c r="EY144" i="1"/>
  <c r="GI145" i="1"/>
  <c r="A127" i="6" s="1"/>
  <c r="ES145" i="1"/>
  <c r="ES146" i="1"/>
  <c r="EE146" i="1"/>
  <c r="EY146" i="1"/>
  <c r="GI147" i="1"/>
  <c r="A129" i="6" s="1"/>
  <c r="ES147" i="1"/>
  <c r="EW148" i="1"/>
  <c r="FI148" i="1"/>
  <c r="EE149" i="1"/>
  <c r="EY149" i="1"/>
  <c r="FY149" i="1"/>
  <c r="EO150" i="1"/>
  <c r="EJ150" i="1"/>
  <c r="EK150" i="1" s="1"/>
  <c r="EU150" i="1"/>
  <c r="FQ150" i="1"/>
  <c r="GI151" i="1"/>
  <c r="A133" i="6" s="1"/>
  <c r="EO151" i="1"/>
  <c r="FG151" i="1"/>
  <c r="GI152" i="1"/>
  <c r="A134" i="6" s="1"/>
  <c r="EN152" i="1"/>
  <c r="EW152" i="1"/>
  <c r="FY152" i="1"/>
  <c r="GE152" i="1"/>
  <c r="EY153" i="1"/>
  <c r="GA154" i="1"/>
  <c r="ES155" i="1"/>
  <c r="EE155" i="1"/>
  <c r="EU155" i="1"/>
  <c r="FT155" i="1"/>
  <c r="GI156" i="1"/>
  <c r="A138" i="6" s="1"/>
  <c r="EN156" i="1"/>
  <c r="EP156" i="1" s="1"/>
  <c r="EW156" i="1"/>
  <c r="FY156" i="1"/>
  <c r="GE156" i="1"/>
  <c r="EY157" i="1"/>
  <c r="GA158" i="1"/>
  <c r="ES159" i="1"/>
  <c r="EE159" i="1"/>
  <c r="EU159" i="1"/>
  <c r="FT159" i="1"/>
  <c r="GI160" i="1"/>
  <c r="A142" i="6" s="1"/>
  <c r="EN160" i="1"/>
  <c r="EW160" i="1"/>
  <c r="FK160" i="1"/>
  <c r="FT162" i="1"/>
  <c r="ES163" i="1"/>
  <c r="FT164" i="1"/>
  <c r="ES165" i="1"/>
  <c r="FT166" i="1"/>
  <c r="ES167" i="1"/>
  <c r="FT168" i="1"/>
  <c r="ES169" i="1"/>
  <c r="FT170" i="1"/>
  <c r="FR171" i="1"/>
  <c r="GA171" i="1"/>
  <c r="GI172" i="1"/>
  <c r="A155" i="6" s="1"/>
  <c r="GI174" i="1"/>
  <c r="A157" i="6" s="1"/>
  <c r="GC174" i="1"/>
  <c r="GI175" i="1"/>
  <c r="A158" i="6" s="1"/>
  <c r="EN175" i="1"/>
  <c r="ES176" i="1"/>
  <c r="EO161" i="1"/>
  <c r="EE161" i="1"/>
  <c r="EW161" i="1"/>
  <c r="EO163" i="1"/>
  <c r="EE163" i="1"/>
  <c r="EW163" i="1"/>
  <c r="EO165" i="1"/>
  <c r="EE165" i="1"/>
  <c r="EW165" i="1"/>
  <c r="EO167" i="1"/>
  <c r="EE167" i="1"/>
  <c r="EW167" i="1"/>
  <c r="EO169" i="1"/>
  <c r="EE169" i="1"/>
  <c r="EW169" i="1"/>
  <c r="EO171" i="1"/>
  <c r="EE171" i="1"/>
  <c r="EJ175" i="1"/>
  <c r="EK175" i="1" s="1"/>
  <c r="EW175" i="1"/>
  <c r="EY176" i="1"/>
  <c r="GI177" i="1"/>
  <c r="A160" i="6" s="1"/>
  <c r="EJ178" i="1"/>
  <c r="EK178" i="1" s="1"/>
  <c r="EY178" i="1"/>
  <c r="FQ179" i="1"/>
  <c r="FR179" i="1" s="1"/>
  <c r="FY179" i="1"/>
  <c r="EU180" i="1"/>
  <c r="GI181" i="1"/>
  <c r="A164" i="6" s="1"/>
  <c r="EJ182" i="1"/>
  <c r="EK182" i="1" s="1"/>
  <c r="EY182" i="1"/>
  <c r="FE182" i="1"/>
  <c r="EE183" i="1"/>
  <c r="EW183" i="1"/>
  <c r="FI184" i="1"/>
  <c r="GI185" i="1"/>
  <c r="A168" i="6" s="1"/>
  <c r="EO185" i="1"/>
  <c r="FG185" i="1"/>
  <c r="FQ185" i="1"/>
  <c r="FR185" i="1" s="1"/>
  <c r="FY185" i="1"/>
  <c r="GC185" i="1"/>
  <c r="EN186" i="1"/>
  <c r="EP186" i="1" s="1"/>
  <c r="EU186" i="1"/>
  <c r="FQ186" i="1"/>
  <c r="FR186" i="1" s="1"/>
  <c r="GA186" i="1"/>
  <c r="EJ187" i="1"/>
  <c r="EK187" i="1" s="1"/>
  <c r="ES187" i="1"/>
  <c r="FK187" i="1"/>
  <c r="FT187" i="1"/>
  <c r="GC187" i="1"/>
  <c r="GI189" i="1"/>
  <c r="A172" i="6" s="1"/>
  <c r="EO189" i="1"/>
  <c r="FR189" i="1"/>
  <c r="ES190" i="1"/>
  <c r="FT191" i="1"/>
  <c r="GC191" i="1"/>
  <c r="GI193" i="1"/>
  <c r="A176" i="6" s="1"/>
  <c r="EO193" i="1"/>
  <c r="FR193" i="1"/>
  <c r="ES194" i="1"/>
  <c r="FT195" i="1"/>
  <c r="GC195" i="1"/>
  <c r="GI197" i="1"/>
  <c r="A180" i="6" s="1"/>
  <c r="FR197" i="1"/>
  <c r="EO198" i="1"/>
  <c r="GI199" i="1"/>
  <c r="A182" i="6" s="1"/>
  <c r="FR199" i="1"/>
  <c r="GA199" i="1"/>
  <c r="GI200" i="1"/>
  <c r="A183" i="6" s="1"/>
  <c r="GC200" i="1"/>
  <c r="GI201" i="1"/>
  <c r="A184" i="6" s="1"/>
  <c r="FR201" i="1"/>
  <c r="FX163" i="1"/>
  <c r="FY163" i="1" s="1"/>
  <c r="FX165" i="1"/>
  <c r="FY165" i="1" s="1"/>
  <c r="EK173" i="1"/>
  <c r="EW173" i="1"/>
  <c r="EY174" i="1"/>
  <c r="ES175" i="1"/>
  <c r="FY175" i="1"/>
  <c r="EU176" i="1"/>
  <c r="EO177" i="1"/>
  <c r="EK177" i="1"/>
  <c r="ES177" i="1"/>
  <c r="ES178" i="1"/>
  <c r="EE179" i="1"/>
  <c r="EW179" i="1"/>
  <c r="EO181" i="1"/>
  <c r="EK181" i="1"/>
  <c r="ES181" i="1"/>
  <c r="ES182" i="1"/>
  <c r="GE182" i="1"/>
  <c r="EY184" i="1"/>
  <c r="FE184" i="1"/>
  <c r="EE185" i="1"/>
  <c r="EW185" i="1"/>
  <c r="FI186" i="1"/>
  <c r="GI187" i="1"/>
  <c r="A170" i="6" s="1"/>
  <c r="EO187" i="1"/>
  <c r="FG187" i="1"/>
  <c r="FY187" i="1"/>
  <c r="EK188" i="1"/>
  <c r="EU188" i="1"/>
  <c r="FI188" i="1"/>
  <c r="GA188" i="1"/>
  <c r="ES189" i="1"/>
  <c r="EE189" i="1"/>
  <c r="FG189" i="1"/>
  <c r="GI190" i="1"/>
  <c r="A173" i="6" s="1"/>
  <c r="EN190" i="1"/>
  <c r="EP190" i="1" s="1"/>
  <c r="EY190" i="1"/>
  <c r="FE190" i="1"/>
  <c r="FQ190" i="1"/>
  <c r="FR190" i="1" s="1"/>
  <c r="GE190" i="1"/>
  <c r="EK191" i="1"/>
  <c r="EW191" i="1"/>
  <c r="FK191" i="1"/>
  <c r="FY191" i="1"/>
  <c r="EK192" i="1"/>
  <c r="EU192" i="1"/>
  <c r="FI192" i="1"/>
  <c r="GA192" i="1"/>
  <c r="ES193" i="1"/>
  <c r="EE193" i="1"/>
  <c r="FG193" i="1"/>
  <c r="GI194" i="1"/>
  <c r="A177" i="6" s="1"/>
  <c r="EN194" i="1"/>
  <c r="EP194" i="1" s="1"/>
  <c r="EY194" i="1"/>
  <c r="FE194" i="1"/>
  <c r="FQ194" i="1"/>
  <c r="FR194" i="1" s="1"/>
  <c r="GE194" i="1"/>
  <c r="EK195" i="1"/>
  <c r="EW195" i="1"/>
  <c r="FK195" i="1"/>
  <c r="FY195" i="1"/>
  <c r="EJ196" i="1"/>
  <c r="EK196" i="1" s="1"/>
  <c r="EU196" i="1"/>
  <c r="FI196" i="1"/>
  <c r="GA196" i="1"/>
  <c r="ES197" i="1"/>
  <c r="GE197" i="1"/>
  <c r="EK202" i="1"/>
  <c r="EY160" i="1"/>
  <c r="FQ160" i="1"/>
  <c r="FR160" i="1" s="1"/>
  <c r="EJ161" i="1"/>
  <c r="EK161" i="1" s="1"/>
  <c r="EY162" i="1"/>
  <c r="FQ162" i="1"/>
  <c r="EJ163" i="1"/>
  <c r="EK163" i="1" s="1"/>
  <c r="EY164" i="1"/>
  <c r="FQ164" i="1"/>
  <c r="FR164" i="1" s="1"/>
  <c r="EJ165" i="1"/>
  <c r="EK165" i="1" s="1"/>
  <c r="EY166" i="1"/>
  <c r="FQ166" i="1"/>
  <c r="FR166" i="1" s="1"/>
  <c r="EJ167" i="1"/>
  <c r="EK167" i="1" s="1"/>
  <c r="EY168" i="1"/>
  <c r="FQ168" i="1"/>
  <c r="FR168" i="1" s="1"/>
  <c r="EJ169" i="1"/>
  <c r="EK169" i="1" s="1"/>
  <c r="EY170" i="1"/>
  <c r="FQ170" i="1"/>
  <c r="EJ171" i="1"/>
  <c r="EK171" i="1" s="1"/>
  <c r="EW171" i="1"/>
  <c r="EY172" i="1"/>
  <c r="ES173" i="1"/>
  <c r="FY173" i="1"/>
  <c r="EU174" i="1"/>
  <c r="EO175" i="1"/>
  <c r="EE175" i="1"/>
  <c r="FR176" i="1"/>
  <c r="FQ177" i="1"/>
  <c r="FR177" i="1" s="1"/>
  <c r="FY177" i="1"/>
  <c r="EU178" i="1"/>
  <c r="FR178" i="1"/>
  <c r="GI179" i="1"/>
  <c r="A162" i="6" s="1"/>
  <c r="EJ180" i="1"/>
  <c r="EK180" i="1" s="1"/>
  <c r="EY180" i="1"/>
  <c r="FQ181" i="1"/>
  <c r="FR181" i="1" s="1"/>
  <c r="FY181" i="1"/>
  <c r="EN182" i="1"/>
  <c r="EP182" i="1" s="1"/>
  <c r="EU182" i="1"/>
  <c r="FQ182" i="1"/>
  <c r="FR182" i="1" s="1"/>
  <c r="GA182" i="1"/>
  <c r="EJ183" i="1"/>
  <c r="EK183" i="1" s="1"/>
  <c r="FK183" i="1"/>
  <c r="FT183" i="1"/>
  <c r="ES184" i="1"/>
  <c r="GE184" i="1"/>
  <c r="EJ186" i="1"/>
  <c r="EK186" i="1" s="1"/>
  <c r="EY186" i="1"/>
  <c r="FE186" i="1"/>
  <c r="EE187" i="1"/>
  <c r="EW187" i="1"/>
  <c r="ES188" i="1"/>
  <c r="FT189" i="1"/>
  <c r="GC189" i="1"/>
  <c r="GI191" i="1"/>
  <c r="A174" i="6" s="1"/>
  <c r="EO191" i="1"/>
  <c r="FR191" i="1"/>
  <c r="ES192" i="1"/>
  <c r="FT193" i="1"/>
  <c r="GC193" i="1"/>
  <c r="GI195" i="1"/>
  <c r="A178" i="6" s="1"/>
  <c r="EO195" i="1"/>
  <c r="ES196" i="1"/>
  <c r="EK197" i="1"/>
  <c r="EK198" i="1"/>
  <c r="FY198" i="1"/>
  <c r="GE199" i="1"/>
  <c r="FY200" i="1"/>
  <c r="EU162" i="1"/>
  <c r="EU164" i="1"/>
  <c r="EU166" i="1"/>
  <c r="EU168" i="1"/>
  <c r="EU170" i="1"/>
  <c r="ES171" i="1"/>
  <c r="FY171" i="1"/>
  <c r="EU172" i="1"/>
  <c r="EO173" i="1"/>
  <c r="EE173" i="1"/>
  <c r="FR174" i="1"/>
  <c r="EE177" i="1"/>
  <c r="EW177" i="1"/>
  <c r="EO179" i="1"/>
  <c r="EK179" i="1"/>
  <c r="ES179" i="1"/>
  <c r="ES180" i="1"/>
  <c r="EE181" i="1"/>
  <c r="EW181" i="1"/>
  <c r="FI182" i="1"/>
  <c r="GI183" i="1"/>
  <c r="A166" i="6" s="1"/>
  <c r="EO183" i="1"/>
  <c r="FG183" i="1"/>
  <c r="FY183" i="1"/>
  <c r="GC183" i="1"/>
  <c r="EN184" i="1"/>
  <c r="EP184" i="1" s="1"/>
  <c r="EU184" i="1"/>
  <c r="FQ184" i="1"/>
  <c r="FR184" i="1" s="1"/>
  <c r="GA184" i="1"/>
  <c r="FK185" i="1"/>
  <c r="FT185" i="1"/>
  <c r="ES186" i="1"/>
  <c r="GE186" i="1"/>
  <c r="GI188" i="1"/>
  <c r="A171" i="6" s="1"/>
  <c r="EN188" i="1"/>
  <c r="EP188" i="1" s="1"/>
  <c r="EY188" i="1"/>
  <c r="FE188" i="1"/>
  <c r="FQ188" i="1"/>
  <c r="FR188" i="1" s="1"/>
  <c r="GE188" i="1"/>
  <c r="EK189" i="1"/>
  <c r="EW189" i="1"/>
  <c r="FK189" i="1"/>
  <c r="FY189" i="1"/>
  <c r="EK190" i="1"/>
  <c r="EU190" i="1"/>
  <c r="FI190" i="1"/>
  <c r="GA190" i="1"/>
  <c r="ES191" i="1"/>
  <c r="EE191" i="1"/>
  <c r="FG191" i="1"/>
  <c r="GI192" i="1"/>
  <c r="A175" i="6" s="1"/>
  <c r="EN192" i="1"/>
  <c r="EP192" i="1" s="1"/>
  <c r="EY192" i="1"/>
  <c r="FE192" i="1"/>
  <c r="FQ192" i="1"/>
  <c r="FR192" i="1" s="1"/>
  <c r="GE192" i="1"/>
  <c r="EK193" i="1"/>
  <c r="EW193" i="1"/>
  <c r="FK193" i="1"/>
  <c r="FY193" i="1"/>
  <c r="EJ194" i="1"/>
  <c r="EK194" i="1" s="1"/>
  <c r="EU194" i="1"/>
  <c r="FI194" i="1"/>
  <c r="GA194" i="1"/>
  <c r="ES195" i="1"/>
  <c r="EE195" i="1"/>
  <c r="FG195" i="1"/>
  <c r="GI196" i="1"/>
  <c r="A179" i="6" s="1"/>
  <c r="EN196" i="1"/>
  <c r="EP196" i="1" s="1"/>
  <c r="EY196" i="1"/>
  <c r="FE196" i="1"/>
  <c r="FQ196" i="1"/>
  <c r="FR196" i="1" s="1"/>
  <c r="GE196" i="1"/>
  <c r="EN197" i="1"/>
  <c r="EY197" i="1"/>
  <c r="GA197" i="1"/>
  <c r="GI198" i="1"/>
  <c r="A181" i="6" s="1"/>
  <c r="FT198" i="1"/>
  <c r="EK200" i="1"/>
  <c r="FT200" i="1"/>
  <c r="EU198" i="1"/>
  <c r="FK200" i="1"/>
  <c r="EW202" i="1"/>
  <c r="FT202" i="1"/>
  <c r="EY203" i="1"/>
  <c r="FY204" i="1"/>
  <c r="GI206" i="1"/>
  <c r="A189" i="6" s="1"/>
  <c r="FI207" i="1"/>
  <c r="EK208" i="1"/>
  <c r="GC208" i="1"/>
  <c r="GI209" i="1"/>
  <c r="A192" i="6" s="1"/>
  <c r="EK210" i="1"/>
  <c r="FY210" i="1"/>
  <c r="FG212" i="1"/>
  <c r="GE213" i="1"/>
  <c r="ES214" i="1"/>
  <c r="FK214" i="1"/>
  <c r="FT214" i="1"/>
  <c r="GA215" i="1"/>
  <c r="GI216" i="1"/>
  <c r="A199" i="6" s="1"/>
  <c r="FT216" i="1"/>
  <c r="ES217" i="1"/>
  <c r="EK218" i="1"/>
  <c r="EN219" i="1"/>
  <c r="GI222" i="1"/>
  <c r="A205" i="6" s="1"/>
  <c r="GI223" i="1"/>
  <c r="A206" i="6" s="1"/>
  <c r="GI224" i="1"/>
  <c r="A207" i="6" s="1"/>
  <c r="ES225" i="1"/>
  <c r="EK226" i="1"/>
  <c r="EN199" i="1"/>
  <c r="EW199" i="1"/>
  <c r="ES200" i="1"/>
  <c r="EU200" i="1"/>
  <c r="FG200" i="1"/>
  <c r="FK202" i="1"/>
  <c r="GC202" i="1"/>
  <c r="GI203" i="1"/>
  <c r="A186" i="6" s="1"/>
  <c r="FR203" i="1"/>
  <c r="EN203" i="1"/>
  <c r="FT204" i="1"/>
  <c r="EY205" i="1"/>
  <c r="EO206" i="1"/>
  <c r="FY206" i="1"/>
  <c r="FG208" i="1"/>
  <c r="GE209" i="1"/>
  <c r="ES210" i="1"/>
  <c r="FK210" i="1"/>
  <c r="FT210" i="1"/>
  <c r="FR211" i="1"/>
  <c r="GA211" i="1"/>
  <c r="GI212" i="1"/>
  <c r="A195" i="6" s="1"/>
  <c r="GI214" i="1"/>
  <c r="A197" i="6" s="1"/>
  <c r="GI215" i="1"/>
  <c r="A198" i="6" s="1"/>
  <c r="FR215" i="1"/>
  <c r="ES216" i="1"/>
  <c r="GI219" i="1"/>
  <c r="A202" i="6" s="1"/>
  <c r="ES220" i="1"/>
  <c r="EO199" i="1"/>
  <c r="EE199" i="1"/>
  <c r="ES199" i="1"/>
  <c r="EY199" i="1"/>
  <c r="EW200" i="1"/>
  <c r="EN201" i="1"/>
  <c r="GE201" i="1"/>
  <c r="ES202" i="1"/>
  <c r="EE202" i="1"/>
  <c r="EK204" i="1"/>
  <c r="ES204" i="1"/>
  <c r="EE204" i="1"/>
  <c r="GC204" i="1"/>
  <c r="GI205" i="1"/>
  <c r="A188" i="6" s="1"/>
  <c r="EN205" i="1"/>
  <c r="EP205" i="1" s="1"/>
  <c r="FT206" i="1"/>
  <c r="GA207" i="1"/>
  <c r="GI208" i="1"/>
  <c r="A191" i="6" s="1"/>
  <c r="GI210" i="1"/>
  <c r="A193" i="6" s="1"/>
  <c r="GI211" i="1"/>
  <c r="A194" i="6" s="1"/>
  <c r="EN211" i="1"/>
  <c r="ES212" i="1"/>
  <c r="FE213" i="1"/>
  <c r="FR213" i="1"/>
  <c r="FI215" i="1"/>
  <c r="EK216" i="1"/>
  <c r="EN217" i="1"/>
  <c r="EP217" i="1" s="1"/>
  <c r="GI218" i="1"/>
  <c r="A201" i="6" s="1"/>
  <c r="ES219" i="1"/>
  <c r="FY222" i="1"/>
  <c r="EK224" i="1"/>
  <c r="GI226" i="1"/>
  <c r="A209" i="6" s="1"/>
  <c r="GI227" i="1"/>
  <c r="A210" i="6" s="1"/>
  <c r="GI239" i="1"/>
  <c r="A223" i="6" s="1"/>
  <c r="EO197" i="1"/>
  <c r="EE197" i="1"/>
  <c r="EW197" i="1"/>
  <c r="ES198" i="1"/>
  <c r="EO201" i="1"/>
  <c r="EE201" i="1"/>
  <c r="EY201" i="1"/>
  <c r="GA201" i="1"/>
  <c r="GI202" i="1"/>
  <c r="A185" i="6" s="1"/>
  <c r="EU202" i="1"/>
  <c r="FG202" i="1"/>
  <c r="FY202" i="1"/>
  <c r="GI204" i="1"/>
  <c r="A187" i="6" s="1"/>
  <c r="FY205" i="1"/>
  <c r="EK206" i="1"/>
  <c r="ES206" i="1"/>
  <c r="EE206" i="1"/>
  <c r="GC206" i="1"/>
  <c r="GI207" i="1"/>
  <c r="A190" i="6" s="1"/>
  <c r="FR207" i="1"/>
  <c r="ES208" i="1"/>
  <c r="FE209" i="1"/>
  <c r="FI211" i="1"/>
  <c r="EK212" i="1"/>
  <c r="GC212" i="1"/>
  <c r="GI213" i="1"/>
  <c r="A196" i="6" s="1"/>
  <c r="EN213" i="1"/>
  <c r="EK214" i="1"/>
  <c r="FY214" i="1"/>
  <c r="FG216" i="1"/>
  <c r="FY216" i="1"/>
  <c r="GI217" i="1"/>
  <c r="A200" i="6" s="1"/>
  <c r="FQ217" i="1"/>
  <c r="FR217" i="1" s="1"/>
  <c r="ES218" i="1"/>
  <c r="ES227" i="1"/>
  <c r="EY198" i="1"/>
  <c r="FQ198" i="1"/>
  <c r="FR198" i="1" s="1"/>
  <c r="EJ199" i="1"/>
  <c r="EK199" i="1" s="1"/>
  <c r="EY200" i="1"/>
  <c r="FQ200" i="1"/>
  <c r="FR200" i="1" s="1"/>
  <c r="EJ201" i="1"/>
  <c r="EK201" i="1" s="1"/>
  <c r="EY202" i="1"/>
  <c r="FQ202" i="1"/>
  <c r="FR202" i="1" s="1"/>
  <c r="EJ203" i="1"/>
  <c r="EK203" i="1" s="1"/>
  <c r="EY204" i="1"/>
  <c r="FQ204" i="1"/>
  <c r="FR204" i="1" s="1"/>
  <c r="EJ205" i="1"/>
  <c r="EK205" i="1" s="1"/>
  <c r="EY206" i="1"/>
  <c r="FQ206" i="1"/>
  <c r="FR206" i="1" s="1"/>
  <c r="EJ207" i="1"/>
  <c r="EK207" i="1" s="1"/>
  <c r="EW207" i="1"/>
  <c r="EY208" i="1"/>
  <c r="ES209" i="1"/>
  <c r="FY209" i="1"/>
  <c r="EU210" i="1"/>
  <c r="EO211" i="1"/>
  <c r="EE211" i="1"/>
  <c r="FR212" i="1"/>
  <c r="EJ215" i="1"/>
  <c r="EK215" i="1" s="1"/>
  <c r="EW215" i="1"/>
  <c r="EY216" i="1"/>
  <c r="FE216" i="1"/>
  <c r="FY217" i="1"/>
  <c r="GE217" i="1"/>
  <c r="EN218" i="1"/>
  <c r="EP218" i="1" s="1"/>
  <c r="EY218" i="1"/>
  <c r="FE218" i="1"/>
  <c r="FQ218" i="1"/>
  <c r="FR218" i="1" s="1"/>
  <c r="GC218" i="1"/>
  <c r="EO219" i="1"/>
  <c r="EJ220" i="1"/>
  <c r="EK220" i="1" s="1"/>
  <c r="FY220" i="1"/>
  <c r="EN221" i="1"/>
  <c r="EP221" i="1" s="1"/>
  <c r="EW221" i="1"/>
  <c r="FT221" i="1"/>
  <c r="FR222" i="1"/>
  <c r="EU222" i="1"/>
  <c r="FI222" i="1"/>
  <c r="GE222" i="1"/>
  <c r="EW223" i="1"/>
  <c r="FG224" i="1"/>
  <c r="EW225" i="1"/>
  <c r="FI225" i="1"/>
  <c r="GC225" i="1"/>
  <c r="FG226" i="1"/>
  <c r="GC226" i="1"/>
  <c r="FE227" i="1"/>
  <c r="EJ228" i="1"/>
  <c r="EK228" i="1" s="1"/>
  <c r="FY228" i="1"/>
  <c r="EK229" i="1"/>
  <c r="EW229" i="1"/>
  <c r="EK232" i="1"/>
  <c r="ES232" i="1"/>
  <c r="EE232" i="1"/>
  <c r="GI236" i="1"/>
  <c r="A220" i="6" s="1"/>
  <c r="EY237" i="1"/>
  <c r="GI238" i="1"/>
  <c r="A222" i="6" s="1"/>
  <c r="FR239" i="1"/>
  <c r="EN239" i="1"/>
  <c r="EU204" i="1"/>
  <c r="EU206" i="1"/>
  <c r="ES207" i="1"/>
  <c r="FY207" i="1"/>
  <c r="EU208" i="1"/>
  <c r="EO209" i="1"/>
  <c r="EE209" i="1"/>
  <c r="FR210" i="1"/>
  <c r="EK213" i="1"/>
  <c r="EW213" i="1"/>
  <c r="EY214" i="1"/>
  <c r="ES215" i="1"/>
  <c r="FY215" i="1"/>
  <c r="EN216" i="1"/>
  <c r="EP216" i="1" s="1"/>
  <c r="EU216" i="1"/>
  <c r="EE217" i="1"/>
  <c r="EU218" i="1"/>
  <c r="FG218" i="1"/>
  <c r="GE218" i="1"/>
  <c r="EK219" i="1"/>
  <c r="FE219" i="1"/>
  <c r="GE219" i="1"/>
  <c r="FT220" i="1"/>
  <c r="GI221" i="1"/>
  <c r="A204" i="6" s="1"/>
  <c r="FE221" i="1"/>
  <c r="FY221" i="1"/>
  <c r="ES222" i="1"/>
  <c r="EK222" i="1"/>
  <c r="FK222" i="1"/>
  <c r="EN223" i="1"/>
  <c r="GA224" i="1"/>
  <c r="GI225" i="1"/>
  <c r="A208" i="6" s="1"/>
  <c r="FK225" i="1"/>
  <c r="GE225" i="1"/>
  <c r="FG227" i="1"/>
  <c r="GE227" i="1"/>
  <c r="EY228" i="1"/>
  <c r="GI229" i="1"/>
  <c r="A213" i="6" s="1"/>
  <c r="FR229" i="1"/>
  <c r="GI232" i="1"/>
  <c r="A216" i="6" s="1"/>
  <c r="ES233" i="1"/>
  <c r="EK234" i="1"/>
  <c r="GI235" i="1"/>
  <c r="A219" i="6" s="1"/>
  <c r="GC236" i="1"/>
  <c r="GI237" i="1"/>
  <c r="A221" i="6" s="1"/>
  <c r="FR237" i="1"/>
  <c r="GI245" i="1"/>
  <c r="A229" i="6" s="1"/>
  <c r="FR245" i="1"/>
  <c r="GI265" i="1"/>
  <c r="A249" i="6" s="1"/>
  <c r="EW201" i="1"/>
  <c r="EO203" i="1"/>
  <c r="EE203" i="1"/>
  <c r="EW203" i="1"/>
  <c r="EO205" i="1"/>
  <c r="EE205" i="1"/>
  <c r="EW205" i="1"/>
  <c r="EO207" i="1"/>
  <c r="EE207" i="1"/>
  <c r="FR208" i="1"/>
  <c r="EJ211" i="1"/>
  <c r="EK211" i="1" s="1"/>
  <c r="EW211" i="1"/>
  <c r="EY212" i="1"/>
  <c r="ES213" i="1"/>
  <c r="FY213" i="1"/>
  <c r="EU214" i="1"/>
  <c r="EO215" i="1"/>
  <c r="EE215" i="1"/>
  <c r="FQ216" i="1"/>
  <c r="FR216" i="1" s="1"/>
  <c r="GE216" i="1"/>
  <c r="EO217" i="1"/>
  <c r="FK217" i="1"/>
  <c r="GA217" i="1"/>
  <c r="FI218" i="1"/>
  <c r="FY218" i="1"/>
  <c r="FG219" i="1"/>
  <c r="FY219" i="1"/>
  <c r="EY220" i="1"/>
  <c r="FK220" i="1"/>
  <c r="ES221" i="1"/>
  <c r="EE221" i="1"/>
  <c r="FR221" i="1"/>
  <c r="EY222" i="1"/>
  <c r="FR223" i="1"/>
  <c r="EO223" i="1"/>
  <c r="FE223" i="1"/>
  <c r="FY223" i="1"/>
  <c r="ES224" i="1"/>
  <c r="FK224" i="1"/>
  <c r="FT224" i="1"/>
  <c r="GC224" i="1"/>
  <c r="EE225" i="1"/>
  <c r="FY225" i="1"/>
  <c r="FR226" i="1"/>
  <c r="FY226" i="1"/>
  <c r="EE227" i="1"/>
  <c r="FI227" i="1"/>
  <c r="FY227" i="1"/>
  <c r="ES228" i="1"/>
  <c r="ES229" i="1"/>
  <c r="EE229" i="1"/>
  <c r="FG229" i="1"/>
  <c r="EK230" i="1"/>
  <c r="GI231" i="1"/>
  <c r="A215" i="6" s="1"/>
  <c r="GC232" i="1"/>
  <c r="GI233" i="1"/>
  <c r="A217" i="6" s="1"/>
  <c r="FY234" i="1"/>
  <c r="GI234" i="1"/>
  <c r="A218" i="6" s="1"/>
  <c r="EK240" i="1"/>
  <c r="GI241" i="1"/>
  <c r="A225" i="6" s="1"/>
  <c r="EK242" i="1"/>
  <c r="FT242" i="1"/>
  <c r="GI244" i="1"/>
  <c r="A228" i="6" s="1"/>
  <c r="ES201" i="1"/>
  <c r="ES203" i="1"/>
  <c r="ES205" i="1"/>
  <c r="EK209" i="1"/>
  <c r="EW209" i="1"/>
  <c r="EY210" i="1"/>
  <c r="ES211" i="1"/>
  <c r="FY211" i="1"/>
  <c r="EU212" i="1"/>
  <c r="EO213" i="1"/>
  <c r="EE213" i="1"/>
  <c r="FR214" i="1"/>
  <c r="FI216" i="1"/>
  <c r="GA216" i="1"/>
  <c r="EK217" i="1"/>
  <c r="EW217" i="1"/>
  <c r="FG217" i="1"/>
  <c r="FT217" i="1"/>
  <c r="GC217" i="1"/>
  <c r="FK218" i="1"/>
  <c r="FT218" i="1"/>
  <c r="GA218" i="1"/>
  <c r="EE219" i="1"/>
  <c r="FI219" i="1"/>
  <c r="GA219" i="1"/>
  <c r="GI220" i="1"/>
  <c r="A203" i="6" s="1"/>
  <c r="EU220" i="1"/>
  <c r="FR220" i="1"/>
  <c r="EK221" i="1"/>
  <c r="FI221" i="1"/>
  <c r="GA221" i="1"/>
  <c r="EN222" i="1"/>
  <c r="EP222" i="1" s="1"/>
  <c r="FG222" i="1"/>
  <c r="GC222" i="1"/>
  <c r="ES223" i="1"/>
  <c r="EK223" i="1"/>
  <c r="GE223" i="1"/>
  <c r="FE224" i="1"/>
  <c r="FY224" i="1"/>
  <c r="EK225" i="1"/>
  <c r="FR225" i="1"/>
  <c r="GA225" i="1"/>
  <c r="ES226" i="1"/>
  <c r="FT226" i="1"/>
  <c r="GA227" i="1"/>
  <c r="GI228" i="1"/>
  <c r="A211" i="6" s="1"/>
  <c r="FR228" i="1"/>
  <c r="EU228" i="1"/>
  <c r="FI228" i="1"/>
  <c r="FY230" i="1"/>
  <c r="GI230" i="1"/>
  <c r="A214" i="6" s="1"/>
  <c r="EK236" i="1"/>
  <c r="ES236" i="1"/>
  <c r="EE236" i="1"/>
  <c r="EU238" i="1"/>
  <c r="FY240" i="1"/>
  <c r="GI240" i="1"/>
  <c r="A224" i="6" s="1"/>
  <c r="GI242" i="1"/>
  <c r="A226" i="6" s="1"/>
  <c r="GI243" i="1"/>
  <c r="A227" i="6" s="1"/>
  <c r="GI246" i="1"/>
  <c r="A230" i="6" s="1"/>
  <c r="GI247" i="1"/>
  <c r="A231" i="6" s="1"/>
  <c r="GI257" i="1"/>
  <c r="A241" i="6" s="1"/>
  <c r="FR243" i="1"/>
  <c r="ES244" i="1"/>
  <c r="EE244" i="1"/>
  <c r="GC244" i="1"/>
  <c r="EY245" i="1"/>
  <c r="EU246" i="1"/>
  <c r="EN247" i="1"/>
  <c r="FY247" i="1"/>
  <c r="EK248" i="1"/>
  <c r="EO249" i="1"/>
  <c r="GI250" i="1"/>
  <c r="A234" i="6" s="1"/>
  <c r="FR250" i="1"/>
  <c r="EK252" i="1"/>
  <c r="FT252" i="1"/>
  <c r="FI253" i="1"/>
  <c r="EK254" i="1"/>
  <c r="GI255" i="1"/>
  <c r="A239" i="6" s="1"/>
  <c r="GI256" i="1"/>
  <c r="A240" i="6" s="1"/>
  <c r="EN257" i="1"/>
  <c r="EK258" i="1"/>
  <c r="FR259" i="1"/>
  <c r="ES262" i="1"/>
  <c r="EE263" i="1"/>
  <c r="ES266" i="1"/>
  <c r="FY269" i="1"/>
  <c r="FG278" i="1"/>
  <c r="GI279" i="1"/>
  <c r="A263" i="6" s="1"/>
  <c r="GI288" i="1"/>
  <c r="A272" i="6" s="1"/>
  <c r="FT219" i="1"/>
  <c r="EN220" i="1"/>
  <c r="EP220" i="1" s="1"/>
  <c r="FI220" i="1"/>
  <c r="GE220" i="1"/>
  <c r="FE222" i="1"/>
  <c r="GA222" i="1"/>
  <c r="FK223" i="1"/>
  <c r="GC223" i="1"/>
  <c r="FR224" i="1"/>
  <c r="FG225" i="1"/>
  <c r="FT227" i="1"/>
  <c r="EN228" i="1"/>
  <c r="EP228" i="1" s="1"/>
  <c r="FE228" i="1"/>
  <c r="FT230" i="1"/>
  <c r="EU232" i="1"/>
  <c r="EN233" i="1"/>
  <c r="FQ233" i="1"/>
  <c r="FR233" i="1" s="1"/>
  <c r="FT234" i="1"/>
  <c r="EY235" i="1"/>
  <c r="EU236" i="1"/>
  <c r="EN237" i="1"/>
  <c r="EK238" i="1"/>
  <c r="FY238" i="1"/>
  <c r="FT240" i="1"/>
  <c r="FR241" i="1"/>
  <c r="ES242" i="1"/>
  <c r="EE242" i="1"/>
  <c r="GC242" i="1"/>
  <c r="EY243" i="1"/>
  <c r="EU244" i="1"/>
  <c r="EN245" i="1"/>
  <c r="EK246" i="1"/>
  <c r="FY246" i="1"/>
  <c r="FQ247" i="1"/>
  <c r="FR247" i="1" s="1"/>
  <c r="FR249" i="1"/>
  <c r="ES250" i="1"/>
  <c r="GI251" i="1"/>
  <c r="A235" i="6" s="1"/>
  <c r="FY251" i="1"/>
  <c r="GE251" i="1"/>
  <c r="EY252" i="1"/>
  <c r="FR252" i="1"/>
  <c r="EW253" i="1"/>
  <c r="FY254" i="1"/>
  <c r="GI254" i="1"/>
  <c r="A238" i="6" s="1"/>
  <c r="EO255" i="1"/>
  <c r="FR255" i="1"/>
  <c r="GA255" i="1"/>
  <c r="ES256" i="1"/>
  <c r="GI258" i="1"/>
  <c r="A242" i="6" s="1"/>
  <c r="FG258" i="1"/>
  <c r="GC258" i="1"/>
  <c r="GI259" i="1"/>
  <c r="A243" i="6" s="1"/>
  <c r="ES259" i="1"/>
  <c r="EK260" i="1"/>
  <c r="FT260" i="1"/>
  <c r="FI261" i="1"/>
  <c r="EK262" i="1"/>
  <c r="GI263" i="1"/>
  <c r="A247" i="6" s="1"/>
  <c r="FE220" i="1"/>
  <c r="GA220" i="1"/>
  <c r="FK221" i="1"/>
  <c r="GC221" i="1"/>
  <c r="FG223" i="1"/>
  <c r="FT225" i="1"/>
  <c r="EN226" i="1"/>
  <c r="EP226" i="1" s="1"/>
  <c r="FI226" i="1"/>
  <c r="GE226" i="1"/>
  <c r="GE228" i="1"/>
  <c r="ES230" i="1"/>
  <c r="EE230" i="1"/>
  <c r="GC230" i="1"/>
  <c r="ES231" i="1"/>
  <c r="FY232" i="1"/>
  <c r="ES234" i="1"/>
  <c r="EE234" i="1"/>
  <c r="GC234" i="1"/>
  <c r="ES235" i="1"/>
  <c r="FY236" i="1"/>
  <c r="FT238" i="1"/>
  <c r="ES240" i="1"/>
  <c r="EE240" i="1"/>
  <c r="GC240" i="1"/>
  <c r="EY241" i="1"/>
  <c r="EU242" i="1"/>
  <c r="EN243" i="1"/>
  <c r="FY244" i="1"/>
  <c r="FT246" i="1"/>
  <c r="ES247" i="1"/>
  <c r="GA247" i="1"/>
  <c r="FG248" i="1"/>
  <c r="GC248" i="1"/>
  <c r="EE249" i="1"/>
  <c r="EK250" i="1"/>
  <c r="FY250" i="1"/>
  <c r="GI253" i="1"/>
  <c r="A237" i="6" s="1"/>
  <c r="FK254" i="1"/>
  <c r="FE257" i="1"/>
  <c r="FQ257" i="1"/>
  <c r="FR257" i="1" s="1"/>
  <c r="EU258" i="1"/>
  <c r="EK259" i="1"/>
  <c r="FY259" i="1"/>
  <c r="GE259" i="1"/>
  <c r="EY260" i="1"/>
  <c r="FR260" i="1"/>
  <c r="EW261" i="1"/>
  <c r="FY262" i="1"/>
  <c r="GI262" i="1"/>
  <c r="A246" i="6" s="1"/>
  <c r="EO263" i="1"/>
  <c r="FR263" i="1"/>
  <c r="GA263" i="1"/>
  <c r="ES264" i="1"/>
  <c r="FI264" i="1"/>
  <c r="FY264" i="1"/>
  <c r="GI264" i="1"/>
  <c r="A248" i="6" s="1"/>
  <c r="GC266" i="1"/>
  <c r="GI267" i="1"/>
  <c r="A251" i="6" s="1"/>
  <c r="EU268" i="1"/>
  <c r="GI271" i="1"/>
  <c r="A255" i="6" s="1"/>
  <c r="FK219" i="1"/>
  <c r="GC219" i="1"/>
  <c r="FG221" i="1"/>
  <c r="FT223" i="1"/>
  <c r="EN224" i="1"/>
  <c r="EP224" i="1" s="1"/>
  <c r="FI224" i="1"/>
  <c r="GE224" i="1"/>
  <c r="FE226" i="1"/>
  <c r="GA226" i="1"/>
  <c r="FK227" i="1"/>
  <c r="GC227" i="1"/>
  <c r="GA228" i="1"/>
  <c r="FK229" i="1"/>
  <c r="FT229" i="1"/>
  <c r="EU230" i="1"/>
  <c r="EN231" i="1"/>
  <c r="FQ231" i="1"/>
  <c r="FR231" i="1" s="1"/>
  <c r="FT232" i="1"/>
  <c r="EU234" i="1"/>
  <c r="EN235" i="1"/>
  <c r="FQ235" i="1"/>
  <c r="FR235" i="1" s="1"/>
  <c r="FT236" i="1"/>
  <c r="ES238" i="1"/>
  <c r="EE238" i="1"/>
  <c r="GC238" i="1"/>
  <c r="EY239" i="1"/>
  <c r="EU240" i="1"/>
  <c r="EN241" i="1"/>
  <c r="FY242" i="1"/>
  <c r="FT244" i="1"/>
  <c r="ES246" i="1"/>
  <c r="EE246" i="1"/>
  <c r="GC246" i="1"/>
  <c r="FI247" i="1"/>
  <c r="ES248" i="1"/>
  <c r="EU248" i="1"/>
  <c r="GI249" i="1"/>
  <c r="A233" i="6" s="1"/>
  <c r="EN249" i="1"/>
  <c r="FE249" i="1"/>
  <c r="GE249" i="1"/>
  <c r="FT250" i="1"/>
  <c r="FR251" i="1"/>
  <c r="ES254" i="1"/>
  <c r="EE255" i="1"/>
  <c r="GI261" i="1"/>
  <c r="A245" i="6" s="1"/>
  <c r="FK262" i="1"/>
  <c r="FG265" i="1"/>
  <c r="FR265" i="1"/>
  <c r="GI266" i="1"/>
  <c r="A250" i="6" s="1"/>
  <c r="FR266" i="1"/>
  <c r="FI267" i="1"/>
  <c r="ES268" i="1"/>
  <c r="EO231" i="1"/>
  <c r="EE231" i="1"/>
  <c r="EW231" i="1"/>
  <c r="EO233" i="1"/>
  <c r="EE233" i="1"/>
  <c r="EW233" i="1"/>
  <c r="EO235" i="1"/>
  <c r="EE235" i="1"/>
  <c r="EW235" i="1"/>
  <c r="EO237" i="1"/>
  <c r="EE237" i="1"/>
  <c r="EW237" i="1"/>
  <c r="EO239" i="1"/>
  <c r="EE239" i="1"/>
  <c r="EW239" i="1"/>
  <c r="EO241" i="1"/>
  <c r="EE241" i="1"/>
  <c r="EW241" i="1"/>
  <c r="EO243" i="1"/>
  <c r="EE243" i="1"/>
  <c r="EW243" i="1"/>
  <c r="EO245" i="1"/>
  <c r="EE245" i="1"/>
  <c r="EW245" i="1"/>
  <c r="EO247" i="1"/>
  <c r="EE247" i="1"/>
  <c r="FR248" i="1"/>
  <c r="EK251" i="1"/>
  <c r="EW251" i="1"/>
  <c r="EU252" i="1"/>
  <c r="FG252" i="1"/>
  <c r="GC252" i="1"/>
  <c r="EK253" i="1"/>
  <c r="ES253" i="1"/>
  <c r="FY253" i="1"/>
  <c r="GE253" i="1"/>
  <c r="EY254" i="1"/>
  <c r="FR254" i="1"/>
  <c r="FT254" i="1"/>
  <c r="EW255" i="1"/>
  <c r="FI255" i="1"/>
  <c r="FK256" i="1"/>
  <c r="FY256" i="1"/>
  <c r="EO257" i="1"/>
  <c r="EE257" i="1"/>
  <c r="GA257" i="1"/>
  <c r="EN259" i="1"/>
  <c r="FE259" i="1"/>
  <c r="EU260" i="1"/>
  <c r="FG260" i="1"/>
  <c r="GC260" i="1"/>
  <c r="EK261" i="1"/>
  <c r="ES261" i="1"/>
  <c r="FY261" i="1"/>
  <c r="GE261" i="1"/>
  <c r="EY262" i="1"/>
  <c r="FT262" i="1"/>
  <c r="EW263" i="1"/>
  <c r="FI263" i="1"/>
  <c r="FK264" i="1"/>
  <c r="FT264" i="1"/>
  <c r="GA264" i="1"/>
  <c r="EN265" i="1"/>
  <c r="EE265" i="1"/>
  <c r="EW265" i="1"/>
  <c r="FI265" i="1"/>
  <c r="FT265" i="1"/>
  <c r="EO266" i="1"/>
  <c r="EN267" i="1"/>
  <c r="FY267" i="1"/>
  <c r="GE267" i="1"/>
  <c r="EK268" i="1"/>
  <c r="EW272" i="1"/>
  <c r="ES277" i="1"/>
  <c r="EK286" i="1"/>
  <c r="FX231" i="1"/>
  <c r="FY231" i="1" s="1"/>
  <c r="FX235" i="1"/>
  <c r="FY235" i="1" s="1"/>
  <c r="ES237" i="1"/>
  <c r="ES239" i="1"/>
  <c r="ES241" i="1"/>
  <c r="ES243" i="1"/>
  <c r="ES245" i="1"/>
  <c r="EK249" i="1"/>
  <c r="EW249" i="1"/>
  <c r="EY250" i="1"/>
  <c r="ES251" i="1"/>
  <c r="GA251" i="1"/>
  <c r="EN253" i="1"/>
  <c r="FE253" i="1"/>
  <c r="EU254" i="1"/>
  <c r="FG254" i="1"/>
  <c r="GC254" i="1"/>
  <c r="EK255" i="1"/>
  <c r="ES255" i="1"/>
  <c r="FY255" i="1"/>
  <c r="GE255" i="1"/>
  <c r="EY256" i="1"/>
  <c r="FR256" i="1"/>
  <c r="FT256" i="1"/>
  <c r="EW257" i="1"/>
  <c r="FI257" i="1"/>
  <c r="FK258" i="1"/>
  <c r="FY258" i="1"/>
  <c r="EO259" i="1"/>
  <c r="EE259" i="1"/>
  <c r="GA259" i="1"/>
  <c r="EN261" i="1"/>
  <c r="EP261" i="1" s="1"/>
  <c r="FE261" i="1"/>
  <c r="EU262" i="1"/>
  <c r="FG262" i="1"/>
  <c r="GC262" i="1"/>
  <c r="EK263" i="1"/>
  <c r="ES263" i="1"/>
  <c r="FY263" i="1"/>
  <c r="GE263" i="1"/>
  <c r="EN264" i="1"/>
  <c r="EP264" i="1" s="1"/>
  <c r="EY264" i="1"/>
  <c r="FE264" i="1"/>
  <c r="FQ264" i="1"/>
  <c r="FR264" i="1" s="1"/>
  <c r="GC264" i="1"/>
  <c r="EO265" i="1"/>
  <c r="FK265" i="1"/>
  <c r="FY265" i="1"/>
  <c r="EE266" i="1"/>
  <c r="FY266" i="1"/>
  <c r="FE267" i="1"/>
  <c r="EN268" i="1"/>
  <c r="EP268" i="1" s="1"/>
  <c r="FY268" i="1"/>
  <c r="FR270" i="1"/>
  <c r="EK272" i="1"/>
  <c r="EW273" i="1"/>
  <c r="GA273" i="1"/>
  <c r="EY230" i="1"/>
  <c r="FQ230" i="1"/>
  <c r="FR230" i="1" s="1"/>
  <c r="EJ231" i="1"/>
  <c r="EK231" i="1" s="1"/>
  <c r="EY232" i="1"/>
  <c r="FQ232" i="1"/>
  <c r="FR232" i="1" s="1"/>
  <c r="EJ233" i="1"/>
  <c r="EK233" i="1" s="1"/>
  <c r="EY234" i="1"/>
  <c r="FQ234" i="1"/>
  <c r="FR234" i="1" s="1"/>
  <c r="EJ235" i="1"/>
  <c r="EK235" i="1" s="1"/>
  <c r="EY236" i="1"/>
  <c r="FQ236" i="1"/>
  <c r="FR236" i="1" s="1"/>
  <c r="EJ237" i="1"/>
  <c r="EK237" i="1" s="1"/>
  <c r="EY238" i="1"/>
  <c r="FQ238" i="1"/>
  <c r="FR238" i="1" s="1"/>
  <c r="EJ239" i="1"/>
  <c r="EK239" i="1" s="1"/>
  <c r="EY240" i="1"/>
  <c r="FQ240" i="1"/>
  <c r="FR240" i="1" s="1"/>
  <c r="EJ241" i="1"/>
  <c r="EK241" i="1" s="1"/>
  <c r="EY242" i="1"/>
  <c r="FQ242" i="1"/>
  <c r="FR242" i="1" s="1"/>
  <c r="EJ243" i="1"/>
  <c r="EK243" i="1" s="1"/>
  <c r="EY244" i="1"/>
  <c r="FQ244" i="1"/>
  <c r="FR244" i="1" s="1"/>
  <c r="EJ245" i="1"/>
  <c r="EK245" i="1" s="1"/>
  <c r="EY246" i="1"/>
  <c r="FQ246" i="1"/>
  <c r="FR246" i="1" s="1"/>
  <c r="EJ247" i="1"/>
  <c r="EK247" i="1" s="1"/>
  <c r="EW247" i="1"/>
  <c r="EY248" i="1"/>
  <c r="ES249" i="1"/>
  <c r="FY249" i="1"/>
  <c r="EU250" i="1"/>
  <c r="EO251" i="1"/>
  <c r="EE251" i="1"/>
  <c r="FK252" i="1"/>
  <c r="FY252" i="1"/>
  <c r="GI252" i="1"/>
  <c r="A236" i="6" s="1"/>
  <c r="EO253" i="1"/>
  <c r="EE253" i="1"/>
  <c r="FR253" i="1"/>
  <c r="GA253" i="1"/>
  <c r="EN255" i="1"/>
  <c r="EP255" i="1" s="1"/>
  <c r="FE255" i="1"/>
  <c r="EK256" i="1"/>
  <c r="EU256" i="1"/>
  <c r="FG256" i="1"/>
  <c r="GC256" i="1"/>
  <c r="EK257" i="1"/>
  <c r="ES257" i="1"/>
  <c r="FY257" i="1"/>
  <c r="GE257" i="1"/>
  <c r="EY258" i="1"/>
  <c r="FR258" i="1"/>
  <c r="FT258" i="1"/>
  <c r="EW259" i="1"/>
  <c r="FI259" i="1"/>
  <c r="FK260" i="1"/>
  <c r="FY260" i="1"/>
  <c r="GI260" i="1"/>
  <c r="A244" i="6" s="1"/>
  <c r="EO261" i="1"/>
  <c r="EE261" i="1"/>
  <c r="FR261" i="1"/>
  <c r="GA261" i="1"/>
  <c r="EN263" i="1"/>
  <c r="EP263" i="1" s="1"/>
  <c r="FE263" i="1"/>
  <c r="EK264" i="1"/>
  <c r="EU264" i="1"/>
  <c r="FG264" i="1"/>
  <c r="GE264" i="1"/>
  <c r="ES265" i="1"/>
  <c r="EK265" i="1"/>
  <c r="FE265" i="1"/>
  <c r="EK266" i="1"/>
  <c r="FT266" i="1"/>
  <c r="ES267" i="1"/>
  <c r="FR267" i="1"/>
  <c r="GA267" i="1"/>
  <c r="GI268" i="1"/>
  <c r="A252" i="6" s="1"/>
  <c r="FG268" i="1"/>
  <c r="GI269" i="1"/>
  <c r="A253" i="6" s="1"/>
  <c r="EK270" i="1"/>
  <c r="GI272" i="1"/>
  <c r="A256" i="6" s="1"/>
  <c r="GI274" i="1"/>
  <c r="A258" i="6" s="1"/>
  <c r="GI281" i="1"/>
  <c r="A265" i="6" s="1"/>
  <c r="EY266" i="1"/>
  <c r="EO267" i="1"/>
  <c r="EE267" i="1"/>
  <c r="GC268" i="1"/>
  <c r="EK269" i="1"/>
  <c r="EU269" i="1"/>
  <c r="FG270" i="1"/>
  <c r="EW271" i="1"/>
  <c r="FI271" i="1"/>
  <c r="FR271" i="1"/>
  <c r="EK273" i="1"/>
  <c r="ES274" i="1"/>
  <c r="GI275" i="1"/>
  <c r="A259" i="6" s="1"/>
  <c r="FR275" i="1"/>
  <c r="EO275" i="1"/>
  <c r="EK276" i="1"/>
  <c r="GI277" i="1"/>
  <c r="A261" i="6" s="1"/>
  <c r="ES281" i="1"/>
  <c r="EE281" i="1"/>
  <c r="FE281" i="1"/>
  <c r="FK284" i="1"/>
  <c r="FR285" i="1"/>
  <c r="EO285" i="1"/>
  <c r="EN287" i="1"/>
  <c r="EP287" i="1" s="1"/>
  <c r="GE287" i="1"/>
  <c r="EU266" i="1"/>
  <c r="FI268" i="1"/>
  <c r="EW269" i="1"/>
  <c r="FI269" i="1"/>
  <c r="GA269" i="1"/>
  <c r="GI270" i="1"/>
  <c r="A254" i="6" s="1"/>
  <c r="EW270" i="1"/>
  <c r="FY270" i="1"/>
  <c r="EY271" i="1"/>
  <c r="ES272" i="1"/>
  <c r="EE272" i="1"/>
  <c r="FR272" i="1"/>
  <c r="GI273" i="1"/>
  <c r="A257" i="6" s="1"/>
  <c r="EN274" i="1"/>
  <c r="EP274" i="1" s="1"/>
  <c r="EK274" i="1"/>
  <c r="GI276" i="1"/>
  <c r="A260" i="6" s="1"/>
  <c r="EW277" i="1"/>
  <c r="FK277" i="1"/>
  <c r="EJ267" i="1"/>
  <c r="EK267" i="1" s="1"/>
  <c r="EW267" i="1"/>
  <c r="EY268" i="1"/>
  <c r="FE268" i="1"/>
  <c r="ES269" i="1"/>
  <c r="EY269" i="1"/>
  <c r="ES270" i="1"/>
  <c r="EE270" i="1"/>
  <c r="FK270" i="1"/>
  <c r="FT270" i="1"/>
  <c r="FY271" i="1"/>
  <c r="EU272" i="1"/>
  <c r="FG272" i="1"/>
  <c r="ES273" i="1"/>
  <c r="EE273" i="1"/>
  <c r="FY274" i="1"/>
  <c r="GI282" i="1"/>
  <c r="A266" i="6" s="1"/>
  <c r="GI283" i="1"/>
  <c r="A267" i="6" s="1"/>
  <c r="FR283" i="1"/>
  <c r="EO283" i="1"/>
  <c r="ES286" i="1"/>
  <c r="FQ268" i="1"/>
  <c r="FR268" i="1" s="1"/>
  <c r="FT268" i="1"/>
  <c r="EN269" i="1"/>
  <c r="FE269" i="1"/>
  <c r="GC270" i="1"/>
  <c r="ES271" i="1"/>
  <c r="EJ271" i="1"/>
  <c r="EK271" i="1" s="1"/>
  <c r="FE271" i="1"/>
  <c r="GA271" i="1"/>
  <c r="FY272" i="1"/>
  <c r="EN273" i="1"/>
  <c r="EP273" i="1" s="1"/>
  <c r="FE273" i="1"/>
  <c r="FT273" i="1"/>
  <c r="EK277" i="1"/>
  <c r="FR277" i="1"/>
  <c r="EN279" i="1"/>
  <c r="EP279" i="1" s="1"/>
  <c r="FR279" i="1"/>
  <c r="GE279" i="1"/>
  <c r="EY280" i="1"/>
  <c r="EK282" i="1"/>
  <c r="FE283" i="1"/>
  <c r="FY284" i="1"/>
  <c r="ES285" i="1"/>
  <c r="EW285" i="1"/>
  <c r="FT286" i="1"/>
  <c r="GI287" i="1"/>
  <c r="A271" i="6" s="1"/>
  <c r="FG287" i="1"/>
  <c r="ES289" i="1"/>
  <c r="EO269" i="1"/>
  <c r="EE269" i="1"/>
  <c r="GE269" i="1"/>
  <c r="EN271" i="1"/>
  <c r="EU271" i="1"/>
  <c r="FK272" i="1"/>
  <c r="FT272" i="1"/>
  <c r="FK274" i="1"/>
  <c r="EK275" i="1"/>
  <c r="EW275" i="1"/>
  <c r="ES276" i="1"/>
  <c r="FR276" i="1"/>
  <c r="GA276" i="1"/>
  <c r="GI278" i="1"/>
  <c r="A262" i="6" s="1"/>
  <c r="EK279" i="1"/>
  <c r="FY280" i="1"/>
  <c r="FI281" i="1"/>
  <c r="FT281" i="1"/>
  <c r="EY282" i="1"/>
  <c r="FY282" i="1"/>
  <c r="ES283" i="1"/>
  <c r="FG284" i="1"/>
  <c r="GI284" i="1"/>
  <c r="A268" i="6" s="1"/>
  <c r="GI285" i="1"/>
  <c r="A269" i="6" s="1"/>
  <c r="GE285" i="1"/>
  <c r="GC286" i="1"/>
  <c r="ES287" i="1"/>
  <c r="EE287" i="1"/>
  <c r="FE274" i="1"/>
  <c r="FQ274" i="1"/>
  <c r="FR274" i="1" s="1"/>
  <c r="GA274" i="1"/>
  <c r="EN275" i="1"/>
  <c r="ES275" i="1"/>
  <c r="FK275" i="1"/>
  <c r="FX275" i="1"/>
  <c r="FY275" i="1" s="1"/>
  <c r="GC275" i="1"/>
  <c r="FE276" i="1"/>
  <c r="GC276" i="1"/>
  <c r="ES278" i="1"/>
  <c r="ES279" i="1"/>
  <c r="FT279" i="1"/>
  <c r="GA279" i="1"/>
  <c r="GI280" i="1"/>
  <c r="A264" i="6" s="1"/>
  <c r="FT280" i="1"/>
  <c r="EO281" i="1"/>
  <c r="EK284" i="1"/>
  <c r="FG285" i="1"/>
  <c r="FG286" i="1"/>
  <c r="FR286" i="1"/>
  <c r="EK287" i="1"/>
  <c r="EN288" i="1"/>
  <c r="EP288" i="1" s="1"/>
  <c r="EO271" i="1"/>
  <c r="EE271" i="1"/>
  <c r="GE271" i="1"/>
  <c r="EY272" i="1"/>
  <c r="GC272" i="1"/>
  <c r="FQ273" i="1"/>
  <c r="FR273" i="1" s="1"/>
  <c r="FY273" i="1"/>
  <c r="FI274" i="1"/>
  <c r="GE274" i="1"/>
  <c r="FY277" i="1"/>
  <c r="FI279" i="1"/>
  <c r="FY279" i="1"/>
  <c r="FI280" i="1"/>
  <c r="EN282" i="1"/>
  <c r="EP282" i="1" s="1"/>
  <c r="FE282" i="1"/>
  <c r="FQ282" i="1"/>
  <c r="FR282" i="1" s="1"/>
  <c r="GA282" i="1"/>
  <c r="EN283" i="1"/>
  <c r="EP283" i="1" s="1"/>
  <c r="EW283" i="1"/>
  <c r="FY283" i="1"/>
  <c r="GC283" i="1"/>
  <c r="ES284" i="1"/>
  <c r="FE284" i="1"/>
  <c r="GC284" i="1"/>
  <c r="GC285" i="1"/>
  <c r="FY286" i="1"/>
  <c r="FQ287" i="1"/>
  <c r="FR287" i="1" s="1"/>
  <c r="ES288" i="1"/>
  <c r="EJ288" i="1"/>
  <c r="EK288" i="1" s="1"/>
  <c r="EW288" i="1"/>
  <c r="FQ289" i="1"/>
  <c r="FR289" i="1" s="1"/>
  <c r="GC277" i="1"/>
  <c r="FR278" i="1"/>
  <c r="FY278" i="1"/>
  <c r="EJ280" i="1"/>
  <c r="EK280" i="1" s="1"/>
  <c r="EU280" i="1"/>
  <c r="FR280" i="1"/>
  <c r="GE280" i="1"/>
  <c r="FQ281" i="1"/>
  <c r="FR281" i="1" s="1"/>
  <c r="FY281" i="1"/>
  <c r="FI282" i="1"/>
  <c r="GE282" i="1"/>
  <c r="EK283" i="1"/>
  <c r="EK285" i="1"/>
  <c r="FY285" i="1"/>
  <c r="FI287" i="1"/>
  <c r="FY287" i="1"/>
  <c r="FK288" i="1"/>
  <c r="GI289" i="1"/>
  <c r="A273" i="6" s="1"/>
  <c r="FG276" i="1"/>
  <c r="FY276" i="1"/>
  <c r="EO277" i="1"/>
  <c r="FG277" i="1"/>
  <c r="GE277" i="1"/>
  <c r="FT278" i="1"/>
  <c r="EE279" i="1"/>
  <c r="FG279" i="1"/>
  <c r="EN280" i="1"/>
  <c r="EP280" i="1" s="1"/>
  <c r="EN281" i="1"/>
  <c r="ES282" i="1"/>
  <c r="FK282" i="1"/>
  <c r="FK283" i="1"/>
  <c r="FR284" i="1"/>
  <c r="GA284" i="1"/>
  <c r="FK285" i="1"/>
  <c r="FT287" i="1"/>
  <c r="GA287" i="1"/>
  <c r="EU288" i="1"/>
  <c r="FG288" i="1"/>
  <c r="EO289" i="1"/>
  <c r="EJ289" i="1"/>
  <c r="EK289" i="1" s="1"/>
  <c r="EW289" i="1"/>
  <c r="FK273" i="1"/>
  <c r="GC273" i="1"/>
  <c r="FG275" i="1"/>
  <c r="FT277" i="1"/>
  <c r="EN278" i="1"/>
  <c r="EP278" i="1" s="1"/>
  <c r="FI278" i="1"/>
  <c r="GE278" i="1"/>
  <c r="FE280" i="1"/>
  <c r="GA280" i="1"/>
  <c r="FK281" i="1"/>
  <c r="GC281" i="1"/>
  <c r="FG283" i="1"/>
  <c r="FT285" i="1"/>
  <c r="EN286" i="1"/>
  <c r="EP286" i="1" s="1"/>
  <c r="FI286" i="1"/>
  <c r="GE286" i="1"/>
  <c r="EY289" i="1"/>
  <c r="FG273" i="1"/>
  <c r="FT275" i="1"/>
  <c r="EN276" i="1"/>
  <c r="EP276" i="1" s="1"/>
  <c r="FI276" i="1"/>
  <c r="GE276" i="1"/>
  <c r="FE278" i="1"/>
  <c r="GA278" i="1"/>
  <c r="FK279" i="1"/>
  <c r="GC279" i="1"/>
  <c r="FG281" i="1"/>
  <c r="FT283" i="1"/>
  <c r="EN284" i="1"/>
  <c r="EP284" i="1" s="1"/>
  <c r="FI284" i="1"/>
  <c r="GE284" i="1"/>
  <c r="FE286" i="1"/>
  <c r="GA286" i="1"/>
  <c r="FK287" i="1"/>
  <c r="GC287" i="1"/>
  <c r="EE289" i="1"/>
  <c r="EY288" i="1"/>
  <c r="FQ288" i="1"/>
  <c r="FR288" i="1" s="1"/>
  <c r="EU289" i="1"/>
  <c r="I18" i="7"/>
  <c r="J18" i="7" s="1"/>
  <c r="I21" i="7"/>
  <c r="I17" i="7"/>
  <c r="I13" i="7"/>
  <c r="I20" i="7"/>
  <c r="J20" i="7" s="1"/>
  <c r="I16" i="7"/>
  <c r="I12" i="7"/>
  <c r="J12" i="7" s="1"/>
  <c r="I19" i="7"/>
  <c r="I3" i="7"/>
  <c r="J3" i="7" s="1"/>
  <c r="I4" i="7"/>
  <c r="I7" i="7"/>
  <c r="I11" i="7"/>
  <c r="I15" i="7"/>
  <c r="J15" i="7" s="1"/>
  <c r="I8" i="7"/>
  <c r="J8" i="7" s="1"/>
  <c r="I2" i="7"/>
  <c r="J2" i="7" s="1"/>
  <c r="I5" i="7"/>
  <c r="I9" i="7"/>
  <c r="J9" i="7" s="1"/>
  <c r="I6" i="7"/>
  <c r="J6" i="7" s="1"/>
  <c r="I10" i="7"/>
  <c r="I14" i="7"/>
  <c r="J14" i="7" s="1"/>
  <c r="P277" i="7"/>
  <c r="P278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5" i="7"/>
  <c r="P297" i="7"/>
  <c r="P299" i="7"/>
  <c r="P303" i="7"/>
  <c r="P307" i="7"/>
  <c r="P311" i="7"/>
  <c r="P315" i="7"/>
  <c r="P319" i="7"/>
  <c r="P323" i="7"/>
  <c r="P327" i="7"/>
  <c r="P331" i="7"/>
  <c r="P335" i="7"/>
  <c r="P339" i="7"/>
  <c r="P343" i="7"/>
  <c r="P347" i="7"/>
  <c r="P351" i="7"/>
  <c r="P355" i="7"/>
  <c r="P359" i="7"/>
  <c r="P363" i="7"/>
  <c r="P367" i="7"/>
  <c r="P371" i="7"/>
  <c r="P375" i="7"/>
  <c r="P379" i="7"/>
  <c r="P383" i="7"/>
  <c r="P387" i="7"/>
  <c r="P391" i="7"/>
  <c r="P395" i="7"/>
  <c r="P399" i="7"/>
  <c r="P403" i="7"/>
  <c r="P407" i="7"/>
  <c r="P411" i="7"/>
  <c r="P415" i="7"/>
  <c r="P419" i="7"/>
  <c r="P423" i="7"/>
  <c r="P427" i="7"/>
  <c r="P431" i="7"/>
  <c r="P435" i="7"/>
  <c r="P439" i="7"/>
  <c r="P443" i="7"/>
  <c r="P447" i="7"/>
  <c r="P451" i="7"/>
  <c r="P455" i="7"/>
  <c r="P459" i="7"/>
  <c r="P463" i="7"/>
  <c r="P467" i="7"/>
  <c r="P471" i="7"/>
  <c r="P475" i="7"/>
  <c r="P479" i="7"/>
  <c r="P483" i="7"/>
  <c r="P487" i="7"/>
  <c r="P491" i="7"/>
  <c r="P495" i="7"/>
  <c r="P499" i="7"/>
  <c r="P503" i="7"/>
  <c r="P507" i="7"/>
  <c r="P511" i="7"/>
  <c r="P515" i="7"/>
  <c r="P519" i="7"/>
  <c r="P523" i="7"/>
  <c r="P527" i="7"/>
  <c r="P531" i="7"/>
  <c r="P535" i="7"/>
  <c r="P300" i="7"/>
  <c r="P304" i="7"/>
  <c r="P308" i="7"/>
  <c r="P312" i="7"/>
  <c r="P316" i="7"/>
  <c r="P320" i="7"/>
  <c r="P324" i="7"/>
  <c r="P328" i="7"/>
  <c r="P332" i="7"/>
  <c r="P336" i="7"/>
  <c r="P340" i="7"/>
  <c r="P344" i="7"/>
  <c r="P348" i="7"/>
  <c r="P352" i="7"/>
  <c r="P356" i="7"/>
  <c r="P360" i="7"/>
  <c r="P364" i="7"/>
  <c r="P368" i="7"/>
  <c r="P372" i="7"/>
  <c r="P376" i="7"/>
  <c r="P380" i="7"/>
  <c r="P384" i="7"/>
  <c r="P388" i="7"/>
  <c r="P392" i="7"/>
  <c r="P396" i="7"/>
  <c r="P400" i="7"/>
  <c r="P404" i="7"/>
  <c r="P408" i="7"/>
  <c r="P412" i="7"/>
  <c r="P416" i="7"/>
  <c r="P420" i="7"/>
  <c r="P424" i="7"/>
  <c r="P428" i="7"/>
  <c r="P432" i="7"/>
  <c r="P436" i="7"/>
  <c r="P440" i="7"/>
  <c r="P444" i="7"/>
  <c r="P448" i="7"/>
  <c r="P452" i="7"/>
  <c r="P456" i="7"/>
  <c r="P460" i="7"/>
  <c r="P464" i="7"/>
  <c r="P468" i="7"/>
  <c r="P472" i="7"/>
  <c r="P476" i="7"/>
  <c r="P480" i="7"/>
  <c r="P484" i="7"/>
  <c r="P488" i="7"/>
  <c r="P492" i="7"/>
  <c r="P496" i="7"/>
  <c r="P500" i="7"/>
  <c r="P504" i="7"/>
  <c r="P508" i="7"/>
  <c r="P512" i="7"/>
  <c r="P516" i="7"/>
  <c r="P520" i="7"/>
  <c r="P524" i="7"/>
  <c r="P528" i="7"/>
  <c r="P532" i="7"/>
  <c r="P536" i="7"/>
  <c r="P279" i="7"/>
  <c r="P294" i="7"/>
  <c r="P296" i="7"/>
  <c r="P298" i="7"/>
  <c r="P301" i="7"/>
  <c r="P305" i="7"/>
  <c r="P309" i="7"/>
  <c r="P313" i="7"/>
  <c r="P317" i="7"/>
  <c r="P321" i="7"/>
  <c r="P325" i="7"/>
  <c r="P329" i="7"/>
  <c r="P333" i="7"/>
  <c r="P337" i="7"/>
  <c r="P341" i="7"/>
  <c r="P345" i="7"/>
  <c r="P349" i="7"/>
  <c r="P353" i="7"/>
  <c r="P357" i="7"/>
  <c r="P361" i="7"/>
  <c r="P365" i="7"/>
  <c r="P369" i="7"/>
  <c r="P373" i="7"/>
  <c r="P377" i="7"/>
  <c r="P381" i="7"/>
  <c r="P385" i="7"/>
  <c r="P389" i="7"/>
  <c r="P393" i="7"/>
  <c r="P397" i="7"/>
  <c r="P401" i="7"/>
  <c r="P405" i="7"/>
  <c r="P409" i="7"/>
  <c r="P413" i="7"/>
  <c r="P417" i="7"/>
  <c r="P421" i="7"/>
  <c r="P425" i="7"/>
  <c r="P429" i="7"/>
  <c r="P433" i="7"/>
  <c r="P437" i="7"/>
  <c r="P441" i="7"/>
  <c r="P445" i="7"/>
  <c r="P449" i="7"/>
  <c r="P453" i="7"/>
  <c r="P457" i="7"/>
  <c r="P461" i="7"/>
  <c r="P465" i="7"/>
  <c r="P469" i="7"/>
  <c r="P473" i="7"/>
  <c r="P477" i="7"/>
  <c r="P481" i="7"/>
  <c r="P485" i="7"/>
  <c r="P489" i="7"/>
  <c r="P493" i="7"/>
  <c r="P497" i="7"/>
  <c r="P501" i="7"/>
  <c r="P505" i="7"/>
  <c r="P509" i="7"/>
  <c r="P513" i="7"/>
  <c r="P517" i="7"/>
  <c r="P521" i="7"/>
  <c r="P525" i="7"/>
  <c r="P529" i="7"/>
  <c r="P533" i="7"/>
  <c r="P537" i="7"/>
  <c r="P302" i="7"/>
  <c r="P306" i="7"/>
  <c r="P310" i="7"/>
  <c r="P314" i="7"/>
  <c r="P318" i="7"/>
  <c r="P322" i="7"/>
  <c r="P326" i="7"/>
  <c r="P330" i="7"/>
  <c r="P334" i="7"/>
  <c r="P338" i="7"/>
  <c r="P342" i="7"/>
  <c r="P346" i="7"/>
  <c r="P350" i="7"/>
  <c r="P354" i="7"/>
  <c r="P358" i="7"/>
  <c r="P362" i="7"/>
  <c r="P366" i="7"/>
  <c r="P370" i="7"/>
  <c r="P374" i="7"/>
  <c r="P378" i="7"/>
  <c r="P382" i="7"/>
  <c r="P386" i="7"/>
  <c r="P390" i="7"/>
  <c r="P394" i="7"/>
  <c r="P398" i="7"/>
  <c r="P402" i="7"/>
  <c r="P406" i="7"/>
  <c r="P410" i="7"/>
  <c r="P414" i="7"/>
  <c r="P418" i="7"/>
  <c r="P422" i="7"/>
  <c r="P426" i="7"/>
  <c r="P430" i="7"/>
  <c r="P434" i="7"/>
  <c r="P438" i="7"/>
  <c r="P442" i="7"/>
  <c r="P446" i="7"/>
  <c r="P450" i="7"/>
  <c r="P454" i="7"/>
  <c r="P458" i="7"/>
  <c r="P462" i="7"/>
  <c r="P466" i="7"/>
  <c r="P470" i="7"/>
  <c r="P474" i="7"/>
  <c r="P478" i="7"/>
  <c r="P482" i="7"/>
  <c r="P486" i="7"/>
  <c r="P490" i="7"/>
  <c r="P494" i="7"/>
  <c r="P498" i="7"/>
  <c r="P502" i="7"/>
  <c r="P506" i="7"/>
  <c r="P510" i="7"/>
  <c r="P514" i="7"/>
  <c r="P518" i="7"/>
  <c r="P522" i="7"/>
  <c r="P526" i="7"/>
  <c r="P530" i="7"/>
  <c r="P534" i="7"/>
  <c r="FR70" i="1" l="1"/>
  <c r="FR115" i="1"/>
  <c r="EK56" i="1"/>
  <c r="FR17" i="1"/>
  <c r="EK164" i="1"/>
  <c r="EK185" i="1"/>
  <c r="EK120" i="1"/>
  <c r="EK49" i="1"/>
  <c r="EK172" i="1"/>
  <c r="EK144" i="1"/>
  <c r="EK21" i="1"/>
  <c r="EK15" i="1"/>
  <c r="EK18" i="1"/>
  <c r="EK8" i="1"/>
  <c r="FR65" i="1"/>
  <c r="FR56" i="1"/>
  <c r="EK5" i="1"/>
  <c r="FR150" i="1"/>
  <c r="FR137" i="1"/>
  <c r="FR158" i="1"/>
  <c r="FR152" i="1"/>
  <c r="FR111" i="1"/>
  <c r="FR132" i="1"/>
  <c r="FR124" i="1"/>
  <c r="FR123" i="1"/>
  <c r="FR103" i="1"/>
  <c r="FR97" i="1"/>
  <c r="FR94" i="1"/>
  <c r="FR87" i="1"/>
  <c r="FR77" i="1"/>
  <c r="FR61" i="1"/>
  <c r="FR78" i="1"/>
  <c r="FR72" i="1"/>
  <c r="FR57" i="1"/>
  <c r="FR60" i="1"/>
  <c r="FR33" i="1"/>
  <c r="FR51" i="1"/>
  <c r="FR85" i="1"/>
  <c r="FR100" i="1"/>
  <c r="FR84" i="1"/>
  <c r="FR34" i="1"/>
  <c r="FR30" i="1"/>
  <c r="FR46" i="1"/>
  <c r="FR154" i="1"/>
  <c r="FR143" i="1"/>
  <c r="FR159" i="1"/>
  <c r="FR155" i="1"/>
  <c r="FR144" i="1"/>
  <c r="FR125" i="1"/>
  <c r="FR134" i="1"/>
  <c r="FR109" i="1"/>
  <c r="FR147" i="1"/>
  <c r="FR105" i="1"/>
  <c r="FR135" i="1"/>
  <c r="FR116" i="1"/>
  <c r="FR90" i="1"/>
  <c r="FR71" i="1"/>
  <c r="FR80" i="1"/>
  <c r="FR75" i="1"/>
  <c r="FR76" i="1"/>
  <c r="FR69" i="1"/>
  <c r="FR45" i="1"/>
  <c r="FR31" i="1"/>
  <c r="FR219" i="1"/>
  <c r="FR205" i="1"/>
  <c r="FR195" i="1"/>
  <c r="FR170" i="1"/>
  <c r="FR162" i="1"/>
  <c r="FR172" i="1"/>
  <c r="FR153" i="1"/>
  <c r="FR169" i="1"/>
  <c r="FR138" i="1"/>
  <c r="FR136" i="1"/>
  <c r="FR142" i="1"/>
  <c r="FR130" i="1"/>
  <c r="FR129" i="1"/>
  <c r="FR110" i="1"/>
  <c r="FR106" i="1"/>
  <c r="FR102" i="1"/>
  <c r="FR83" i="1"/>
  <c r="FR66" i="1"/>
  <c r="FR86" i="1"/>
  <c r="FR54" i="1"/>
  <c r="FR63" i="1"/>
  <c r="FR67" i="1"/>
  <c r="FR79" i="1"/>
  <c r="FR64" i="1"/>
  <c r="FR29" i="1"/>
  <c r="FR27" i="1"/>
  <c r="FR50" i="1"/>
  <c r="FR88" i="1"/>
  <c r="FR9" i="1"/>
  <c r="FR47" i="1"/>
  <c r="FR14" i="1"/>
  <c r="FR89" i="1"/>
  <c r="FR19" i="1"/>
  <c r="FR10" i="1"/>
  <c r="FR6" i="1"/>
  <c r="FR22" i="1"/>
  <c r="EP175" i="1"/>
  <c r="EP161" i="1"/>
  <c r="EP169" i="1"/>
  <c r="FR59" i="1"/>
  <c r="FR12" i="1"/>
  <c r="FR24" i="1"/>
  <c r="FR26" i="1"/>
  <c r="FR16" i="1"/>
  <c r="FR95" i="1"/>
  <c r="FR227" i="1"/>
  <c r="FR20" i="1"/>
  <c r="FR4" i="1"/>
  <c r="EP275" i="1"/>
  <c r="EP271" i="1"/>
  <c r="EP259" i="1"/>
  <c r="EP237" i="1"/>
  <c r="EP239" i="1"/>
  <c r="EP213" i="1"/>
  <c r="EP150" i="1"/>
  <c r="EP158" i="1"/>
  <c r="EP154" i="1"/>
  <c r="EP163" i="1"/>
  <c r="FR11" i="1"/>
  <c r="FR48" i="1"/>
  <c r="FR32" i="1"/>
  <c r="FR104" i="1"/>
  <c r="FR15" i="1"/>
  <c r="FR7" i="1"/>
  <c r="FR42" i="1"/>
  <c r="FR25" i="1"/>
  <c r="FR18" i="1"/>
  <c r="FR5" i="1"/>
  <c r="FR13" i="1"/>
  <c r="FR2" i="1"/>
  <c r="FR93" i="1"/>
  <c r="FR187" i="1"/>
  <c r="FR52" i="1"/>
  <c r="FR21" i="1"/>
  <c r="EP245" i="1"/>
  <c r="EP19" i="1"/>
  <c r="EP44" i="1"/>
  <c r="EP38" i="1"/>
  <c r="EP36" i="1"/>
  <c r="EP30" i="1"/>
  <c r="EP28" i="1"/>
  <c r="EP26" i="1"/>
  <c r="EP52" i="1"/>
  <c r="EP83" i="1"/>
  <c r="EP112" i="1"/>
  <c r="EP89" i="1"/>
  <c r="EP101" i="1"/>
  <c r="EP84" i="1"/>
  <c r="EP106" i="1"/>
  <c r="EP58" i="1"/>
  <c r="EP66" i="1"/>
  <c r="EP70" i="1"/>
  <c r="EP74" i="1"/>
  <c r="EP78" i="1"/>
  <c r="EP87" i="1"/>
  <c r="EP97" i="1"/>
  <c r="EP107" i="1"/>
  <c r="EP115" i="1"/>
  <c r="EP123" i="1"/>
  <c r="EP131" i="1"/>
  <c r="EP116" i="1"/>
  <c r="EP124" i="1"/>
  <c r="EP132" i="1"/>
  <c r="EP137" i="1"/>
  <c r="EP149" i="1"/>
  <c r="EP181" i="1"/>
  <c r="EP155" i="1"/>
  <c r="EP164" i="1"/>
  <c r="EP179" i="1"/>
  <c r="EP174" i="1"/>
  <c r="EP189" i="1"/>
  <c r="EP198" i="1"/>
  <c r="EP206" i="1"/>
  <c r="EP227" i="1"/>
  <c r="EP210" i="1"/>
  <c r="EP230" i="1"/>
  <c r="EP238" i="1"/>
  <c r="EP246" i="1"/>
  <c r="EP250" i="1"/>
  <c r="EP258" i="1"/>
  <c r="EP289" i="1"/>
  <c r="EP243" i="1"/>
  <c r="J5" i="7"/>
  <c r="J11" i="7"/>
  <c r="J19" i="7"/>
  <c r="J13" i="7"/>
  <c r="EP281" i="1"/>
  <c r="EP269" i="1"/>
  <c r="EP253" i="1"/>
  <c r="EP267" i="1"/>
  <c r="EP249" i="1"/>
  <c r="EP233" i="1"/>
  <c r="EP211" i="1"/>
  <c r="EP201" i="1"/>
  <c r="EP203" i="1"/>
  <c r="EP219" i="1"/>
  <c r="EP160" i="1"/>
  <c r="EP152" i="1"/>
  <c r="EP173" i="1"/>
  <c r="EP171" i="1"/>
  <c r="EP136" i="1"/>
  <c r="EP140" i="1"/>
  <c r="EP24" i="1"/>
  <c r="EP59" i="1"/>
  <c r="EP86" i="1"/>
  <c r="EP63" i="1"/>
  <c r="EP92" i="1"/>
  <c r="EP104" i="1"/>
  <c r="EP85" i="1"/>
  <c r="EP108" i="1"/>
  <c r="EP60" i="1"/>
  <c r="EP67" i="1"/>
  <c r="EP71" i="1"/>
  <c r="EP75" i="1"/>
  <c r="EP79" i="1"/>
  <c r="EP90" i="1"/>
  <c r="EP102" i="1"/>
  <c r="EP109" i="1"/>
  <c r="EP117" i="1"/>
  <c r="EP125" i="1"/>
  <c r="EP143" i="1"/>
  <c r="EP118" i="1"/>
  <c r="EP126" i="1"/>
  <c r="EP133" i="1"/>
  <c r="EP139" i="1"/>
  <c r="EP144" i="1"/>
  <c r="EP183" i="1"/>
  <c r="EP157" i="1"/>
  <c r="EP166" i="1"/>
  <c r="EP185" i="1"/>
  <c r="EP176" i="1"/>
  <c r="EP191" i="1"/>
  <c r="EP200" i="1"/>
  <c r="EP209" i="1"/>
  <c r="EP225" i="1"/>
  <c r="EP212" i="1"/>
  <c r="EP232" i="1"/>
  <c r="EP240" i="1"/>
  <c r="EP266" i="1"/>
  <c r="EP252" i="1"/>
  <c r="EP260" i="1"/>
  <c r="EP285" i="1"/>
  <c r="J10" i="7"/>
  <c r="J7" i="7"/>
  <c r="J17" i="7"/>
  <c r="EP257" i="1"/>
  <c r="EP247" i="1"/>
  <c r="EP223" i="1"/>
  <c r="EP199" i="1"/>
  <c r="EP148" i="1"/>
  <c r="EP167" i="1"/>
  <c r="EP138" i="1"/>
  <c r="EP61" i="1"/>
  <c r="EP48" i="1"/>
  <c r="EP17" i="1"/>
  <c r="EP53" i="1"/>
  <c r="EP50" i="1"/>
  <c r="EP96" i="1"/>
  <c r="EP65" i="1"/>
  <c r="EP93" i="1"/>
  <c r="EP105" i="1"/>
  <c r="EP95" i="1"/>
  <c r="EP54" i="1"/>
  <c r="EP62" i="1"/>
  <c r="EP68" i="1"/>
  <c r="EP72" i="1"/>
  <c r="EP76" i="1"/>
  <c r="EP80" i="1"/>
  <c r="EP91" i="1"/>
  <c r="EP103" i="1"/>
  <c r="EP111" i="1"/>
  <c r="EP119" i="1"/>
  <c r="EP127" i="1"/>
  <c r="EP145" i="1"/>
  <c r="EP120" i="1"/>
  <c r="EP128" i="1"/>
  <c r="EP134" i="1"/>
  <c r="EP141" i="1"/>
  <c r="EP146" i="1"/>
  <c r="EP151" i="1"/>
  <c r="EP159" i="1"/>
  <c r="EP168" i="1"/>
  <c r="EP187" i="1"/>
  <c r="EP178" i="1"/>
  <c r="EP193" i="1"/>
  <c r="EP202" i="1"/>
  <c r="EP207" i="1"/>
  <c r="EP251" i="1"/>
  <c r="EP214" i="1"/>
  <c r="EP234" i="1"/>
  <c r="EP242" i="1"/>
  <c r="EP272" i="1"/>
  <c r="EP254" i="1"/>
  <c r="EP262" i="1"/>
  <c r="EP277" i="1"/>
  <c r="J4" i="7"/>
  <c r="J16" i="7"/>
  <c r="J21" i="7"/>
  <c r="EP265" i="1"/>
  <c r="EP241" i="1"/>
  <c r="EP235" i="1"/>
  <c r="EP231" i="1"/>
  <c r="EP197" i="1"/>
  <c r="EP165" i="1"/>
  <c r="EP20" i="1"/>
  <c r="EP82" i="1"/>
  <c r="EP99" i="1"/>
  <c r="EP88" i="1"/>
  <c r="EP98" i="1"/>
  <c r="EP114" i="1"/>
  <c r="EP100" i="1"/>
  <c r="EP56" i="1"/>
  <c r="EP64" i="1"/>
  <c r="EP69" i="1"/>
  <c r="EP73" i="1"/>
  <c r="EP77" i="1"/>
  <c r="EP81" i="1"/>
  <c r="EP94" i="1"/>
  <c r="EP110" i="1"/>
  <c r="EP113" i="1"/>
  <c r="EP121" i="1"/>
  <c r="EP129" i="1"/>
  <c r="EP147" i="1"/>
  <c r="EP122" i="1"/>
  <c r="EP130" i="1"/>
  <c r="EP135" i="1"/>
  <c r="EP142" i="1"/>
  <c r="EP177" i="1"/>
  <c r="EP153" i="1"/>
  <c r="EP162" i="1"/>
  <c r="EP170" i="1"/>
  <c r="EP172" i="1"/>
  <c r="EQ172" i="1" s="1"/>
  <c r="EP180" i="1"/>
  <c r="EP195" i="1"/>
  <c r="EP204" i="1"/>
  <c r="EP215" i="1"/>
  <c r="EQ215" i="1" s="1"/>
  <c r="EP208" i="1"/>
  <c r="EP229" i="1"/>
  <c r="EP236" i="1"/>
  <c r="EP244" i="1"/>
  <c r="EQ244" i="1" s="1"/>
  <c r="EP248" i="1"/>
  <c r="EP256" i="1"/>
  <c r="EP270" i="1"/>
  <c r="EQ23" i="1"/>
  <c r="EQ270" i="1" l="1"/>
  <c r="EQ169" i="1"/>
  <c r="EQ177" i="1"/>
  <c r="EQ122" i="1"/>
  <c r="EQ113" i="1"/>
  <c r="EQ77" i="1"/>
  <c r="EQ56" i="1"/>
  <c r="EQ88" i="1"/>
  <c r="EQ18" i="1"/>
  <c r="EQ165" i="1"/>
  <c r="EQ197" i="1"/>
  <c r="EQ220" i="1"/>
  <c r="EQ265" i="1"/>
  <c r="EQ277" i="1"/>
  <c r="EQ242" i="1"/>
  <c r="EQ207" i="1"/>
  <c r="EQ187" i="1"/>
  <c r="EQ146" i="1"/>
  <c r="EQ120" i="1"/>
  <c r="EQ111" i="1"/>
  <c r="EQ76" i="1"/>
  <c r="EQ54" i="1"/>
  <c r="EQ65" i="1"/>
  <c r="EQ17" i="1"/>
  <c r="EQ14" i="1"/>
  <c r="EQ138" i="1"/>
  <c r="EQ199" i="1"/>
  <c r="EQ223" i="1"/>
  <c r="EQ224" i="1"/>
  <c r="EQ282" i="1"/>
  <c r="EQ21" i="1"/>
  <c r="EQ252" i="1"/>
  <c r="EQ212" i="1"/>
  <c r="EQ191" i="1"/>
  <c r="EQ157" i="1"/>
  <c r="EQ133" i="1"/>
  <c r="EQ125" i="1"/>
  <c r="EQ90" i="1"/>
  <c r="EQ67" i="1"/>
  <c r="EQ104" i="1"/>
  <c r="EQ59" i="1"/>
  <c r="EQ41" i="1"/>
  <c r="EQ173" i="1"/>
  <c r="EQ190" i="1"/>
  <c r="EQ203" i="1"/>
  <c r="EQ233" i="1"/>
  <c r="EQ264" i="1"/>
  <c r="EQ273" i="1"/>
  <c r="EQ243" i="1"/>
  <c r="EQ25" i="1"/>
  <c r="EQ250" i="1"/>
  <c r="EQ210" i="1"/>
  <c r="EQ189" i="1"/>
  <c r="EQ155" i="1"/>
  <c r="EQ132" i="1"/>
  <c r="EQ123" i="1"/>
  <c r="EQ87" i="1"/>
  <c r="EQ66" i="1"/>
  <c r="EQ101" i="1"/>
  <c r="EQ52" i="1"/>
  <c r="EQ13" i="1"/>
  <c r="EQ32" i="1"/>
  <c r="EQ40" i="1"/>
  <c r="EQ35" i="1"/>
  <c r="EQ57" i="1"/>
  <c r="EQ150" i="1"/>
  <c r="EQ196" i="1"/>
  <c r="EQ288" i="1"/>
  <c r="EQ4" i="1"/>
  <c r="EQ204" i="1"/>
  <c r="EQ147" i="1"/>
  <c r="EQ100" i="1"/>
  <c r="EQ29" i="1"/>
  <c r="EQ205" i="1"/>
  <c r="EQ231" i="1"/>
  <c r="EQ255" i="1"/>
  <c r="EQ262" i="1"/>
  <c r="EQ234" i="1"/>
  <c r="EQ202" i="1"/>
  <c r="EQ168" i="1"/>
  <c r="EQ141" i="1"/>
  <c r="EQ145" i="1"/>
  <c r="EQ103" i="1"/>
  <c r="EQ72" i="1"/>
  <c r="EQ95" i="1"/>
  <c r="EQ96" i="1"/>
  <c r="EQ22" i="1"/>
  <c r="EQ31" i="1"/>
  <c r="EQ167" i="1"/>
  <c r="EQ218" i="1"/>
  <c r="EQ247" i="1"/>
  <c r="EQ261" i="1"/>
  <c r="EQ283" i="1"/>
  <c r="EQ9" i="1"/>
  <c r="EQ266" i="1"/>
  <c r="EQ225" i="1"/>
  <c r="EQ176" i="1"/>
  <c r="EQ183" i="1"/>
  <c r="EQ126" i="1"/>
  <c r="EQ117" i="1"/>
  <c r="EQ79" i="1"/>
  <c r="EQ60" i="1"/>
  <c r="EQ92" i="1"/>
  <c r="EQ24" i="1"/>
  <c r="EQ140" i="1"/>
  <c r="EQ152" i="1"/>
  <c r="EQ182" i="1"/>
  <c r="EQ201" i="1"/>
  <c r="EQ249" i="1"/>
  <c r="EQ263" i="1"/>
  <c r="EQ281" i="1"/>
  <c r="EQ259" i="1"/>
  <c r="EQ8" i="1"/>
  <c r="EQ246" i="1"/>
  <c r="EQ227" i="1"/>
  <c r="EQ174" i="1"/>
  <c r="EQ181" i="1"/>
  <c r="EQ124" i="1"/>
  <c r="EQ115" i="1"/>
  <c r="EQ78" i="1"/>
  <c r="EQ58" i="1"/>
  <c r="EQ89" i="1"/>
  <c r="EQ10" i="1"/>
  <c r="EQ26" i="1"/>
  <c r="EQ34" i="1"/>
  <c r="EQ42" i="1"/>
  <c r="EQ43" i="1"/>
  <c r="EQ163" i="1"/>
  <c r="EQ186" i="1"/>
  <c r="EQ213" i="1"/>
  <c r="EQ276" i="1"/>
  <c r="EQ47" i="1"/>
  <c r="EQ236" i="1"/>
  <c r="EQ142" i="1"/>
  <c r="EQ73" i="1"/>
  <c r="EQ256" i="1"/>
  <c r="EQ195" i="1"/>
  <c r="EQ162" i="1"/>
  <c r="EQ129" i="1"/>
  <c r="EQ94" i="1"/>
  <c r="EQ69" i="1"/>
  <c r="EQ114" i="1"/>
  <c r="EQ82" i="1"/>
  <c r="EQ37" i="1"/>
  <c r="EQ161" i="1"/>
  <c r="EQ217" i="1"/>
  <c r="EQ235" i="1"/>
  <c r="EQ278" i="1"/>
  <c r="EQ254" i="1"/>
  <c r="EQ193" i="1"/>
  <c r="EQ159" i="1"/>
  <c r="EQ127" i="1"/>
  <c r="EQ91" i="1"/>
  <c r="EQ68" i="1"/>
  <c r="EQ105" i="1"/>
  <c r="EQ50" i="1"/>
  <c r="EQ48" i="1"/>
  <c r="EQ39" i="1"/>
  <c r="EQ148" i="1"/>
  <c r="EQ221" i="1"/>
  <c r="EQ257" i="1"/>
  <c r="EQ268" i="1"/>
  <c r="EQ280" i="1"/>
  <c r="EQ285" i="1"/>
  <c r="EQ240" i="1"/>
  <c r="EQ209" i="1"/>
  <c r="EQ185" i="1"/>
  <c r="EQ144" i="1"/>
  <c r="EQ118" i="1"/>
  <c r="EQ109" i="1"/>
  <c r="EQ75" i="1"/>
  <c r="EQ108" i="1"/>
  <c r="EQ63" i="1"/>
  <c r="EQ51" i="1"/>
  <c r="EQ136" i="1"/>
  <c r="EQ156" i="1"/>
  <c r="EQ192" i="1"/>
  <c r="EQ211" i="1"/>
  <c r="EQ267" i="1"/>
  <c r="EQ287" i="1"/>
  <c r="EQ239" i="1"/>
  <c r="EQ279" i="1"/>
  <c r="EQ289" i="1"/>
  <c r="EQ238" i="1"/>
  <c r="EQ206" i="1"/>
  <c r="EQ179" i="1"/>
  <c r="EQ149" i="1"/>
  <c r="EQ116" i="1"/>
  <c r="EQ107" i="1"/>
  <c r="EQ74" i="1"/>
  <c r="EQ106" i="1"/>
  <c r="EQ112" i="1"/>
  <c r="EQ2" i="1"/>
  <c r="EQ28" i="1"/>
  <c r="EQ36" i="1"/>
  <c r="EQ44" i="1"/>
  <c r="EQ45" i="1"/>
  <c r="EQ154" i="1"/>
  <c r="EQ194" i="1"/>
  <c r="EQ237" i="1"/>
  <c r="EQ5" i="1"/>
  <c r="EQ16" i="1"/>
  <c r="EQ170" i="1"/>
  <c r="EQ110" i="1"/>
  <c r="EQ99" i="1"/>
  <c r="EQ229" i="1"/>
  <c r="EQ135" i="1"/>
  <c r="EQ214" i="1"/>
  <c r="EQ134" i="1"/>
  <c r="EQ19" i="1"/>
  <c r="EQ248" i="1"/>
  <c r="EQ208" i="1"/>
  <c r="EQ180" i="1"/>
  <c r="EQ153" i="1"/>
  <c r="EQ130" i="1"/>
  <c r="EQ121" i="1"/>
  <c r="EQ81" i="1"/>
  <c r="EQ64" i="1"/>
  <c r="EQ98" i="1"/>
  <c r="EQ20" i="1"/>
  <c r="EQ49" i="1"/>
  <c r="EQ175" i="1"/>
  <c r="EQ222" i="1"/>
  <c r="EQ241" i="1"/>
  <c r="EQ284" i="1"/>
  <c r="EQ6" i="1"/>
  <c r="EQ272" i="1"/>
  <c r="EQ251" i="1"/>
  <c r="EQ178" i="1"/>
  <c r="EQ151" i="1"/>
  <c r="EQ128" i="1"/>
  <c r="EQ119" i="1"/>
  <c r="EQ80" i="1"/>
  <c r="EQ62" i="1"/>
  <c r="EQ93" i="1"/>
  <c r="EQ53" i="1"/>
  <c r="EQ61" i="1"/>
  <c r="EQ55" i="1"/>
  <c r="EQ188" i="1"/>
  <c r="EQ216" i="1"/>
  <c r="EQ245" i="1"/>
  <c r="EQ274" i="1"/>
  <c r="EQ286" i="1"/>
  <c r="EQ15" i="1"/>
  <c r="EQ260" i="1"/>
  <c r="EQ232" i="1"/>
  <c r="EQ200" i="1"/>
  <c r="EQ166" i="1"/>
  <c r="EQ139" i="1"/>
  <c r="EQ143" i="1"/>
  <c r="EQ102" i="1"/>
  <c r="EQ71" i="1"/>
  <c r="EQ85" i="1"/>
  <c r="EQ86" i="1"/>
  <c r="EQ33" i="1"/>
  <c r="EQ171" i="1"/>
  <c r="EQ160" i="1"/>
  <c r="EQ219" i="1"/>
  <c r="EQ228" i="1"/>
  <c r="EQ253" i="1"/>
  <c r="EQ269" i="1"/>
  <c r="EQ226" i="1"/>
  <c r="EQ275" i="1"/>
  <c r="EQ258" i="1"/>
  <c r="EQ230" i="1"/>
  <c r="EQ198" i="1"/>
  <c r="EQ164" i="1"/>
  <c r="EQ137" i="1"/>
  <c r="EQ131" i="1"/>
  <c r="EQ97" i="1"/>
  <c r="EQ70" i="1"/>
  <c r="EQ84" i="1"/>
  <c r="EQ83" i="1"/>
  <c r="EQ11" i="1"/>
  <c r="EQ30" i="1"/>
  <c r="EQ38" i="1"/>
  <c r="EQ7" i="1"/>
  <c r="EQ46" i="1"/>
  <c r="EQ158" i="1"/>
  <c r="EQ184" i="1"/>
  <c r="EQ271" i="1"/>
  <c r="EQ12" i="1"/>
  <c r="EQ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000-000008000000}">
      <text>
        <r>
          <rPr>
            <sz val="10"/>
            <color rgb="FF000000"/>
            <rFont val="Arial"/>
          </rPr>
          <t>Usually linked in the listing page on the platform. If not, please go to this link and enter the CIK number in FAST SEARCH 
https://www.sec.gov/edgar/searchedgar/companysearch.html
Then click on the Blue Documents link in the latest (top) line in the table, 
Then click on the latest (top) primary_doc.html
That's the company's filing, past that url here
	-Ahmad Takatkah</t>
        </r>
      </text>
    </comment>
    <comment ref="I1" authorId="0" shapeId="0" xr:uid="{00000000-0006-0000-0000-000038000000}">
      <text>
        <r>
          <rPr>
            <sz val="10"/>
            <color rgb="FF000000"/>
            <rFont val="Arial"/>
          </rPr>
          <t>This is the date on the SEC filing, you can find it if you scroll all the way down in the SEC filing
	-Ahmad Takatkah</t>
        </r>
      </text>
    </comment>
    <comment ref="J1" authorId="0" shapeId="0" xr:uid="{00000000-0006-0000-0000-000037000000}">
      <text>
        <r>
          <rPr>
            <sz val="10"/>
            <color rgb="FF000000"/>
            <rFont val="Arial"/>
          </rPr>
          <t>The full legal name of the company from the SEC filing
	-Ahmad Takatkah</t>
        </r>
      </text>
    </comment>
    <comment ref="K1" authorId="0" shapeId="0" xr:uid="{00000000-0006-0000-0000-000036000000}">
      <text>
        <r>
          <rPr>
            <sz val="10"/>
            <color rgb="FF000000"/>
            <rFont val="Arial"/>
          </rPr>
          <t>The "Doing Business As" name, which could be the same as company name without the LLC or Inc or totally different brand name
	-Ahmad Takatkah</t>
        </r>
      </text>
    </comment>
    <comment ref="M1" authorId="0" shapeId="0" xr:uid="{00000000-0006-0000-0000-000006000000}">
      <text>
        <r>
          <rPr>
            <sz val="10"/>
            <color rgb="FF000000"/>
            <rFont val="Arial"/>
          </rPr>
          <t>This is not for market size calculations, this is only for market analysis summaries
	-Ahmad Takatkah</t>
        </r>
      </text>
    </comment>
    <comment ref="R1" authorId="0" shapeId="0" xr:uid="{00000000-0006-0000-0000-000035000000}">
      <text>
        <r>
          <rPr>
            <sz val="10"/>
            <color rgb="FF000000"/>
            <rFont val="Arial"/>
          </rPr>
          <t>If the company has two parallel crowdfunding campaigns with a different Reg
	-Ahmad Takatkah</t>
        </r>
      </text>
    </comment>
    <comment ref="V1" authorId="0" shapeId="0" xr:uid="{00000000-0006-0000-0000-00002E000000}">
      <text>
        <r>
          <rPr>
            <sz val="10"/>
            <color rgb="FF000000"/>
            <rFont val="Arial"/>
          </rPr>
          <t>If raising an equity round, otherwise keep it empty
	-Ahmad Takatkah</t>
        </r>
      </text>
    </comment>
    <comment ref="W1" authorId="0" shapeId="0" xr:uid="{00000000-0006-0000-0000-00002D000000}">
      <text>
        <r>
          <rPr>
            <sz val="10"/>
            <color rgb="FF000000"/>
            <rFont val="Arial"/>
          </rPr>
          <t>If raising a SAFE or Convertible Note round, otherwise keep it empty
	-Ahmad Takatkah</t>
        </r>
      </text>
    </comment>
    <comment ref="X1" authorId="0" shapeId="0" xr:uid="{00000000-0006-0000-0000-00002C000000}">
      <text>
        <r>
          <rPr>
            <sz val="10"/>
            <color rgb="FF000000"/>
            <rFont val="Arial"/>
          </rPr>
          <t>If raising a SAFE or Convertible Note round, otherwise keep it empty
	-Ahmad Takatkah</t>
        </r>
      </text>
    </comment>
    <comment ref="AE1" authorId="0" shapeId="0" xr:uid="{00000000-0006-0000-0000-000034000000}">
      <text>
        <r>
          <rPr>
            <sz val="10"/>
            <color rgb="FF000000"/>
            <rFont val="Arial"/>
          </rPr>
          <t>Yes / No
	-Ahmad Takatkah</t>
        </r>
      </text>
    </comment>
    <comment ref="AH1" authorId="0" shapeId="0" xr:uid="{00000000-0006-0000-0000-000033000000}">
      <text>
        <r>
          <rPr>
            <sz val="10"/>
            <color rgb="FF000000"/>
            <rFont val="Arial"/>
          </rPr>
          <t>Enter the name of the accelerator or incubator if any
	-Ahmad Takatkah</t>
        </r>
      </text>
    </comment>
    <comment ref="AI1" authorId="0" shapeId="0" xr:uid="{00000000-0006-0000-0000-000005000000}">
      <text>
        <r>
          <rPr>
            <sz val="10"/>
            <color rgb="FF000000"/>
            <rFont val="Arial"/>
          </rPr>
          <t>This is based on what the company thinks of itself, and what market they are targeting
	-Ahmad Takatkah</t>
        </r>
      </text>
    </comment>
    <comment ref="AL1" authorId="0" shapeId="0" xr:uid="{00000000-0006-0000-0000-000004000000}">
      <text>
        <r>
          <rPr>
            <sz val="10"/>
            <color rgb="FF000000"/>
            <rFont val="Arial"/>
          </rPr>
          <t>This is the part of the addressable market they can actually obtain (bottom up or top down - most applicable calculations)
	-Ahmad Takatkah
----
This is the part of the addressable market they can actually obtain (calculations)
	-Ahmad Takatkah</t>
        </r>
      </text>
    </comment>
    <comment ref="AP1" authorId="0" shapeId="0" xr:uid="{00000000-0006-0000-0000-000007000000}">
      <text>
        <r>
          <rPr>
            <sz val="10"/>
            <color rgb="FF000000"/>
            <rFont val="Arial"/>
          </rPr>
          <t>Number of direct competitors. Don't take their word for it, research and find who else is competing with them
	-Ahmad Takatkah
----
Number of direct competitors. Don't take their word for it, research and find who else is competing with them
	-Ahmad Takatkah</t>
        </r>
      </text>
    </comment>
    <comment ref="AQ1" authorId="0" shapeId="0" xr:uid="{00000000-0006-0000-0000-000031000000}">
      <text>
        <r>
          <rPr>
            <sz val="10"/>
            <color rgb="FF000000"/>
            <rFont val="Arial"/>
          </rPr>
          <t>High: if the quality of this company's product of service is higher than its competitors
	-Ahmad Takatkah</t>
        </r>
      </text>
    </comment>
    <comment ref="AR1" authorId="0" shapeId="0" xr:uid="{00000000-0006-0000-0000-000030000000}">
      <text>
        <r>
          <rPr>
            <sz val="10"/>
            <color rgb="FF000000"/>
            <rFont val="Arial"/>
          </rPr>
          <t>High: if the price of this company's product of service is cheaper than its competitors
	-Ahmad Takatkah</t>
        </r>
      </text>
    </comment>
    <comment ref="AS1" authorId="0" shapeId="0" xr:uid="{00000000-0006-0000-0000-00002F000000}">
      <text>
        <r>
          <rPr>
            <sz val="10"/>
            <color rgb="FF000000"/>
            <rFont val="Arial"/>
          </rPr>
          <t>This depends on your opinion after comparing the company's product or service to those of its competitors
	-Ahmad Takatkah</t>
        </r>
      </text>
    </comment>
    <comment ref="AV1" authorId="0" shapeId="0" xr:uid="{00000000-0006-0000-0000-000032000000}">
      <text>
        <r>
          <rPr>
            <sz val="10"/>
            <color rgb="FF000000"/>
            <rFont val="Arial"/>
          </rPr>
          <t>Yes / No
	-Ahmad Takatkah</t>
        </r>
      </text>
    </comment>
    <comment ref="AW1" authorId="0" shapeId="0" xr:uid="{00000000-0006-0000-0000-00002B000000}">
      <text>
        <r>
          <rPr>
            <sz val="10"/>
            <color rgb="FF000000"/>
            <rFont val="Arial"/>
          </rPr>
          <t>Yes / No
	-Ahmad Takatkah</t>
        </r>
      </text>
    </comment>
    <comment ref="AX1" authorId="0" shapeId="0" xr:uid="{00000000-0006-0000-0000-00002A000000}">
      <text>
        <r>
          <rPr>
            <sz val="10"/>
            <color rgb="FF000000"/>
            <rFont val="Arial"/>
          </rPr>
          <t>Yes / No
	-Ahmad Takatkah</t>
        </r>
      </text>
    </comment>
    <comment ref="AY1" authorId="0" shapeId="0" xr:uid="{00000000-0006-0000-0000-000029000000}">
      <text>
        <r>
          <rPr>
            <sz val="10"/>
            <color rgb="FF000000"/>
            <rFont val="Arial"/>
          </rPr>
          <t>Yes / No
	-Ahmad Takatkah</t>
        </r>
      </text>
    </comment>
    <comment ref="AZ1" authorId="0" shapeId="0" xr:uid="{00000000-0006-0000-0000-000028000000}">
      <text>
        <r>
          <rPr>
            <sz val="10"/>
            <color rgb="FF000000"/>
            <rFont val="Arial"/>
          </rPr>
          <t>From the SEC Filing ONLY: 
Enter the reported "Revenue/Sales Most Recent Fiscal Year-end"
	-Ahmad Takatkah</t>
        </r>
      </text>
    </comment>
    <comment ref="BB1" authorId="0" shapeId="0" xr:uid="{00000000-0006-0000-0000-000027000000}">
      <text>
        <r>
          <rPr>
            <sz val="10"/>
            <color rgb="FF000000"/>
            <rFont val="Arial"/>
          </rPr>
          <t>From the SEC Filing ONLY:
Divide the reported "Net Income Most Recent Fiscal Year-end" by 12 to get the monthly burn rate
	-Ahmad Takatkah</t>
        </r>
      </text>
    </comment>
    <comment ref="BC1" authorId="0" shapeId="0" xr:uid="{00000000-0006-0000-0000-000026000000}">
      <text>
        <r>
          <rPr>
            <sz val="10"/>
            <color rgb="FF000000"/>
            <rFont val="Arial"/>
          </rPr>
          <t>If any, enter the total amount of funding from all previous rounds (Excluding this current round)
	-Ahmad Takatkah</t>
        </r>
      </text>
    </comment>
    <comment ref="BE1" authorId="0" shapeId="0" xr:uid="{00000000-0006-0000-0000-000025000000}">
      <text>
        <r>
          <rPr>
            <sz val="10"/>
            <color rgb="FF000000"/>
            <rFont val="Arial"/>
          </rPr>
          <t>= monthly burn rate / prior rounds total amount raised
	-Ahmad Takatkah</t>
        </r>
      </text>
    </comment>
    <comment ref="BH1" authorId="0" shapeId="0" xr:uid="{00000000-0006-0000-0000-000024000000}">
      <text>
        <r>
          <rPr>
            <sz val="10"/>
            <color rgb="FF000000"/>
            <rFont val="Arial"/>
          </rPr>
          <t>Only for BioTech Companies
	-Ahmad Takatkah</t>
        </r>
      </text>
    </comment>
    <comment ref="BI1" authorId="0" shapeId="0" xr:uid="{00000000-0006-0000-0000-000023000000}">
      <text>
        <r>
          <rPr>
            <sz val="10"/>
            <color rgb="FF000000"/>
            <rFont val="Arial"/>
          </rPr>
          <t>Yes / No
	-Ahmad Takatkah</t>
        </r>
      </text>
    </comment>
    <comment ref="BJ1" authorId="0" shapeId="0" xr:uid="{00000000-0006-0000-0000-000022000000}">
      <text>
        <r>
          <rPr>
            <sz val="10"/>
            <color rgb="FF000000"/>
            <rFont val="Arial"/>
          </rPr>
          <t>Enter the number of relevant partnerships
	-Ahmad Takatkah</t>
        </r>
      </text>
    </comment>
    <comment ref="BK1" authorId="0" shapeId="0" xr:uid="{00000000-0006-0000-0000-000021000000}">
      <text>
        <r>
          <rPr>
            <sz val="10"/>
            <color rgb="FF000000"/>
            <rFont val="Arial"/>
          </rPr>
          <t>Enter the number of founders (not all team)
	-Ahmad Takatkah</t>
        </r>
      </text>
    </comment>
    <comment ref="BL1" authorId="0" shapeId="0" xr:uid="{00000000-0006-0000-0000-000020000000}">
      <text>
        <r>
          <rPr>
            <sz val="10"/>
            <color rgb="FF000000"/>
            <rFont val="Arial"/>
          </rPr>
          <t>Yes / No
	-Ahmad Takatkah</t>
        </r>
      </text>
    </comment>
    <comment ref="BM1" authorId="0" shapeId="0" xr:uid="{00000000-0006-0000-0000-00001F000000}">
      <text>
        <r>
          <rPr>
            <sz val="10"/>
            <color rgb="FF000000"/>
            <rFont val="Arial"/>
          </rPr>
          <t>Yes / No
	-Ahmad Takatkah</t>
        </r>
      </text>
    </comment>
    <comment ref="BN1" authorId="0" shapeId="0" xr:uid="{00000000-0006-0000-0000-00001E000000}">
      <text>
        <r>
          <rPr>
            <sz val="10"/>
            <color rgb="FF000000"/>
            <rFont val="Arial"/>
          </rPr>
          <t>Yes / No
	-Ahmad Takatkah</t>
        </r>
      </text>
    </comment>
    <comment ref="BO1" authorId="0" shapeId="0" xr:uid="{00000000-0006-0000-0000-00001D000000}">
      <text>
        <r>
          <rPr>
            <sz val="10"/>
            <color rgb="FF000000"/>
            <rFont val="Arial"/>
          </rPr>
          <t>Yes / No
	-Ahmad Takatkah</t>
        </r>
      </text>
    </comment>
    <comment ref="BP1" authorId="0" shapeId="0" xr:uid="{00000000-0006-0000-0000-00001C000000}">
      <text>
        <r>
          <rPr>
            <sz val="10"/>
            <color rgb="FF000000"/>
            <rFont val="Arial"/>
          </rPr>
          <t>Enter the number of unique universities the founders went to
	-Ahmad Takatkah</t>
        </r>
      </text>
    </comment>
    <comment ref="BQ1" authorId="0" shapeId="0" xr:uid="{00000000-0006-0000-0000-00001A000000}">
      <text>
        <r>
          <rPr>
            <sz val="10"/>
            <color rgb="FF000000"/>
            <rFont val="Arial"/>
          </rPr>
          <t>Enter the number of all team members including founders
	-Ahmad Takatkah</t>
        </r>
      </text>
    </comment>
    <comment ref="BR1" authorId="0" shapeId="0" xr:uid="{00000000-0006-0000-0000-00001B000000}">
      <text>
        <r>
          <rPr>
            <sz val="10"/>
            <color rgb="FF000000"/>
            <rFont val="Arial"/>
          </rPr>
          <t>Enter the number of relevant advisors for the company (Not all advisors)
	-Ahmad Takatkah</t>
        </r>
      </text>
    </comment>
    <comment ref="BS1" authorId="0" shapeId="0" xr:uid="{00000000-0006-0000-0000-000019000000}">
      <text>
        <r>
          <rPr>
            <sz val="10"/>
            <color rgb="FF000000"/>
            <rFont val="Arial"/>
          </rPr>
          <t>Enter the number of notable investors in this or previous rounds if available or if mentioned by the company
	-Ahmad Takatkah</t>
        </r>
      </text>
    </comment>
    <comment ref="BU1" authorId="0" shapeId="0" xr:uid="{00000000-0006-0000-0000-000018000000}">
      <text>
        <r>
          <rPr>
            <sz val="10"/>
            <color rgb="FF000000"/>
            <rFont val="Arial"/>
          </rPr>
          <t>Enter the number of years of experience this founder has in the industry of this company
	-Ahmad Takatkah</t>
        </r>
      </text>
    </comment>
    <comment ref="BV1" authorId="0" shapeId="0" xr:uid="{00000000-0006-0000-0000-000011000000}">
      <text>
        <r>
          <rPr>
            <sz val="10"/>
            <color rgb="FF000000"/>
            <rFont val="Arial"/>
          </rPr>
          <t>Enter the number of successful exits the founder has had before this company
	-Ahmad Takatkah
----
Enter the number of startups this founder has founded before this company (successful and failed ones)
	-Ahmad Takatkah</t>
        </r>
      </text>
    </comment>
    <comment ref="BW1" authorId="0" shapeId="0" xr:uid="{00000000-0006-0000-0000-000010000000}">
      <text>
        <r>
          <rPr>
            <sz val="10"/>
            <color rgb="FF000000"/>
            <rFont val="Arial"/>
          </rPr>
          <t>You can estimate the age based on the bachelor's degree graduation year (= 2020 - GradYear + 22)
	-Ahmad Takatkah</t>
        </r>
      </text>
    </comment>
    <comment ref="BX1" authorId="0" shapeId="0" xr:uid="{00000000-0006-0000-0000-000009000000}">
      <text>
        <r>
          <rPr>
            <sz val="10"/>
            <color rgb="FF000000"/>
            <rFont val="Arial"/>
          </rPr>
          <t>Yes / No
If the founder went to any of the top 100 universities
	-Ahmad Takatkah</t>
        </r>
      </text>
    </comment>
    <comment ref="BZ1" authorId="0" shapeId="0" xr:uid="{00000000-0006-0000-0000-000017000000}">
      <text>
        <r>
          <rPr>
            <sz val="10"/>
            <color rgb="FF000000"/>
            <rFont val="Arial"/>
          </rPr>
          <t>Enter the number of years of experience this founder has in the industry of this company
	-Ahmad Takatkah</t>
        </r>
      </text>
    </comment>
    <comment ref="CA1" authorId="0" shapeId="0" xr:uid="{00000000-0006-0000-0000-000012000000}">
      <text>
        <r>
          <rPr>
            <sz val="10"/>
            <color rgb="FF000000"/>
            <rFont val="Arial"/>
          </rPr>
          <t>Enter the number of successful exits the founder has had before this company
	-Ahmad Takatkah
----
Enter the number of startups this founder has founded before this company (successful and failed ones)
	-Ahmad Takatkah</t>
        </r>
      </text>
    </comment>
    <comment ref="CB1" authorId="0" shapeId="0" xr:uid="{00000000-0006-0000-0000-00000F000000}">
      <text>
        <r>
          <rPr>
            <sz val="10"/>
            <color rgb="FF000000"/>
            <rFont val="Arial"/>
          </rPr>
          <t>You can estimate the age based on the bachelor's degree graduation year (= 2020 - GradYear + 22)
	-Ahmad Takatkah</t>
        </r>
      </text>
    </comment>
    <comment ref="CC1" authorId="0" shapeId="0" xr:uid="{00000000-0006-0000-0000-00000A000000}">
      <text>
        <r>
          <rPr>
            <sz val="10"/>
            <color rgb="FF000000"/>
            <rFont val="Arial"/>
          </rPr>
          <t>Yes / No
If the founder went to any of the top 100 universities
	-Ahmad Takatkah</t>
        </r>
      </text>
    </comment>
    <comment ref="CE1" authorId="0" shapeId="0" xr:uid="{00000000-0006-0000-0000-000016000000}">
      <text>
        <r>
          <rPr>
            <sz val="10"/>
            <color rgb="FF000000"/>
            <rFont val="Arial"/>
          </rPr>
          <t>Enter the number of years of experience this founder has in the industry of this company
	-Ahmad Takatkah</t>
        </r>
      </text>
    </comment>
    <comment ref="CF1" authorId="0" shapeId="0" xr:uid="{00000000-0006-0000-0000-000013000000}">
      <text>
        <r>
          <rPr>
            <sz val="10"/>
            <color rgb="FF000000"/>
            <rFont val="Arial"/>
          </rPr>
          <t>Enter the number of successful exits the founder has had before this company
	-Ahmad Takatkah
----
Enter the number of startups this founder has founded before this company (successful and failed ones)
	-Ahmad Takatkah</t>
        </r>
      </text>
    </comment>
    <comment ref="CG1" authorId="0" shapeId="0" xr:uid="{00000000-0006-0000-0000-00000E000000}">
      <text>
        <r>
          <rPr>
            <sz val="10"/>
            <color rgb="FF000000"/>
            <rFont val="Arial"/>
          </rPr>
          <t>You can estimate the age based on the bachelor's degree graduation year (= 2020 - GradYear + 22)
	-Ahmad Takatkah</t>
        </r>
      </text>
    </comment>
    <comment ref="CH1" authorId="0" shapeId="0" xr:uid="{00000000-0006-0000-0000-00000B000000}">
      <text>
        <r>
          <rPr>
            <sz val="10"/>
            <color rgb="FF000000"/>
            <rFont val="Arial"/>
          </rPr>
          <t>Yes / No
If the founder went to any of the top 100 universities
	-Ahmad Takatkah</t>
        </r>
      </text>
    </comment>
    <comment ref="CJ1" authorId="0" shapeId="0" xr:uid="{00000000-0006-0000-0000-000015000000}">
      <text>
        <r>
          <rPr>
            <sz val="10"/>
            <color rgb="FF000000"/>
            <rFont val="Arial"/>
          </rPr>
          <t>Enter the number of years of experience this founder has in the industry of this company
	-Ahmad Takatkah</t>
        </r>
      </text>
    </comment>
    <comment ref="CK1" authorId="0" shapeId="0" xr:uid="{00000000-0006-0000-0000-000014000000}">
      <text>
        <r>
          <rPr>
            <sz val="10"/>
            <color rgb="FF000000"/>
            <rFont val="Arial"/>
          </rPr>
          <t>Enter the number of successful exits the founder has had before this company
	-Ahmad Takatkah
----
Enter the number of startups this founder has founded before this company (successful and failed ones)
	-Ahmad Takatkah</t>
        </r>
      </text>
    </comment>
    <comment ref="CL1" authorId="0" shapeId="0" xr:uid="{00000000-0006-0000-0000-00000D000000}">
      <text>
        <r>
          <rPr>
            <sz val="10"/>
            <color rgb="FF000000"/>
            <rFont val="Arial"/>
          </rPr>
          <t>You can estimate the age based on the bachelor's degree graduation year (= 2020 - GradYear + 22)
	-Ahmad Takatkah</t>
        </r>
      </text>
    </comment>
    <comment ref="CM1" authorId="0" shapeId="0" xr:uid="{00000000-0006-0000-0000-00000C000000}">
      <text>
        <r>
          <rPr>
            <sz val="10"/>
            <color rgb="FF000000"/>
            <rFont val="Arial"/>
          </rPr>
          <t>Yes / No
If the founder went to any of the top 100 universities
	-Ahmad Takatkah</t>
        </r>
      </text>
    </comment>
    <comment ref="BC12" authorId="0" shapeId="0" xr:uid="{00000000-0006-0000-0000-000001000000}">
      <text>
        <r>
          <rPr>
            <sz val="10"/>
            <color rgb="FF000000"/>
            <rFont val="Arial"/>
          </rPr>
          <t>https://labusinessjournal.com/news/2018/jul/02/bioniclogic-raises-15-million/
	-Francis Vu</t>
        </r>
      </text>
    </comment>
    <comment ref="AL17" authorId="0" shapeId="0" xr:uid="{00000000-0006-0000-0000-000002000000}">
      <text>
        <r>
          <rPr>
            <sz val="10"/>
            <color rgb="FF000000"/>
            <rFont val="Arial"/>
          </rPr>
          <t>20% of $32B
	-Francis Vu</t>
        </r>
      </text>
    </comment>
  </commentList>
</comments>
</file>

<file path=xl/sharedStrings.xml><?xml version="1.0" encoding="utf-8"?>
<sst xmlns="http://schemas.openxmlformats.org/spreadsheetml/2006/main" count="13386" uniqueCount="1934">
  <si>
    <t>company.industry</t>
  </si>
  <si>
    <t xml:space="preserve">company.tech_sector </t>
  </si>
  <si>
    <t>company_rounds.stage</t>
  </si>
  <si>
    <t>company_rounds.series</t>
  </si>
  <si>
    <t>company_rounds.status</t>
  </si>
  <si>
    <t>company_rounds.security_type</t>
  </si>
  <si>
    <t>company_rounds.crowdfunding_type</t>
  </si>
  <si>
    <t>company_details_at_round.revenue_model</t>
  </si>
  <si>
    <t>company_details_at_round.distrubution_model</t>
  </si>
  <si>
    <t>company_details_at_round.business_type</t>
  </si>
  <si>
    <t>company_details_at_round.margin_level</t>
  </si>
  <si>
    <t>company_details_at_round.capital_intensity_level</t>
  </si>
  <si>
    <t>company_details_at_round.market_regulation_level</t>
  </si>
  <si>
    <t>company_details_at_round.differentiation_level_quality</t>
  </si>
  <si>
    <t>company_details_at_round.differentiation_level_price</t>
  </si>
  <si>
    <t>company_details_at_round.how_is_it_10x_better</t>
  </si>
  <si>
    <t>company_performance_at_round.development_phase</t>
  </si>
  <si>
    <t>company_performance_at_round.bio_development_phase</t>
  </si>
  <si>
    <t>platform</t>
  </si>
  <si>
    <t>barriers_to_entry</t>
  </si>
  <si>
    <t>threat_of_substitute_products</t>
  </si>
  <si>
    <t>market_sizes</t>
  </si>
  <si>
    <t>market_growth_rates</t>
  </si>
  <si>
    <t>valuations_and_caps</t>
  </si>
  <si>
    <t>revenues</t>
  </si>
  <si>
    <t>capital_utilizations</t>
  </si>
  <si>
    <t>prior_capital_raises</t>
  </si>
  <si>
    <t>direct_competitors_buckets</t>
  </si>
  <si>
    <t>Alcohol, Tobacco, &amp; Recreational Drugs</t>
  </si>
  <si>
    <t>AdTech</t>
  </si>
  <si>
    <t>Early</t>
  </si>
  <si>
    <t>Pre-Seed</t>
  </si>
  <si>
    <t>Active</t>
  </si>
  <si>
    <t>week</t>
  </si>
  <si>
    <t>CAFES</t>
  </si>
  <si>
    <t>RegCF</t>
  </si>
  <si>
    <t>Transactional</t>
  </si>
  <si>
    <t>B2B</t>
  </si>
  <si>
    <t>Life Style</t>
  </si>
  <si>
    <t>High</t>
  </si>
  <si>
    <t>writer</t>
  </si>
  <si>
    <t>cik</t>
  </si>
  <si>
    <t>Similar to others</t>
  </si>
  <si>
    <t>Pre-Product</t>
  </si>
  <si>
    <t>Preclinical</t>
  </si>
  <si>
    <t>company</t>
  </si>
  <si>
    <t>AngelList</t>
  </si>
  <si>
    <t>date_created</t>
  </si>
  <si>
    <t>platform_url</t>
  </si>
  <si>
    <t>sec_filing_url</t>
  </si>
  <si>
    <t>&gt; $1T</t>
  </si>
  <si>
    <t>sec_filing_date</t>
  </si>
  <si>
    <t>legal_name</t>
  </si>
  <si>
    <t>dba</t>
  </si>
  <si>
    <t>city</t>
  </si>
  <si>
    <t>industry</t>
  </si>
  <si>
    <t>tech_sector</t>
  </si>
  <si>
    <t>stage</t>
  </si>
  <si>
    <t>series</t>
  </si>
  <si>
    <t>crowdfunding_type_1</t>
  </si>
  <si>
    <t>crowdfunding_type_2</t>
  </si>
  <si>
    <t>security_type</t>
  </si>
  <si>
    <t>rev_share_return_multiple</t>
  </si>
  <si>
    <t>debt_interest_rate</t>
  </si>
  <si>
    <t>pre_money_valuation</t>
  </si>
  <si>
    <t>valuation_cap</t>
  </si>
  <si>
    <t>discount_rate</t>
  </si>
  <si>
    <t>valuation_cap_after_discount</t>
  </si>
  <si>
    <t>valuations_combined</t>
  </si>
  <si>
    <t>valuations_brackets</t>
  </si>
  <si>
    <t>revenue_model</t>
  </si>
  <si>
    <t>distrubution_model</t>
  </si>
  <si>
    <t>business_type</t>
  </si>
  <si>
    <t>has_scalable_business_model</t>
  </si>
  <si>
    <t>margin_level</t>
  </si>
  <si>
    <t>capital_intensity_level</t>
  </si>
  <si>
    <t>accelerator_program</t>
  </si>
  <si>
    <t>market_size_total</t>
  </si>
  <si>
    <t>market_size_total_buckets</t>
  </si>
  <si>
    <t>market_size_addressable</t>
  </si>
  <si>
    <t>market_size_addressable_buckets</t>
  </si>
  <si>
    <t>market_growth_rate</t>
  </si>
  <si>
    <t>market_growth_rate_buckets</t>
  </si>
  <si>
    <t>differentiation_level_quality</t>
  </si>
  <si>
    <t>differentiation_level_price</t>
  </si>
  <si>
    <t>how_is_it_10x_better</t>
  </si>
  <si>
    <t>has_social_impact</t>
  </si>
  <si>
    <t>has_patents</t>
  </si>
  <si>
    <t>has_users</t>
  </si>
  <si>
    <t>has_paying_customers</t>
  </si>
  <si>
    <t>total_revenue</t>
  </si>
  <si>
    <t>total_revenue_brackets</t>
  </si>
  <si>
    <t>monthly_burn</t>
  </si>
  <si>
    <t>prior_rounds_total_amount_raised</t>
  </si>
  <si>
    <t>prior_rounds_total_amount_raised_buckets</t>
  </si>
  <si>
    <t>monthly_burn_rate</t>
  </si>
  <si>
    <t>monthly_burn_rate_of_capital_buckets</t>
  </si>
  <si>
    <t>development_phase</t>
  </si>
  <si>
    <t>bio_development_phase</t>
  </si>
  <si>
    <t>has_partnerships</t>
  </si>
  <si>
    <t>relevant_partners</t>
  </si>
  <si>
    <t>founders</t>
  </si>
  <si>
    <t>has_shared_experience</t>
  </si>
  <si>
    <t>has_female_founders</t>
  </si>
  <si>
    <t>has_minority_founders</t>
  </si>
  <si>
    <t>has_famous_founders</t>
  </si>
  <si>
    <t>unique_universities</t>
  </si>
  <si>
    <t>employees</t>
  </si>
  <si>
    <t>relevent_advisors</t>
  </si>
  <si>
    <t>notable_investors</t>
  </si>
  <si>
    <t>spacer founder 1</t>
  </si>
  <si>
    <t>founder_1_relevant_industry_experience</t>
  </si>
  <si>
    <t>founder_1_exits</t>
  </si>
  <si>
    <t>founder_1_age</t>
  </si>
  <si>
    <t>founder_1_graduated_from_top_100</t>
  </si>
  <si>
    <t>spacer founder 2</t>
  </si>
  <si>
    <t>founder_2_relevant_industry_experience</t>
  </si>
  <si>
    <t>founder_2_exits</t>
  </si>
  <si>
    <t>founder_2_age</t>
  </si>
  <si>
    <t>founder_2_graduated_from_top_100</t>
  </si>
  <si>
    <t>spacer founder 3</t>
  </si>
  <si>
    <t>founder_3_relevant_industry_experience</t>
  </si>
  <si>
    <t>founder_3_exits</t>
  </si>
  <si>
    <t>founder_3_age</t>
  </si>
  <si>
    <t>founder_3_graduated_from_top_100</t>
  </si>
  <si>
    <t>spacer founder 4</t>
  </si>
  <si>
    <t>founder_4_relevant_industry_experience</t>
  </si>
  <si>
    <t>founder_4_exits</t>
  </si>
  <si>
    <t>founder_4_age</t>
  </si>
  <si>
    <t>founder_4_graduated_from_top_100</t>
  </si>
  <si>
    <t>spacer founder 5</t>
  </si>
  <si>
    <t>founder_5_relevant_industry_experience</t>
  </si>
  <si>
    <t>founder_5_exits</t>
  </si>
  <si>
    <t>founder_5_age</t>
  </si>
  <si>
    <t>founder_5_graduated_from_top_100</t>
  </si>
  <si>
    <t>spacer founder 6</t>
  </si>
  <si>
    <t>founder_6_relevant_industry_experience</t>
  </si>
  <si>
    <t>founder_6_exits</t>
  </si>
  <si>
    <t>founder_6_age</t>
  </si>
  <si>
    <t>founder_6_graduated_from_top_100</t>
  </si>
  <si>
    <t>&lt; 0% (Shrinking Market)</t>
  </si>
  <si>
    <t>spacer founder 7</t>
  </si>
  <si>
    <t>founder_7_relevant_industry_experience</t>
  </si>
  <si>
    <t>founder_7_exits</t>
  </si>
  <si>
    <t>founder_7_age</t>
  </si>
  <si>
    <t>founder_7_graduated_from_top_100</t>
  </si>
  <si>
    <t>spacer founder 8</t>
  </si>
  <si>
    <t>founder_8_relevant_industry_experience</t>
  </si>
  <si>
    <t>founder_8_exits</t>
  </si>
  <si>
    <t>founder_8_age</t>
  </si>
  <si>
    <t>founder_8_graduated_from_top_100</t>
  </si>
  <si>
    <t>spacer founder 9</t>
  </si>
  <si>
    <t>founder_9_relevant_industry_experience</t>
  </si>
  <si>
    <t>founder_9_exits</t>
  </si>
  <si>
    <t>founder_9_age</t>
  </si>
  <si>
    <t>founder_9_graduated_from_top_100</t>
  </si>
  <si>
    <t>Week 18 (4/27 - 5/3)</t>
  </si>
  <si>
    <t xml:space="preserve">Olivia </t>
  </si>
  <si>
    <t>&lt; $1M</t>
  </si>
  <si>
    <t>Sol Cinema Cafe</t>
  </si>
  <si>
    <t>MainVest</t>
  </si>
  <si>
    <t>https://mainvest.com/b/sol-cinema-cafe-new-york</t>
  </si>
  <si>
    <t>&lt; $10K</t>
  </si>
  <si>
    <t>&lt; 10%</t>
  </si>
  <si>
    <t>https://disclosurequest.com/form/sol-cinema-cafe-inc./0001746059-20-000117/?returnURL=</t>
  </si>
  <si>
    <t>Sol Cinema Cafe, Inc.</t>
  </si>
  <si>
    <t>New York, NY</t>
  </si>
  <si>
    <t>Food &amp; Beverages</t>
  </si>
  <si>
    <t>Non-Tech</t>
  </si>
  <si>
    <t>&lt; 5</t>
  </si>
  <si>
    <t>Debt</t>
  </si>
  <si>
    <t>Apparel &amp; Fashion</t>
  </si>
  <si>
    <t>AgriTech</t>
  </si>
  <si>
    <t>Growth</t>
  </si>
  <si>
    <t>Seed</t>
  </si>
  <si>
    <t>Closed</t>
  </si>
  <si>
    <t>Convertible Note</t>
  </si>
  <si>
    <t>RegA+</t>
  </si>
  <si>
    <t>Recurring</t>
  </si>
  <si>
    <t>B2C</t>
  </si>
  <si>
    <t>High Growth</t>
  </si>
  <si>
    <t>Low</t>
  </si>
  <si>
    <t>Obviously better than others</t>
  </si>
  <si>
    <t>Pre-Revenue</t>
  </si>
  <si>
    <t>Phase 0</t>
  </si>
  <si>
    <t>Buy The Block</t>
  </si>
  <si>
    <t>$500B-$1T</t>
  </si>
  <si>
    <t>0%-10%</t>
  </si>
  <si>
    <t>$1M - $2M</t>
  </si>
  <si>
    <t>$10K - $50K</t>
  </si>
  <si>
    <t>No</t>
  </si>
  <si>
    <t>10% - 20%</t>
  </si>
  <si>
    <t>5-10</t>
  </si>
  <si>
    <t>Arts &amp; Crafts</t>
  </si>
  <si>
    <t>BioTech</t>
  </si>
  <si>
    <t>$25B-$50B</t>
  </si>
  <si>
    <t>Pre-IPO</t>
  </si>
  <si>
    <t>Series A</t>
  </si>
  <si>
    <t>Disappreared</t>
  </si>
  <si>
    <t>RegD 506(C)</t>
  </si>
  <si>
    <t>B2B2C</t>
  </si>
  <si>
    <t>Obviously worse than others</t>
  </si>
  <si>
    <t>Pre-Profit</t>
  </si>
  <si>
    <t>Phase I</t>
  </si>
  <si>
    <t>CrowdSource Funded</t>
  </si>
  <si>
    <t>$250B-$500B</t>
  </si>
  <si>
    <t>10%-20%</t>
  </si>
  <si>
    <t>$25M-$50M</t>
  </si>
  <si>
    <t>$2M - $4M</t>
  </si>
  <si>
    <t>$50K - $100K</t>
  </si>
  <si>
    <t>20% - 30%</t>
  </si>
  <si>
    <t>10-20</t>
  </si>
  <si>
    <t>Beauty &amp; Personal Care</t>
  </si>
  <si>
    <t>CleanTech</t>
  </si>
  <si>
    <t>Series B</t>
  </si>
  <si>
    <t>Not Funded</t>
  </si>
  <si>
    <t>Equity - Common</t>
  </si>
  <si>
    <t>RegD 506(B)</t>
  </si>
  <si>
    <t>B2B/B2C</t>
  </si>
  <si>
    <t>Profitable</t>
  </si>
  <si>
    <t>Phase II</t>
  </si>
  <si>
    <t>Equifund CFP</t>
  </si>
  <si>
    <t>$100B-$250B</t>
  </si>
  <si>
    <t>20%-30%</t>
  </si>
  <si>
    <t>$4M - $6M</t>
  </si>
  <si>
    <t>$100K - $500K</t>
  </si>
  <si>
    <t>30% - 40%</t>
  </si>
  <si>
    <t>Yes</t>
  </si>
  <si>
    <t>20-30</t>
  </si>
  <si>
    <t>Business Services, Software, &amp; Applications</t>
  </si>
  <si>
    <t>CommerceTech</t>
  </si>
  <si>
    <t>Series C</t>
  </si>
  <si>
    <t>Equity - Preferred</t>
  </si>
  <si>
    <t>C2C</t>
  </si>
  <si>
    <t>Phase III</t>
  </si>
  <si>
    <t>EquityBee</t>
  </si>
  <si>
    <t>$50B-$100B</t>
  </si>
  <si>
    <t>30%-40%</t>
  </si>
  <si>
    <t>$6M - $8M</t>
  </si>
  <si>
    <t>$500K - $1M</t>
  </si>
  <si>
    <t>90% - 100%</t>
  </si>
  <si>
    <t>40% - 50%</t>
  </si>
  <si>
    <t>30-40</t>
  </si>
  <si>
    <t>Consumer Goods &amp; Services</t>
  </si>
  <si>
    <t>EdTech</t>
  </si>
  <si>
    <t>Series D</t>
  </si>
  <si>
    <t>Profit Share</t>
  </si>
  <si>
    <t>Phase IV</t>
  </si>
  <si>
    <t>EquityZen</t>
  </si>
  <si>
    <t>&gt; 40%</t>
  </si>
  <si>
    <t>$8M - $10M</t>
  </si>
  <si>
    <t>50% - 60%</t>
  </si>
  <si>
    <t>40-50</t>
  </si>
  <si>
    <t>Education, Training, &amp; Coaching</t>
  </si>
  <si>
    <t>EnterpriseTech</t>
  </si>
  <si>
    <t>The Boogie Down Grind</t>
  </si>
  <si>
    <t>Series E</t>
  </si>
  <si>
    <t>Revenue Share</t>
  </si>
  <si>
    <t>Forge</t>
  </si>
  <si>
    <t>$10B-$25B</t>
  </si>
  <si>
    <t>https://mainvest.com/b/the-boogie-down-grind-the-bronx</t>
  </si>
  <si>
    <t>$10M - $12M</t>
  </si>
  <si>
    <t>$2M - $3M</t>
  </si>
  <si>
    <t>60% - 70%</t>
  </si>
  <si>
    <t>&gt; 50</t>
  </si>
  <si>
    <t>https://www.sec.gov/Archives/edgar/data/1809409/000174605920000118/xslC_X01/primary_doc.xml</t>
  </si>
  <si>
    <t>Energy, Power, &amp; Natural Resources</t>
  </si>
  <si>
    <t>FashionTech</t>
  </si>
  <si>
    <t>Series F</t>
  </si>
  <si>
    <t>SAFE</t>
  </si>
  <si>
    <t>Fundanna</t>
  </si>
  <si>
    <t>$5B-$10B</t>
  </si>
  <si>
    <t>$12M - $14M</t>
  </si>
  <si>
    <t>$3M - $4M</t>
  </si>
  <si>
    <t>Bx Invest LLC</t>
  </si>
  <si>
    <t>70% - 80%</t>
  </si>
  <si>
    <t>South Bronx, NY</t>
  </si>
  <si>
    <t>Farming &amp; Agriculture</t>
  </si>
  <si>
    <t>FinTech</t>
  </si>
  <si>
    <t>Series G</t>
  </si>
  <si>
    <t>Equity - Tokens</t>
  </si>
  <si>
    <t>Fundopolis</t>
  </si>
  <si>
    <t>$1B-$5B</t>
  </si>
  <si>
    <t>$14M - $16M</t>
  </si>
  <si>
    <t>$4M - $5M</t>
  </si>
  <si>
    <t>80% - 90%</t>
  </si>
  <si>
    <t>Financial &amp; Insurance Products &amp; Services</t>
  </si>
  <si>
    <t>FoodTech</t>
  </si>
  <si>
    <t>Series H</t>
  </si>
  <si>
    <t>Honeycomb</t>
  </si>
  <si>
    <t>$500M-$1B</t>
  </si>
  <si>
    <t>$16M - $18M</t>
  </si>
  <si>
    <t>&gt; $5M</t>
  </si>
  <si>
    <t>Food, Beverage, &amp; Restaurants</t>
  </si>
  <si>
    <t>HardwareTech</t>
  </si>
  <si>
    <t xml:space="preserve">Series I </t>
  </si>
  <si>
    <t>LocalStake</t>
  </si>
  <si>
    <t>$250M-$500M</t>
  </si>
  <si>
    <t>$18M - $20M</t>
  </si>
  <si>
    <t>Government Services</t>
  </si>
  <si>
    <t>HealthTech</t>
  </si>
  <si>
    <t>Series J</t>
  </si>
  <si>
    <t>$100M-$250M</t>
  </si>
  <si>
    <t>$20M - $22M</t>
  </si>
  <si>
    <t>Healthcare &amp; Pharmaceuticals</t>
  </si>
  <si>
    <t>InsurTech</t>
  </si>
  <si>
    <t>Series K</t>
  </si>
  <si>
    <t>MicroVentures</t>
  </si>
  <si>
    <t>$50M-$100M</t>
  </si>
  <si>
    <t>$22M - $24M</t>
  </si>
  <si>
    <t>Industrial Services</t>
  </si>
  <si>
    <t>LegalTech</t>
  </si>
  <si>
    <t>Mr. Crowd</t>
  </si>
  <si>
    <t>$24M - $26M</t>
  </si>
  <si>
    <t>Logistics, Delivery, &amp; Supply Chain</t>
  </si>
  <si>
    <t>MarketplaceTech</t>
  </si>
  <si>
    <t>NetCapital</t>
  </si>
  <si>
    <t>&lt; $25M</t>
  </si>
  <si>
    <t>$26M - $28M</t>
  </si>
  <si>
    <t>Marketing &amp; Advertising</t>
  </si>
  <si>
    <t>MediaTech</t>
  </si>
  <si>
    <t>NextSeed</t>
  </si>
  <si>
    <t>$28M - $30M</t>
  </si>
  <si>
    <t>Media, Entertainment, Sports, &amp; Publishing</t>
  </si>
  <si>
    <t>MedTech</t>
  </si>
  <si>
    <t>Razitall</t>
  </si>
  <si>
    <t>$30M - $32M</t>
  </si>
  <si>
    <t>Pet Food and Services</t>
  </si>
  <si>
    <t>PropTech</t>
  </si>
  <si>
    <t>Republic</t>
  </si>
  <si>
    <t>$32M - $34M</t>
  </si>
  <si>
    <t>Real Estate &amp; Construction</t>
  </si>
  <si>
    <t>RegTech</t>
  </si>
  <si>
    <t>SeedInvest</t>
  </si>
  <si>
    <t>$34M - $36M</t>
  </si>
  <si>
    <t>Retail Shops &amp; Department Stores</t>
  </si>
  <si>
    <t>RetailTech</t>
  </si>
  <si>
    <t>StartEngine</t>
  </si>
  <si>
    <t>$36M - $38M</t>
  </si>
  <si>
    <t>Security, Cybersecurity, &amp; Defense</t>
  </si>
  <si>
    <t>WealthTech</t>
  </si>
  <si>
    <t>TruCrowd</t>
  </si>
  <si>
    <t>$38M - $40M</t>
  </si>
  <si>
    <t>Transportation, Automotive, Aviation, &amp; Aerospace</t>
  </si>
  <si>
    <t>WeFunder</t>
  </si>
  <si>
    <t>&lt; $40M</t>
  </si>
  <si>
    <t>Travel and Hospitality</t>
  </si>
  <si>
    <t>AutomationTech</t>
  </si>
  <si>
    <t>WunderFund</t>
  </si>
  <si>
    <t>Fitness &amp; Wellness</t>
  </si>
  <si>
    <t>GamingTech</t>
  </si>
  <si>
    <t>Crazy Good Kitchen</t>
  </si>
  <si>
    <t>https://mainvest.com/b/crazy-good-kitchen</t>
  </si>
  <si>
    <t>https://www.sec.gov/Archives/edgar/data/1808331/000174605920000116/xslC_X01/primary_doc.xml</t>
  </si>
  <si>
    <t xml:space="preserve">CGK ON NEWBURY LLC </t>
  </si>
  <si>
    <t>Francis</t>
  </si>
  <si>
    <t>Liliahna</t>
  </si>
  <si>
    <t>https://app.honeycombcredit.com/en/projects/11413-Liliahna-LLC</t>
  </si>
  <si>
    <t>https://www.sec.gov/Archives/edgar/data/1809729/000180972920000003/xslC_X01/primary_doc.xml</t>
  </si>
  <si>
    <t>Liliahna LLC</t>
  </si>
  <si>
    <t>Hunt Valley, MD</t>
  </si>
  <si>
    <t>Data Imputation</t>
  </si>
  <si>
    <t>Foundrer 1 Age</t>
  </si>
  <si>
    <t xml:space="preserve">Substitute with the median age of all other founder 1s or avg. of the founders in the same company </t>
  </si>
  <si>
    <t>Valuation Cap of CAFES</t>
  </si>
  <si>
    <t xml:space="preserve">Substitute with median Valuation Cap of all other companies. </t>
  </si>
  <si>
    <t>Valuation Cap of Convertible Notes</t>
  </si>
  <si>
    <t xml:space="preserve">If Tech_sector = Non-Tech, substitute with median Valuation Cap of all other Non-Tech companies. If Tech_sector =! Non-Tech, substitute with Agv. valuation cap of all other tech companies. </t>
  </si>
  <si>
    <t>Valuation Cap of SAFES</t>
  </si>
  <si>
    <t xml:space="preserve">Discount Rate </t>
  </si>
  <si>
    <t>Substitute with 0%</t>
  </si>
  <si>
    <t>Capital Effeciency</t>
  </si>
  <si>
    <t>Substitute with 100%</t>
  </si>
  <si>
    <t xml:space="preserve">Should be Capital Utilization </t>
  </si>
  <si>
    <t>Capital Effeciency (New)</t>
  </si>
  <si>
    <t xml:space="preserve">Should be Rev/Capital </t>
  </si>
  <si>
    <t>AY3</t>
  </si>
  <si>
    <t>&lt;</t>
  </si>
  <si>
    <t>= "</t>
  </si>
  <si>
    <t>, "</t>
  </si>
  <si>
    <t>",</t>
  </si>
  <si>
    <t>,</t>
  </si>
  <si>
    <t>&lt;=</t>
  </si>
  <si>
    <t>Square Cafe</t>
  </si>
  <si>
    <t>https://app.honeycombcredit.com/en/projects/11394-Square-Cafe</t>
  </si>
  <si>
    <t>https://www.sec.gov/Archives/edgar/data/1809918/000180991820000001/xslC_X01/primary_doc.xml</t>
  </si>
  <si>
    <t>&gt;</t>
  </si>
  <si>
    <t>SC&amp;C Inc.</t>
  </si>
  <si>
    <t>Pittsburgh, PA</t>
  </si>
  <si>
    <t>Botanical Vegan Cafe &amp; Market</t>
  </si>
  <si>
    <t>https://app.honeycombcredit.com/en/projects/11415-Stroll-LLC</t>
  </si>
  <si>
    <t>https://www.sec.gov/Archives/edgar/data/1810132/000181013220000002/xslC_X01/primary_doc.xml</t>
  </si>
  <si>
    <t>Stroll LLC</t>
  </si>
  <si>
    <t>Puttburgh, PA</t>
  </si>
  <si>
    <t>Week 17 (4/20 - 4/26)</t>
  </si>
  <si>
    <t>Exotic Parrots</t>
  </si>
  <si>
    <t>https://mainvest.com/b/exotic-parrots-llc-mcallen</t>
  </si>
  <si>
    <t>https://www.sec.gov/Archives/edgar/data/1809680/000174605920000109/xslC_X01/primary_doc.xml</t>
  </si>
  <si>
    <t>Exotic Parrots LLC</t>
  </si>
  <si>
    <t>Fishery</t>
  </si>
  <si>
    <t>Discount affecting the valuation ratings</t>
  </si>
  <si>
    <t xml:space="preserve">Valuation Scaling vs. Avg based comparison (STD) </t>
  </si>
  <si>
    <t>Overall rating: Avg. vs. Sum-&gt;Scaling</t>
  </si>
  <si>
    <t xml:space="preserve">Market rating: Agv. vs. Sum-&gt;Scaling </t>
  </si>
  <si>
    <t>Market Scaling vs. Avg based comparison (STD)</t>
  </si>
  <si>
    <t xml:space="preserve">Movies: Consider removing them b/c they ar not companies </t>
  </si>
  <si>
    <t xml:space="preserve">Real Estate One off projects: Cosider removing them </t>
  </si>
  <si>
    <t xml:space="preserve">Lifestyle vs. High Growth: Two different group </t>
  </si>
  <si>
    <t xml:space="preserve">- Apply the discount </t>
  </si>
  <si>
    <t>Olivia</t>
  </si>
  <si>
    <t>Brambler Boutique</t>
  </si>
  <si>
    <t>https://app.honeycombcredit.com/en/projects/11357-Brambler-Boutique</t>
  </si>
  <si>
    <t>https://www.sec.gov/Archives/edgar/data/1806194/000180619420000001/xslC_X01/primary_doc.xml</t>
  </si>
  <si>
    <t>Poppet LLC</t>
  </si>
  <si>
    <t>Consumer Goods</t>
  </si>
  <si>
    <t>Xin Chao</t>
  </si>
  <si>
    <t>https://www.nextseed.com/offerings/xin-chao</t>
  </si>
  <si>
    <t>https://www.sec.gov/Archives/edgar/data/1802569/000180256920000001/xslC_X01/primary_doc.xml</t>
  </si>
  <si>
    <t>Xin Chao LLC</t>
  </si>
  <si>
    <t>Hot Oven Cookies</t>
  </si>
  <si>
    <t>https://mainvest.com/businesses/hot-oven-cookies/overview</t>
  </si>
  <si>
    <t>https://www.sec.gov/Archives/edgar/data/1798432/000174605920000092/xslC_X01/primary_doc.xml</t>
  </si>
  <si>
    <t>HOT OVEN COOKIES, LLC</t>
  </si>
  <si>
    <t>Aloha Tropical Bowls</t>
  </si>
  <si>
    <t>https://mainvest.com/businesses/aloha-tropical-bowls/overview</t>
  </si>
  <si>
    <t>https://www.sec.gov/Archives/edgar/data/1807625/000174605920000090/xslC_X01/primary_doc.xml</t>
  </si>
  <si>
    <t>Overall Ratings</t>
  </si>
  <si>
    <t>ALOHA TROPICAL BOWLS, LLC</t>
  </si>
  <si>
    <t>Smokey Vale</t>
  </si>
  <si>
    <t>https://mainvest.com/businesses/smokey-vale/overview</t>
  </si>
  <si>
    <t>https://www.sec.gov/Archives/edgar/data/1807638/000174605920000093/xslC_X01/primary_doc.xml</t>
  </si>
  <si>
    <t>Smokey Vale LLC</t>
  </si>
  <si>
    <t>Consumer Services</t>
  </si>
  <si>
    <t>Iliass</t>
  </si>
  <si>
    <t>Celebrate with Sarah Hospitality</t>
  </si>
  <si>
    <t>https://wefunder.com/celebratewithsarah</t>
  </si>
  <si>
    <t>https://www.sec.gov/Archives/edgar/data/1787344/000167025419000501/xslC_X01/primary_doc.xml</t>
  </si>
  <si>
    <t>CWS Hospitality LLC</t>
  </si>
  <si>
    <t>Celebrate with Sarah</t>
  </si>
  <si>
    <t>Hospitality</t>
  </si>
  <si>
    <t>True Wines</t>
  </si>
  <si>
    <t>https://mainvest.com/businesses/true-wines</t>
  </si>
  <si>
    <t>https://www.sec.gov/Archives/edgar/data/1796230/000174605919000091/xslC_X01/primary_doc.xml</t>
  </si>
  <si>
    <t>True Wines LLC</t>
  </si>
  <si>
    <t>The Upperow</t>
  </si>
  <si>
    <t>https://app.honeycombcredit.com/en/projects/11325-The-Upper-Row</t>
  </si>
  <si>
    <t>https://www.sec.gov/Archives/edgar/data/1802485/000180248520000001/xslC_X01/primary_doc.xml</t>
  </si>
  <si>
    <t>Upper Row LLC</t>
  </si>
  <si>
    <t>The Upper Row</t>
  </si>
  <si>
    <t>Sail to Trail WineWorks</t>
  </si>
  <si>
    <t>https://mainvest.com/businesses/sail-to-trail-wineworks</t>
  </si>
  <si>
    <t>https://www.sec.gov/Archives/edgar/data/1804109/000174605920000054/xslC_X01/primary_doc.xml</t>
  </si>
  <si>
    <t>SAIL TO TRAIL LLC</t>
  </si>
  <si>
    <t>Sail To Trail WineWorks</t>
  </si>
  <si>
    <t>Wine &amp; Spirits</t>
  </si>
  <si>
    <t>Ronin Harrisburg</t>
  </si>
  <si>
    <t>https://www.nextseed.com/offerings/ronin-harrisburg</t>
  </si>
  <si>
    <t>https://www.sec.gov/Archives/edgar/data/1795322/000179532220000001/xslC_X01/primary_doc.xml</t>
  </si>
  <si>
    <t>Ronin Harrisburg, LLC</t>
  </si>
  <si>
    <t>Events Services</t>
  </si>
  <si>
    <t>Little Radish Provisions</t>
  </si>
  <si>
    <t>https://mainvest.com/businesses/little-radish</t>
  </si>
  <si>
    <t>https://www.sec.gov/Archives/edgar/data/1804411/000174605920000056/xslC_X01/primary_doc.xml</t>
  </si>
  <si>
    <t>Little Radish Provisions LLC</t>
  </si>
  <si>
    <t>Salem Gnu Kitchen</t>
  </si>
  <si>
    <t>https://mainvest.com/b/salem-gnu-kitchen-salem</t>
  </si>
  <si>
    <t>https://www.sec.gov/Archives/edgar/data/1804466/000174605920000063/xslC_X01/primary_doc.xml</t>
  </si>
  <si>
    <t>Salem Gnu Kitchen Inc.</t>
  </si>
  <si>
    <t>Room and Boards Cafe</t>
  </si>
  <si>
    <t>https://mainvest.com/b/room-and-boards-cafe-boise</t>
  </si>
  <si>
    <t>https://www.sec.gov/Archives/edgar/data/1804876/000174605920000058/xslC_X01/primary_doc.xml</t>
  </si>
  <si>
    <t>Room &amp; Boards LLC</t>
  </si>
  <si>
    <t>Room &amp; Boards Cafe</t>
  </si>
  <si>
    <t>Restaurants</t>
  </si>
  <si>
    <t>Monkey Wrench Brewing</t>
  </si>
  <si>
    <t>https://mainvest.com/b/monkey-wrench-brewing-company-suwanee</t>
  </si>
  <si>
    <t>https://www.sec.gov/Archives/edgar/data/1804624/000174605920000061/xslC_X01/primary_doc.xml</t>
  </si>
  <si>
    <t>Monkey Wrench Brewing Company, LLC</t>
  </si>
  <si>
    <t>Monkey Wrench Brewing Company</t>
  </si>
  <si>
    <t>Bible Smugglers</t>
  </si>
  <si>
    <t>https://wefunder.com/biblesmugglersmovie</t>
  </si>
  <si>
    <t>https://www.sec.gov/Archives/edgar/data/1796091/000167025419000715/xslC_X01/primary_doc.xml</t>
  </si>
  <si>
    <t>Bible Smugglers Movie Production LLC</t>
  </si>
  <si>
    <t>Motion Pictures &amp; Film</t>
  </si>
  <si>
    <t>Queen's Gambit</t>
  </si>
  <si>
    <t>https://mainvest.com/businesses/queens-gambit</t>
  </si>
  <si>
    <t>https://www.sec.gov/Archives/edgar/data/1803385/000174605920000064/xslC_X01/primary_doc.xml</t>
  </si>
  <si>
    <t>TRISKELE VENTURES INC.</t>
  </si>
  <si>
    <t>Bullfinch Brewpub</t>
  </si>
  <si>
    <t>https://mainvest.com/businesses/bullfinch-brewpub</t>
  </si>
  <si>
    <t>https://www.sec.gov/Archives/edgar/data/1803205/000174605920000041/xslC_X01/primary_doc.xml</t>
  </si>
  <si>
    <t>Bullfinch Brewub LLC</t>
  </si>
  <si>
    <t>Greenzone Pharms</t>
  </si>
  <si>
    <t>https://fundanna.com/equity/offer-summary/GreenzonePharms</t>
  </si>
  <si>
    <t>https://www.sec.gov/Archives/edgar/data/1790424/000179042420000003/xslC_X01/primary_doc.xml</t>
  </si>
  <si>
    <t>GreenZone Pharms</t>
  </si>
  <si>
    <t>Cannabis and CBD</t>
  </si>
  <si>
    <t>Avalon Lounge and Game Cafe</t>
  </si>
  <si>
    <t>https://mainvest.com/businesses/avalon-lounge-and-game-cafe</t>
  </si>
  <si>
    <t>https://www.sec.gov/Archives/edgar/data/1802932/000174605920000034/xslC_X01/primary_doc.xml</t>
  </si>
  <si>
    <t>Avalon Lounge &amp; Game Cafe, Inc.</t>
  </si>
  <si>
    <t>Dan</t>
  </si>
  <si>
    <t>Skeptic Distillery Co.</t>
  </si>
  <si>
    <t>https://wefunder.com/skeptic.distillery</t>
  </si>
  <si>
    <t>https://www.sec.gov/Archives/edgar/data/1788674/000167025420000069/xslC_X01/primary_doc.xml</t>
  </si>
  <si>
    <t>Skeptic Distillery</t>
  </si>
  <si>
    <t>TNHC</t>
  </si>
  <si>
    <t>https://fundopolis.com/raisedetails?id=bacaeab7-f47b-473b-82fb-f6dfc908b44c</t>
  </si>
  <si>
    <t>https://www.sec.gov/Archives/edgar/data/1794037/000178043919000009/xslC_X01/primary_doc.xml</t>
  </si>
  <si>
    <t>TNHC LLC</t>
  </si>
  <si>
    <t>Tennessee Hemp</t>
  </si>
  <si>
    <t>Mizen Funeral Home</t>
  </si>
  <si>
    <t>https://mainvest.com/businesses/mizen-funeral-home</t>
  </si>
  <si>
    <t>https://www.sec.gov/Archives/edgar/data/1794407/000174605920000066/xslC_X01/primary_doc.xml</t>
  </si>
  <si>
    <t>Mizen Funeral Home &amp; Cremation Services LLC</t>
  </si>
  <si>
    <t>I am Like You Film</t>
  </si>
  <si>
    <t>https://wefunder.com/i.am.like.you.film.llc</t>
  </si>
  <si>
    <t>https://www.sec.gov/Archives/edgar/data/1788198/000167025419000612/xslC_X01/primary_doc.xml</t>
  </si>
  <si>
    <t>I AM LIKE YOU FILM, LLC</t>
  </si>
  <si>
    <t>I Am Like You</t>
  </si>
  <si>
    <t>Kin Tap and Rec Room</t>
  </si>
  <si>
    <t>https://mainvest.com/businesses/kintaproom</t>
  </si>
  <si>
    <t>https://www.sec.gov/Archives/edgar/data/1783625/000174605920000033/xslC_X01/primary_doc.xml</t>
  </si>
  <si>
    <t>Kin Tap &amp; Rec Room, LLC</t>
  </si>
  <si>
    <t>Entertainment</t>
  </si>
  <si>
    <t>addressable_market</t>
  </si>
  <si>
    <t>market_size_obtainable</t>
  </si>
  <si>
    <t>market_size_obtainable_buckets</t>
  </si>
  <si>
    <t>Porky's Bar &amp; Grill</t>
  </si>
  <si>
    <t>https://app.honeycombcredit.com/en/projects/11145-Porky-s-Bar--amp--Grill</t>
  </si>
  <si>
    <t>https://www.sec.gov/Archives/edgar/data/1793868/000179386820000002/xslC_X01/primary_doc.xml</t>
  </si>
  <si>
    <t>avg_relevant_industry_experience</t>
  </si>
  <si>
    <t>Porky's LLC</t>
  </si>
  <si>
    <t>Porky's Bar and Grill</t>
  </si>
  <si>
    <t>avg_relevant_industry_experience_brackets</t>
  </si>
  <si>
    <t>sum_exits</t>
  </si>
  <si>
    <t>sum_exits_brackets</t>
  </si>
  <si>
    <t>avg_age</t>
  </si>
  <si>
    <t>age_buckets</t>
  </si>
  <si>
    <t>Valuation/Cap</t>
  </si>
  <si>
    <t>Discount Rate</t>
  </si>
  <si>
    <t>Interest Rate</t>
  </si>
  <si>
    <t>Return Multiple</t>
  </si>
  <si>
    <t>Price Rating</t>
  </si>
  <si>
    <t>Attributes - Security Type</t>
  </si>
  <si>
    <t>%</t>
  </si>
  <si>
    <t>Tags - Stage</t>
  </si>
  <si>
    <t>Addressable Market Size</t>
  </si>
  <si>
    <t>Sits n Wiggles Pet Care n Training</t>
  </si>
  <si>
    <t>Market Growth</t>
  </si>
  <si>
    <t>Sum</t>
  </si>
  <si>
    <t>https://app.honeycombcredit.com/en/projects/11226-Sits-N-Wiggles-Dog-Daycare-N-Training--LLC</t>
  </si>
  <si>
    <t>Market Rating</t>
  </si>
  <si>
    <t>Tags - Social Impact</t>
  </si>
  <si>
    <t>Relevant Industry Experience</t>
  </si>
  <si>
    <t>https://www.sec.gov/Archives/edgar/data/1800155/000180015520000001/xslC_X01/primary_doc.xml</t>
  </si>
  <si>
    <t>Exits</t>
  </si>
  <si>
    <t>Sits N Wiggles Dog Daycare N Training, LLC</t>
  </si>
  <si>
    <t>Sits 'n Wiggles Pet Care &amp; Training</t>
  </si>
  <si>
    <t>Team Rating</t>
  </si>
  <si>
    <t>Attributes - Founders Age</t>
  </si>
  <si>
    <t>Attributes - # of Founders</t>
  </si>
  <si>
    <t>Attributes - Employees</t>
  </si>
  <si>
    <t>Attributes - Founders Worked Together</t>
  </si>
  <si>
    <t>Tags - Female Founder</t>
  </si>
  <si>
    <t>Tags - Minority Founder</t>
  </si>
  <si>
    <t>Tags - Famous Founder</t>
  </si>
  <si>
    <t>Attributes - Revenue Model</t>
  </si>
  <si>
    <t>Attributes - Distribution Model</t>
  </si>
  <si>
    <t>Attributes - Margin</t>
  </si>
  <si>
    <t>Attributes - Capital Intensity</t>
  </si>
  <si>
    <t>Has Paying Customers</t>
  </si>
  <si>
    <t>Revenue</t>
  </si>
  <si>
    <t>Capital Utilization</t>
  </si>
  <si>
    <t>Capital Raised</t>
  </si>
  <si>
    <t>Performance Rating</t>
  </si>
  <si>
    <t>Attribute - Development Phase</t>
  </si>
  <si>
    <t>Diffrentiation Level Rating</t>
  </si>
  <si>
    <t>Direct Competitors</t>
  </si>
  <si>
    <t>An Angry Boy</t>
  </si>
  <si>
    <t>https://www.startengine.com/an-angry-boy</t>
  </si>
  <si>
    <t>Diffrentiation Rating</t>
  </si>
  <si>
    <t>Attribute - has_patents</t>
  </si>
  <si>
    <t>https://www.sec.gov/Archives/edgar/data/1801405/000166516020000061/xslC_X01/primary_doc.xml</t>
  </si>
  <si>
    <t>Attribute - barriers_to_entry</t>
  </si>
  <si>
    <t>An Angry Boy Inc.</t>
  </si>
  <si>
    <t>Attribute - threat_of_substitute_products</t>
  </si>
  <si>
    <t>Overall Ratings (Scaled Sum)</t>
  </si>
  <si>
    <t>KingsCrowd</t>
  </si>
  <si>
    <t>https://netcapital.com/companies/kingscrowd</t>
  </si>
  <si>
    <t>https://www.sec.gov/Archives/edgar/data/1744757/000166919120000096/xslC_X01/primary_doc.xml</t>
  </si>
  <si>
    <t>Stoneman Brewery</t>
  </si>
  <si>
    <t>Kings Crowd LLC</t>
  </si>
  <si>
    <t>https://mainvest.com/businesses/stoneman-brewery</t>
  </si>
  <si>
    <t>https://www.sec.gov/Archives/edgar/data/1801534/000174605920000029/xslC_X01/primary_doc.xml</t>
  </si>
  <si>
    <t>Stoneman Brewery LLC</t>
  </si>
  <si>
    <t>Plum Island Grill</t>
  </si>
  <si>
    <t>https://mainvest.com/businesses/plum-island-grille</t>
  </si>
  <si>
    <t>https://www.sec.gov/Archives/edgar/data/1799484/000174605920000037/xslC_X01/primary_doc.xml</t>
  </si>
  <si>
    <t>Plum Island Grille, Inc.</t>
  </si>
  <si>
    <t>Plum Island Grille</t>
  </si>
  <si>
    <t>Snake Oil Song</t>
  </si>
  <si>
    <t>https://wefunder.com/snake.oil.song</t>
  </si>
  <si>
    <t>The online private market</t>
  </si>
  <si>
    <t>https://www.sec.gov/Archives/edgar/data/1800828/000167025420000094/xslC_X01/primary_doc.xml</t>
  </si>
  <si>
    <t>Snake Oil Song, LLC</t>
  </si>
  <si>
    <t>PointBreezeway</t>
  </si>
  <si>
    <t>https://app.honeycombcredit.com/en/projects/11334-PointBreezeway-LLC</t>
  </si>
  <si>
    <t>https://www.sec.gov/Archives/edgar/data/1803497/000180349720000001/xslC_X01/primary_doc.xml</t>
  </si>
  <si>
    <t>PointBreezeway LLC</t>
  </si>
  <si>
    <t>Delmont Mama P's Pizza Subs &amp; More</t>
  </si>
  <si>
    <t>https://app.honeycombcredit.com/en/projects/11333-ScHE-Corp</t>
  </si>
  <si>
    <t>https://www.sec.gov/Archives/edgar/data/1805075/000180507520000002/xslC_X01/primary_doc.xml</t>
  </si>
  <si>
    <t>ScHE Corp.</t>
  </si>
  <si>
    <t>The Wine Collective</t>
  </si>
  <si>
    <t>https://app.honeycombcredit.com/en/projects/11227-The-Wine-Collective</t>
  </si>
  <si>
    <t>https://www.sec.gov/Archives/edgar/data/1798823/000179882320000002/xslC_X01/primary_doc.xml</t>
  </si>
  <si>
    <t>Wine Collective, LLC</t>
  </si>
  <si>
    <t>AV Seals Labor Group</t>
  </si>
  <si>
    <t>https://mainvest.com/b/av-seals-labor-group-llc</t>
  </si>
  <si>
    <t>https://www.sec.gov/Archives/edgar/data/1807302/000174605920000099/xslC_X01/primary_doc.xml</t>
  </si>
  <si>
    <t>AV Seals Labor Group, LLC</t>
  </si>
  <si>
    <t>Contempo Aesthetics</t>
  </si>
  <si>
    <t>https://mainvest.com/b/contempo-aesthetics</t>
  </si>
  <si>
    <t>https://www.sec.gov/Archives/edgar/data/1807964/000174605920000100/xslC_X01/primary_doc.xml</t>
  </si>
  <si>
    <t>Rachel Reyes-Bergano, D.O. Inc.</t>
  </si>
  <si>
    <t>Health, Welness &amp; Fitness</t>
  </si>
  <si>
    <t>Antonio's Cupcake Factory</t>
  </si>
  <si>
    <t>https://mainvest.com/b/antonioscupcakes</t>
  </si>
  <si>
    <t>https://www.sec.gov/Archives/edgar/data/1808346/000174605920000102/xslC_X01/primary_doc.xml</t>
  </si>
  <si>
    <t>Antonios Cupcake Factory Inc</t>
  </si>
  <si>
    <t>Twisted Escape Room</t>
  </si>
  <si>
    <t>https://mainvest.com/b/twisted-escape-room-salem</t>
  </si>
  <si>
    <t>https://www.sec.gov/Archives/edgar/data/1765325/000174605920000104/xslC_X01/primary_doc.xml</t>
  </si>
  <si>
    <t>Twisted Escape Room LLC</t>
  </si>
  <si>
    <t>Stone's Throw Hash</t>
  </si>
  <si>
    <t>https://app.honeycombcredit.com/en/projects/11395-Stone-s-Throw-Hash</t>
  </si>
  <si>
    <t>https://disclosurequest.com/form/stones-throw-hash,-llc/0001807930-20-000001/?returnURL=</t>
  </si>
  <si>
    <t>Stone's Throw Hash, LLC</t>
  </si>
  <si>
    <t>Big Kahuna Pineapple Drink Company</t>
  </si>
  <si>
    <t>https://app.honeycombcredit.com/en/projects/11383-Big-Kahuna-Pineapple-Drink-Company-LLC</t>
  </si>
  <si>
    <t>https://disclosurequest.com/form/big-kahuna-pineapple-drink-co-llc/0001805122-20-000001/?returnURL=</t>
  </si>
  <si>
    <t>Big Kahuna Pineapple Drink Co LLC</t>
  </si>
  <si>
    <t>Goddard Medical Services</t>
  </si>
  <si>
    <t>https://mainvest.com/businesses/goddard-medical-services/overview</t>
  </si>
  <si>
    <t>https://www.sec.gov/Archives/edgar/data/1807932/000174605920000095/xslC_X01/primary_doc.xml</t>
  </si>
  <si>
    <t>GODDARD MEDICAL SERVICES LLC</t>
  </si>
  <si>
    <t>Medical Practice</t>
  </si>
  <si>
    <t>Global Wordsmiths</t>
  </si>
  <si>
    <t>https://app.honeycombcredit.com/en/projects/11378-Global-Wordsmiths</t>
  </si>
  <si>
    <t>https://www.sec.gov/Archives/edgar/data/1807941/000180794120000001/xslC_X01/primary_doc.xml</t>
  </si>
  <si>
    <t>Global Wordsmiths LLC</t>
  </si>
  <si>
    <t>Translation &amp; Localisation</t>
  </si>
  <si>
    <t>Wanderlinger Brewing Company</t>
  </si>
  <si>
    <t>https://mainvest.com/b/wanderlinger-brewery-chattanooga</t>
  </si>
  <si>
    <t>https://www.sec.gov/Archives/edgar/data/1807927/000174605920000097/xslC_X01/primary_doc.xml</t>
  </si>
  <si>
    <t>WanderLinger Brewing Company, LLC</t>
  </si>
  <si>
    <t>WanderLinger Brewery</t>
  </si>
  <si>
    <t>Fan Owned Club</t>
  </si>
  <si>
    <t>https://wefunder.com/fan.owned.club</t>
  </si>
  <si>
    <t>https://disclosurequest.com/form/fan-owned-club-inc./0001670254-20-000237/?returnURL=</t>
  </si>
  <si>
    <t>Fan Owned Club, Inc.</t>
  </si>
  <si>
    <t>Nashville, TN</t>
  </si>
  <si>
    <t>Fan-Owned European Football Clubs</t>
  </si>
  <si>
    <t>Ryca International</t>
  </si>
  <si>
    <t>https://www.startengine.com/ryca</t>
  </si>
  <si>
    <t>https://www.sec.gov/Archives/edgar/data/1810373/000166516020000394/xslC_X01/primary_doc.xml</t>
  </si>
  <si>
    <t>Ryca International, Inc.</t>
  </si>
  <si>
    <t>Los Angeles, CA</t>
  </si>
  <si>
    <t>Oral Care</t>
  </si>
  <si>
    <t>NanoVMs</t>
  </si>
  <si>
    <t>https://republic.co/nanovms</t>
  </si>
  <si>
    <t>https://www.sec.gov/Archives/edgar/data/1805056/000180505620000001/xslC_X01/primary_doc.xml</t>
  </si>
  <si>
    <t>NanoVMs, Inc.</t>
  </si>
  <si>
    <t>San Fransisco, CA</t>
  </si>
  <si>
    <t>Global Cybersecurity</t>
  </si>
  <si>
    <t>Furry Fortune Movie</t>
  </si>
  <si>
    <t>https://www.startengine.com/furry-fortune-the-movie-llc</t>
  </si>
  <si>
    <t>Scaled Sum</t>
  </si>
  <si>
    <t>Rev</t>
  </si>
  <si>
    <t>burn_date</t>
  </si>
  <si>
    <t>https://www.sec.gov/Archives/edgar/data/1808208/000166516020000371/xslC_X01/primary_doc.xml</t>
  </si>
  <si>
    <t xml:space="preserve">Furry Fortune The Movie, LLC </t>
  </si>
  <si>
    <t>Furry Fortune The Movie</t>
  </si>
  <si>
    <t>Sherman Oaks, CA</t>
  </si>
  <si>
    <t>US Films</t>
  </si>
  <si>
    <t>&lt; $100K</t>
  </si>
  <si>
    <t>Max</t>
  </si>
  <si>
    <t>Min</t>
  </si>
  <si>
    <t>$5M - $6M</t>
  </si>
  <si>
    <t>$6M - $7M</t>
  </si>
  <si>
    <t>Authentically American</t>
  </si>
  <si>
    <t>https://www.nextseed.com/offerings/authentically-american</t>
  </si>
  <si>
    <t>$7M - $8M</t>
  </si>
  <si>
    <t>https://www.sec.gov/Archives/edgar/data/1713938/000171393820000001/xslC_X01/primary_doc.xml</t>
  </si>
  <si>
    <t>$9M - $10M</t>
  </si>
  <si>
    <t>Authentically American, LLC</t>
  </si>
  <si>
    <t>Brentwood, TN</t>
  </si>
  <si>
    <t>&gt; $10M</t>
  </si>
  <si>
    <t>US Ecommerce Apparel</t>
  </si>
  <si>
    <t>ARdVRk Technologies</t>
  </si>
  <si>
    <t>https://www.seedinvest.com/ardvrk.technologies/seed</t>
  </si>
  <si>
    <t>https://www.sec.gov/Archives/edgar/data/1692429/000169242920000004/xslC_X01/primary_doc.xml</t>
  </si>
  <si>
    <t>ARdVRk Technologies, Inc.</t>
  </si>
  <si>
    <t>Princeton, NJ</t>
  </si>
  <si>
    <t>AR &amp; VR Healthcare Platform</t>
  </si>
  <si>
    <t>Buzzn</t>
  </si>
  <si>
    <t>https://republic.co/buzzn</t>
  </si>
  <si>
    <t>https://www.sec.gov/Archives/edgar/data/1799979/000179997920000002/xslC_X01/primary_doc.xml</t>
  </si>
  <si>
    <t>Urban Wag, LLC</t>
  </si>
  <si>
    <t>Brooklyn, New York</t>
  </si>
  <si>
    <t>CBD for Pets and People</t>
  </si>
  <si>
    <t>Pathbooks</t>
  </si>
  <si>
    <t>https://republic.co/pathbooks</t>
  </si>
  <si>
    <t>https://www.sec.gov/Archives/edgar/data/1793813/000179381320000001/xslC_X01/primary_doc.xml</t>
  </si>
  <si>
    <t>Living a Book Inc</t>
  </si>
  <si>
    <t>San Jose, CA</t>
  </si>
  <si>
    <t>valuations</t>
  </si>
  <si>
    <t>Interactive Storytelling Platform for Children</t>
  </si>
  <si>
    <t/>
  </si>
  <si>
    <t>EvolveHer</t>
  </si>
  <si>
    <t>https://www.startengine.com/evolveher</t>
  </si>
  <si>
    <t>https://www.sec.gov/Archives/edgar/data/1808106/000166516020000332/xslC_X01/primary_doc.xml</t>
  </si>
  <si>
    <t>EvolveHer, Inc</t>
  </si>
  <si>
    <t>Chicago, IL</t>
  </si>
  <si>
    <t>Hub &amp; Marketplace for Women</t>
  </si>
  <si>
    <t>BionicLogic</t>
  </si>
  <si>
    <t>https://www.startengine.com/bioniclogic-inc</t>
  </si>
  <si>
    <t>https://www.sec.gov/Archives/edgar/data/1744408/000166516020000328/xslC_X01/primary_doc.xml</t>
  </si>
  <si>
    <t>BIONICLOGIC INC</t>
  </si>
  <si>
    <t>BioniceLogic</t>
  </si>
  <si>
    <t>Santa Monica, CA</t>
  </si>
  <si>
    <t>Online Games Advertising</t>
  </si>
  <si>
    <t>New Green</t>
  </si>
  <si>
    <t>https://fundanna.com/equity/offer-summary/NewGreen</t>
  </si>
  <si>
    <t>https://www.sec.gov/Archives/edgar/data/1804161/000180416120000001/xslC_X01/primary_doc.xml</t>
  </si>
  <si>
    <t>New Green LLC</t>
  </si>
  <si>
    <t>CBD and Hemp-Derived Consumer Goods</t>
  </si>
  <si>
    <t>NYCE Co.</t>
  </si>
  <si>
    <t>https://wefunder.com/nyce</t>
  </si>
  <si>
    <t>https://www.sec.gov/Archives/edgar/data/1807583/000167025420000215/xslC_X01/primary_doc.xml</t>
  </si>
  <si>
    <t>NYCE Companies, Inc.</t>
  </si>
  <si>
    <t>Elemeno Helath</t>
  </si>
  <si>
    <t>https://republic.co/elemeno-health</t>
  </si>
  <si>
    <t>https://www.sec.gov/Archives/edgar/data/1805018/000180501820000007/xslC_X01/primary_doc.xml</t>
  </si>
  <si>
    <t>Elemeno Health, Inc.</t>
  </si>
  <si>
    <t>Elemeno Health</t>
  </si>
  <si>
    <t>Healthcare, Fitness, Wellness, &amp; Pharmaceuticals</t>
  </si>
  <si>
    <t>Medical Technology</t>
  </si>
  <si>
    <t>Hello Baby</t>
  </si>
  <si>
    <t>https://republic.co/hello-baby</t>
  </si>
  <si>
    <t>https://www.sec.gov/Archives/edgar/data/1796790/000179679020000001/xslC_X01/primary_doc.xml</t>
  </si>
  <si>
    <t>HelloBaby, Inc.</t>
  </si>
  <si>
    <t>Parenthood Industry</t>
  </si>
  <si>
    <t>Keyno</t>
  </si>
  <si>
    <t>https://wefunder.com/keyno.inc</t>
  </si>
  <si>
    <t>https://www.sec.gov/Archives/edgar/data/1804789/000167025420000156/xslC_X01/primary_doc.xml</t>
  </si>
  <si>
    <t>Keyno, Inc</t>
  </si>
  <si>
    <t>Security, Cybersecurity, and Defense</t>
  </si>
  <si>
    <t>MagNet Analytics</t>
  </si>
  <si>
    <t>https://wefunder.com/magnet.analytics</t>
  </si>
  <si>
    <t>https://www.sec.gov/Archives/edgar/data/1800203/000167025420000151/xslC_X01/primary_doc.xml</t>
  </si>
  <si>
    <t>MagNet Analytics, Inc.</t>
  </si>
  <si>
    <t>CellarStash</t>
  </si>
  <si>
    <t>https://www.seedinvest.com/cellarstash/series.a/highlights</t>
  </si>
  <si>
    <t>https://www.sec.gov/Archives/edgar/data/1808580/000180858020000001/xslC_X01/primary_doc.xml</t>
  </si>
  <si>
    <t>CellarStash Wine Marketplace, Inc.</t>
  </si>
  <si>
    <t>StorEn Technologies</t>
  </si>
  <si>
    <t>https://www.startengine.com/storen-technologies</t>
  </si>
  <si>
    <t>https://www.sec.gov/Archives/edgar/data/1720258/000166516019000762/xslC_X01/primary_doc.xml</t>
  </si>
  <si>
    <t>Weeds Never Sleep</t>
  </si>
  <si>
    <t>https://us.trucrowd.com/equity/offer-summary/WeedsNeverSleep</t>
  </si>
  <si>
    <t>https://disclosurequest.com/form/weeds-never-sleep-llc/0001778006-19-000001/?returnURL=</t>
  </si>
  <si>
    <t>Weeds Never Sleep LLC</t>
  </si>
  <si>
    <t>Weeds Never Sleep or HotZot</t>
  </si>
  <si>
    <t>Palouse Ag-Drone Services</t>
  </si>
  <si>
    <t>https://www.razitall.com/pitch/the-ag-drone-an-eye-in-the-sky-for-farmers</t>
  </si>
  <si>
    <t>https://disclosurequest.com/form/palouse-ag-drone-services-llc/0001668287-18-000070/?returnURL=</t>
  </si>
  <si>
    <t>Palouse Ag-Drone Services LLC</t>
  </si>
  <si>
    <t>The Ag-Drone</t>
  </si>
  <si>
    <t>El Tinieblo International</t>
  </si>
  <si>
    <t>https://www.startengine.com/el-tinieblo-international</t>
  </si>
  <si>
    <t>https://www.sec.gov/Archives/edgar/data/1765620/000166516019000777/xslC_X01/primary_doc.xml</t>
  </si>
  <si>
    <t xml:space="preserve">El Tinieblo International, Inc. </t>
  </si>
  <si>
    <t>Spero CBD</t>
  </si>
  <si>
    <t>https://www.startengine.com/spero-cbd</t>
  </si>
  <si>
    <t>https://www.sec.gov/Archives/edgar/data/1777377/000166516019000782/xslC_X01/primary_doc.xml</t>
  </si>
  <si>
    <t>Noble Naturals</t>
  </si>
  <si>
    <t>Rayton Solar</t>
  </si>
  <si>
    <t>https://www.startengine.com/raytonone</t>
  </si>
  <si>
    <t>https://www.sec.gov/Archives/edgar/data/1654124/000166516019000786/xslC_X01/primary_doc.xml</t>
  </si>
  <si>
    <t>Rayton Solar Inc.</t>
  </si>
  <si>
    <t>Rayton</t>
  </si>
  <si>
    <t>The Human Baton</t>
  </si>
  <si>
    <t>https://netcapital.com/companies/thb</t>
  </si>
  <si>
    <t>https://www.sec.gov/Archives/edgar/data/1782663/000166919119000236/xslC_X01/primary_doc.xml</t>
  </si>
  <si>
    <t>THB Holdco, LLC.</t>
  </si>
  <si>
    <t>Thalia Brands</t>
  </si>
  <si>
    <t>https://www.startengine.com/thalia</t>
  </si>
  <si>
    <t>Thalia Brands, Inc.</t>
  </si>
  <si>
    <t>Dome Audio</t>
  </si>
  <si>
    <t>https://netcapital.com/companies/dome-audio</t>
  </si>
  <si>
    <t>https://www.sec.gov/Archives/edgar/data/1781955/000166919119000259/xslC_X01/primary_doc.xml</t>
  </si>
  <si>
    <t>Dome Audio, Inc.</t>
  </si>
  <si>
    <t>kulaBrands</t>
  </si>
  <si>
    <t>https://us.trucrowd.com/equity/offer-summary/kulaBrands</t>
  </si>
  <si>
    <t>https://www.sec.gov/Archives/edgar/data/1706939/000170693919000002/xslC_X01/primary_doc.xml</t>
  </si>
  <si>
    <t>kulaBrands, Inc.</t>
  </si>
  <si>
    <t>Axleai</t>
  </si>
  <si>
    <t>https://republic.co/axle-ai</t>
  </si>
  <si>
    <t>https://www.sec.gov/Archives/edgar/data/1752964/000175296420000003/xslC_X01/primary_doc.xml</t>
  </si>
  <si>
    <t>Axle AI, Inc.</t>
  </si>
  <si>
    <t>Axle.ai</t>
  </si>
  <si>
    <t>Bruno Albouze, Inc.</t>
  </si>
  <si>
    <t>https://www.startengine.com/bruno-albouze-inc</t>
  </si>
  <si>
    <t>https://www.sec.gov/Archives/edgar/data/1806624/000166516020000225/xslC_X01/primary_doc.xml</t>
  </si>
  <si>
    <t>Bruno Albouze Inc.</t>
  </si>
  <si>
    <t>Bruno Albouze</t>
  </si>
  <si>
    <t>FIREPIE</t>
  </si>
  <si>
    <t>https://wefunder.com/firepie</t>
  </si>
  <si>
    <t>https://www.sec.gov/Archives/edgar/data/1802409/000167025420000099/xslC_X01/primary_doc.xml</t>
  </si>
  <si>
    <t>Fasty Fresh, Inc.</t>
  </si>
  <si>
    <t>R3 Printing</t>
  </si>
  <si>
    <t>https://www.startengine.com/r3printinginc</t>
  </si>
  <si>
    <t>https://www.sec.gov/Archives/edgar/data/1736388/000166516020000248/xslC_X01/primary_doc.xml</t>
  </si>
  <si>
    <t>R3 Printing, Inc.</t>
  </si>
  <si>
    <t>Our Life Foods</t>
  </si>
  <si>
    <t>https://app.microventures.com/crowdfunding/a-cajun-life</t>
  </si>
  <si>
    <t>https://www.sec.gov/Archives/edgar/data/1689683/000168968320000002/xslC_X01/primary_doc.xml</t>
  </si>
  <si>
    <t>Our Life Foods, Inc.</t>
  </si>
  <si>
    <t>Penny Luck Shoes, Inc.</t>
  </si>
  <si>
    <t>https://www.startengine.com/penny-luck</t>
  </si>
  <si>
    <t>https://www.sec.gov/Archives/edgar/data/1807032/000166516020000258/xslC_X01/primary_doc.xml</t>
  </si>
  <si>
    <t>Penny Luck Shoes</t>
  </si>
  <si>
    <t>Ouro Goods</t>
  </si>
  <si>
    <t>https://www.startengine.com/younggodbrands</t>
  </si>
  <si>
    <t>https://www.sec.gov/Archives/edgar/data/1805193/000166516020000251/xslC_X01/primary_doc.xml</t>
  </si>
  <si>
    <t>Young God INC.</t>
  </si>
  <si>
    <t>Lifograph</t>
  </si>
  <si>
    <t>https://wefunder.com/lifograph</t>
  </si>
  <si>
    <t>https://www.sec.gov/Archives/edgar/data/1776308/000167025420000084/xslC_X01/primary_doc.xml</t>
  </si>
  <si>
    <t>LIFOGRAPH, INC.</t>
  </si>
  <si>
    <t>Wearwell</t>
  </si>
  <si>
    <t>https://republic.co/wearwell</t>
  </si>
  <si>
    <t>https://www.sec.gov/Archives/edgar/data/1799584/000179958420000003/xslC_X01/primary_doc.xml</t>
  </si>
  <si>
    <t>Wearwell, Inc.</t>
  </si>
  <si>
    <t>Jetoptera</t>
  </si>
  <si>
    <t>Microventures</t>
  </si>
  <si>
    <t>https://app.microventures.com/crowdfunding/jetoptera</t>
  </si>
  <si>
    <t>https://www.sec.gov/Archives/edgar/data/1708246/000170824620000001/xslC_X01/primary_doc.xml</t>
  </si>
  <si>
    <t>Jetoptera, Inc.</t>
  </si>
  <si>
    <t>Mevo</t>
  </si>
  <si>
    <t>https://wefunder.com/mevo</t>
  </si>
  <si>
    <t>https://www.sec.gov/Archives/edgar/data/1806364/000167025420000189/xslC_X01/primary_doc.xml</t>
  </si>
  <si>
    <t>Mevo, Inc.</t>
  </si>
  <si>
    <t>TrustFund</t>
  </si>
  <si>
    <t>https://netcapital.com/companies/trustfund</t>
  </si>
  <si>
    <t>https://www.sec.gov/Archives/edgar/data/1803906/000166919120000138/xslC_X01/primary_doc.xml</t>
  </si>
  <si>
    <t>Impact X Partners, LLC</t>
  </si>
  <si>
    <t>GRIT BXNG</t>
  </si>
  <si>
    <t>https://republic.co/grit</t>
  </si>
  <si>
    <t>https://www.sec.gov/Archives/edgar/data/1759403/000121390020007152/xslC_X01/primary_doc.xml</t>
  </si>
  <si>
    <t>Work Hard Play Hard Train Hard, Inc.</t>
  </si>
  <si>
    <t>SideHustle App</t>
  </si>
  <si>
    <t>https://wefunder.com/sidehustle.app</t>
  </si>
  <si>
    <t>https://www.sec.gov/Archives/edgar/data/1789874/000167025420000184/xslC_X01/primary_doc.xml</t>
  </si>
  <si>
    <t>SideHustle App Inc</t>
  </si>
  <si>
    <t>Kazoo</t>
  </si>
  <si>
    <t>https://wefunder.com/kazoo</t>
  </si>
  <si>
    <t>https://www.sec.gov/Archives/edgar/data/1776458/000167025420000119/xslC_X01/primary_doc.xml</t>
  </si>
  <si>
    <t>Kazoo LLC</t>
  </si>
  <si>
    <t>Next Door Photos</t>
  </si>
  <si>
    <t>https://wefunder.com/next.door.photos</t>
  </si>
  <si>
    <t>https://www.sec.gov/Archives/edgar/data/1804160/000167025420000193/xslC_X01/primary_doc.xml</t>
  </si>
  <si>
    <t>3DMia, LLC</t>
  </si>
  <si>
    <t>Clear Genius</t>
  </si>
  <si>
    <t>https://www.startengine.com/clear-genius</t>
  </si>
  <si>
    <t>https://www.sec.gov/Archives/edgar/data/1804004/000166516020000276/xslC_X01/primary_doc.xml</t>
  </si>
  <si>
    <t>Clear Genius Inc.</t>
  </si>
  <si>
    <t>Infinovate</t>
  </si>
  <si>
    <t>https://netcapital.com/companies/infinovate</t>
  </si>
  <si>
    <t>https://www.sec.gov/Archives/edgar/data/1808015/000166919120000164/xslC_X01/primary_doc.xml</t>
  </si>
  <si>
    <t>Infinovate LLC</t>
  </si>
  <si>
    <t>Reflex Protect</t>
  </si>
  <si>
    <t>https://republic.co/reflex-protect</t>
  </si>
  <si>
    <t>https://www.sec.gov/Archives/edgar/data/1738026/000173802620000002/xslC_X01/primary_doc.xml</t>
  </si>
  <si>
    <t>Reflex Red Storm, LLC</t>
  </si>
  <si>
    <t>College Coaching Network</t>
  </si>
  <si>
    <t>https://netcapital.com/companies/college-coaching-network</t>
  </si>
  <si>
    <t>https://www.sec.gov/Archives/edgar/data/1786855/000166919120000144/xslC_X01/primary_doc.xml</t>
  </si>
  <si>
    <t>College Coaching Network Inc.</t>
  </si>
  <si>
    <t>All ebt Foundation</t>
  </si>
  <si>
    <t>https://republic.co/all_ebt</t>
  </si>
  <si>
    <t>https://www.sec.gov/Archives/edgar/data/1807984/000180798420000003/xslC_X01/primary_doc.xml</t>
  </si>
  <si>
    <t>All_ebt</t>
  </si>
  <si>
    <t>CricClubs</t>
  </si>
  <si>
    <t>https://republic.co/cricclubs</t>
  </si>
  <si>
    <t>https://www.sec.gov/Archives/edgar/data/1807742/000180774220000002/xslC_X01/primary_doc.xml</t>
  </si>
  <si>
    <t>CricClubs Inc</t>
  </si>
  <si>
    <t>Computer Software</t>
  </si>
  <si>
    <t>Indy Brand Clothing</t>
  </si>
  <si>
    <t>https://wefunder.com/indy.brand</t>
  </si>
  <si>
    <t>https://www.sec.gov/Archives/edgar/data/1804169/000167025420000181/xslC_X01/primary_doc.xml</t>
  </si>
  <si>
    <t>Indy Brand Clothing, LLC</t>
  </si>
  <si>
    <t>Solutions Vending International</t>
  </si>
  <si>
    <t>https://www.startengine.com/popcom</t>
  </si>
  <si>
    <t>https://www.sec.gov/Archives/edgar/data/1759081/000166516020000288/xslC_X01/primary_doc.xml</t>
  </si>
  <si>
    <t>Solutions Vending International, Inc.</t>
  </si>
  <si>
    <t>Retail</t>
  </si>
  <si>
    <t>DoraHacks</t>
  </si>
  <si>
    <t>https://republic.co/dorahacks</t>
  </si>
  <si>
    <t>https://www.sec.gov/cgi-bin/browse-edgar?CIK=0001774152&amp;action=getcompany</t>
  </si>
  <si>
    <t>TWENTY-SECOND CENTURY DORA TECHNOLOGY HOLDINGS, INC.</t>
  </si>
  <si>
    <t>Dora Hacks</t>
  </si>
  <si>
    <t>Neurotez</t>
  </si>
  <si>
    <t>https://netcapital.com/companies/neurotez</t>
  </si>
  <si>
    <t>https://www.sec.gov/Archives/edgar/data/1725567/000166919119000295/xslC_X01/primary_doc.xml</t>
  </si>
  <si>
    <t>Neurotez Inc.</t>
  </si>
  <si>
    <t>Biotechnology</t>
  </si>
  <si>
    <t>Vendaval</t>
  </si>
  <si>
    <t>https://www.mrcrowd.com/company/VEND</t>
  </si>
  <si>
    <t>https://www.sec.gov/Archives/edgar/data/1785391/000178539119000001/xslC_X01/primary_doc.xml</t>
  </si>
  <si>
    <t>Vendaval Corp.</t>
  </si>
  <si>
    <t>Vendaval Corp</t>
  </si>
  <si>
    <t>Aptrea Motors</t>
  </si>
  <si>
    <t>https://wefunder.com/aptera</t>
  </si>
  <si>
    <t>https://www.sec.gov/Archives/edgar/data/1786471/000167025419000484/xslC_X01/primary_doc.xml</t>
  </si>
  <si>
    <t>Aptera Motors Corp.</t>
  </si>
  <si>
    <t>Aptera</t>
  </si>
  <si>
    <t>Automotive</t>
  </si>
  <si>
    <t>Scrap Connection, Inc.</t>
  </si>
  <si>
    <t>https://wefunder.com/scrap.connection.inc</t>
  </si>
  <si>
    <t>https://www.sec.gov/Archives/edgar/data/1689304/000167025419000488/xslC_X01/primary_doc.xml</t>
  </si>
  <si>
    <t>Tradefox</t>
  </si>
  <si>
    <t>International Trade and Development</t>
  </si>
  <si>
    <t>The OmniPad Company</t>
  </si>
  <si>
    <t>https://www.razitall.com/pitch/revolving-tread-omnidirectional-treadmill-for-vr</t>
  </si>
  <si>
    <t>https://www.sec.gov/Archives/edgar/data/1745527/000166828719000053/xslC_X01/primary_doc.xml</t>
  </si>
  <si>
    <t>The OmniPad Company, LLC</t>
  </si>
  <si>
    <t>Omnipad</t>
  </si>
  <si>
    <t>Green Growth</t>
  </si>
  <si>
    <t>https://fundanna.com/equity/offer-summary/GreenGrowth</t>
  </si>
  <si>
    <t>https://www.sec.gov/Archives/edgar/data/1785164/000178516419000001/xslC_X01/primary_doc.xml</t>
  </si>
  <si>
    <t>Green Growth Real Estate, LLC</t>
  </si>
  <si>
    <t>Green Growth Real Estate</t>
  </si>
  <si>
    <t>earthdog, GP</t>
  </si>
  <si>
    <t>https://www.razitall.com/pitch/every-dog-s-neck-deserves-hemp-gear-from-earthdog</t>
  </si>
  <si>
    <t>https://www.sec.gov/Archives/edgar/data/1728036/000166828718000027/xslC_X01/primary_doc.xml</t>
  </si>
  <si>
    <t>Earthdog</t>
  </si>
  <si>
    <t>English for a Song</t>
  </si>
  <si>
    <t>https://www.razitall.com/pitch/transforming-adult-literacy-through-pop-music</t>
  </si>
  <si>
    <t>https://www.sec.gov/cgi-bin/browse-edgar?company=english+for+a+song&amp;owner=exclude&amp;action=getcompany</t>
  </si>
  <si>
    <t>English for a Song, Inc.</t>
  </si>
  <si>
    <t>English For a Song</t>
  </si>
  <si>
    <t>Of The North Beverage International</t>
  </si>
  <si>
    <t>https://www.razitall.com/pitch/the-new-ice-age-borealis-rare-iceberg-beer</t>
  </si>
  <si>
    <t>https://www.sec.gov/Archives/edgar/data/1738707/000166828718000034/xslC_X01/primary_doc.xml</t>
  </si>
  <si>
    <t>Of The North Beverage International Inc</t>
  </si>
  <si>
    <t>Borealis Rare Iceberg Beer</t>
  </si>
  <si>
    <t>Soar Robotics</t>
  </si>
  <si>
    <t>https://republic.co/soar-robotics</t>
  </si>
  <si>
    <t>https://www.sec.gov/Archives/edgar/data/1783015/000178301519000001/xslC_X01/primary_doc.xml</t>
  </si>
  <si>
    <t>Soar Robotics Inc.</t>
  </si>
  <si>
    <t>Industrial Automation</t>
  </si>
  <si>
    <t>18th and Fairfax LLC dba Intox-Detox</t>
  </si>
  <si>
    <t>https://www.razitall.com/pitch/hangovers-suck-creating-better-tomorrows-for-all</t>
  </si>
  <si>
    <t>https://www.sec.gov/Archives/edgar/data/1786413/000166828719000041/xslC_X01/primary_doc.xml</t>
  </si>
  <si>
    <t>18th and Fairfax LLC</t>
  </si>
  <si>
    <t>Intox-Detox</t>
  </si>
  <si>
    <t>Michael Ray Galleries</t>
  </si>
  <si>
    <t>https://www.razitall.com/pitch/reclaiming-historical-sites-as-local-art-galleries</t>
  </si>
  <si>
    <t>https://www.sec.gov/Archives/edgar/data/1739088/000166828718000031/xslC_X01/primary_doc.xml</t>
  </si>
  <si>
    <t>Fine Art</t>
  </si>
  <si>
    <t>Le Bread Xpress</t>
  </si>
  <si>
    <t>https://wefunder.com/lebreadxpress</t>
  </si>
  <si>
    <t>https://www.sec.gov/Archives/edgar/data/1685241/000167025419000443/xslC_X01/primary_doc.xml</t>
  </si>
  <si>
    <t>Le Bread Xpress, Inc.</t>
  </si>
  <si>
    <t>WeStrive</t>
  </si>
  <si>
    <t>https://wefunder.com/westrive</t>
  </si>
  <si>
    <t>https://www.sec.gov/Archives/edgar/data/1725162/000167025419000492/xslC_X01/primary_doc.xml</t>
  </si>
  <si>
    <t>PerFIcT Inc.</t>
  </si>
  <si>
    <t>Locl</t>
  </si>
  <si>
    <t>https://wefunder.com/locl</t>
  </si>
  <si>
    <t>https://www.sec.gov/Archives/edgar/data/1783629/000167025419000432/xslC_X01/primary_doc.xml</t>
  </si>
  <si>
    <t>LOCL Enterprises Inc.</t>
  </si>
  <si>
    <t>LOCL</t>
  </si>
  <si>
    <t>Sporting Goods</t>
  </si>
  <si>
    <t>tinyB chocolate</t>
  </si>
  <si>
    <t>https://wefunder.com/tinybchocolate</t>
  </si>
  <si>
    <t>https://www.sec.gov/Archives/edgar/data/1785480/000167025419000464/xslC_X01/primary_doc.xml</t>
  </si>
  <si>
    <t>tinyB chocolate LLC</t>
  </si>
  <si>
    <t>Colossal</t>
  </si>
  <si>
    <t>https://wefunder.com/colossal.inc</t>
  </si>
  <si>
    <t>https://www.sec.gov/Archives/edgar/data/1785479/000167025419000452/xslC_X01/primary_doc.xml</t>
  </si>
  <si>
    <t>Colossal Inc</t>
  </si>
  <si>
    <t>Sayscape</t>
  </si>
  <si>
    <t>Online Media</t>
  </si>
  <si>
    <t>PromSocial</t>
  </si>
  <si>
    <t>https://wefunder.com/promsocial</t>
  </si>
  <si>
    <t>https://www.sec.gov/Archives/edgar/data/1787347/000167025419000498/xslC_X01/primary_doc.xml</t>
  </si>
  <si>
    <t>PromSocial Inc.</t>
  </si>
  <si>
    <t>See Me Live</t>
  </si>
  <si>
    <t>https://www.razitall.com/pitch/patented-see-me-live-video-platform-prelaunch</t>
  </si>
  <si>
    <t>https://www.sec.gov/Archives/edgar/data/1761058/000166828719000073/xslC_X01/primary_doc.xml</t>
  </si>
  <si>
    <t>Global 5 Media, Inc.</t>
  </si>
  <si>
    <t>SeeMeLive</t>
  </si>
  <si>
    <t>Upshift</t>
  </si>
  <si>
    <t>https://republic.co/upshift</t>
  </si>
  <si>
    <t>https://www.sec.gov/Archives/edgar/data/1722137/000172213719000002/xslC_X01/primary_doc.xml</t>
  </si>
  <si>
    <t>Upshift Inc.</t>
  </si>
  <si>
    <t>Buff Bake</t>
  </si>
  <si>
    <t>https://republic.co/buff-bake</t>
  </si>
  <si>
    <t>https://www.sec.gov/Archives/edgar/data/1724320/000172432019000002/xslC_X01/primary_doc.xml</t>
  </si>
  <si>
    <t>Buff Bake, Inc.</t>
  </si>
  <si>
    <t>World Tree</t>
  </si>
  <si>
    <t>https://wefunder.com/worldtree</t>
  </si>
  <si>
    <t>https://www.sec.gov/Archives/edgar/data/1687316/000147793220001300/xsl1-A_X01/primary_doc.xml</t>
  </si>
  <si>
    <t>World Tree USA, LLC</t>
  </si>
  <si>
    <t>Renewables &amp; Envirnoment</t>
  </si>
  <si>
    <t>AmmoSquared</t>
  </si>
  <si>
    <t>https://wefunder.com/ammosquared</t>
  </si>
  <si>
    <t>https://www.sec.gov/Archives/edgar/data/1791397/000167025419000652/xslC_X01/primary_doc.xml</t>
  </si>
  <si>
    <t>Ammosquared Inc.</t>
  </si>
  <si>
    <t>Ammosquared</t>
  </si>
  <si>
    <t>Eight Bridges Brewing</t>
  </si>
  <si>
    <t>https://www.startengine.com/eight-bridges-brewing-inc</t>
  </si>
  <si>
    <t>https://www.sec.gov/Archives/edgar/data/1791127/000166516019001157/xslC_X01/primary_doc.xml</t>
  </si>
  <si>
    <t>Eight Bridges Brewing, Inc.</t>
  </si>
  <si>
    <t>Linen App</t>
  </si>
  <si>
    <t>https://republic.co/linen</t>
  </si>
  <si>
    <t>https://www.sec.gov/Archives/edgar/data/1792508/000179250819000001/xslC_X01/primary_doc.xml</t>
  </si>
  <si>
    <t>Linen Mobile, Inc.</t>
  </si>
  <si>
    <t>Banking</t>
  </si>
  <si>
    <t>Thematic</t>
  </si>
  <si>
    <t>https://app.microventures.com/crowdfunding/thematic</t>
  </si>
  <si>
    <t>https://www.sec.gov/Archives/edgar/data/1730486/000173048619000001/xslC_X01/primary_doc.xml</t>
  </si>
  <si>
    <t>Thematic, Inc.</t>
  </si>
  <si>
    <t>Internet</t>
  </si>
  <si>
    <t>RehabPath</t>
  </si>
  <si>
    <t>https://republic.co/rehabpath</t>
  </si>
  <si>
    <t>https://www.sec.gov/Archives/edgar/data/1791847/000179184719000001/xslC_X01/primary_doc.xml</t>
  </si>
  <si>
    <t>RehabPath Inc.</t>
  </si>
  <si>
    <t>Grady's Cold Brew</t>
  </si>
  <si>
    <t>https://www.startengine.com/gradyscoldbrew</t>
  </si>
  <si>
    <t>https://www.sec.gov/Archives/edgar/data/1791739/000166516019001160/xslC_X01/primary_doc.xml</t>
  </si>
  <si>
    <t>Gradys Cold Brew, Inc.</t>
  </si>
  <si>
    <t>Gradys Cold Brew</t>
  </si>
  <si>
    <t>PhorMed</t>
  </si>
  <si>
    <t>https://www.startengine.com/phormed</t>
  </si>
  <si>
    <t>https://www.sec.gov/Archives/edgar/data/1796036/000166516019001165/xslC_X01/primary_doc.xml</t>
  </si>
  <si>
    <t>Phormed Inc</t>
  </si>
  <si>
    <t>StartEngine Crowdfunding</t>
  </si>
  <si>
    <t>https://us.trucrowd.com/equity/offer-summary/StartEngine2</t>
  </si>
  <si>
    <t>https://www.sec.gov/Archives/edgar/data/1661779/000110465920032595/xslC_X01/primary_doc.xml</t>
  </si>
  <si>
    <t>STARTENGINE CROWDFUNDING, INC.</t>
  </si>
  <si>
    <t>Fund-Raising</t>
  </si>
  <si>
    <t>Dented Brick Distillery</t>
  </si>
  <si>
    <t>https://wefunder.com/dented.brick.distillery</t>
  </si>
  <si>
    <t>https://www.sec.gov/Archives/edgar/data/1629933/000167025419000557/xslC_X01/primary_doc.xml</t>
  </si>
  <si>
    <t>Salt Lake City Distillery LLC</t>
  </si>
  <si>
    <t>Shark Wheel</t>
  </si>
  <si>
    <t>https://wefunder.com/sharkwheel</t>
  </si>
  <si>
    <t>https://www.sec.gov/Archives/edgar/data/1709539/000167025420000070/xslC_X01/primary_doc.xml</t>
  </si>
  <si>
    <t>Shark Wheel, Inc.</t>
  </si>
  <si>
    <t>Hive</t>
  </si>
  <si>
    <t>https://republic.co/hive</t>
  </si>
  <si>
    <t>https://www.sec.gov/Archives/edgar/data/1702371/000170237119000002/xslC_X01/primary_doc.xml</t>
  </si>
  <si>
    <t>Hive Companies, Inc.</t>
  </si>
  <si>
    <t>Back To Space</t>
  </si>
  <si>
    <t>https://wefunder.com/back.to.space</t>
  </si>
  <si>
    <t>https://www.sec.gov/Archives/edgar/data/1792907/000167025419000675/xslC_X01/primary_doc.xml</t>
  </si>
  <si>
    <t>Back To Space, LLC</t>
  </si>
  <si>
    <t>Media Production</t>
  </si>
  <si>
    <t>yes</t>
  </si>
  <si>
    <t>Atlis Motor Vehicles</t>
  </si>
  <si>
    <t>https://www.startengine.com/atlis-motor-vehicles-3</t>
  </si>
  <si>
    <t>https://www.sec.gov/Archives/edgar/data/1722969/000166516019001173/xslC_X01/primary_doc.xml</t>
  </si>
  <si>
    <t>Atlis Motor Vehicle Inc.</t>
  </si>
  <si>
    <t>Crafthouse Cocktails</t>
  </si>
  <si>
    <t>https://wefunder.com/crafthouse.cocktails</t>
  </si>
  <si>
    <t>https://www.sec.gov/Archives/edgar/data/1788204/000167025419000640/xslC_X01/primary_doc.xml</t>
  </si>
  <si>
    <t>Stanton South, LLC</t>
  </si>
  <si>
    <t>Delee</t>
  </si>
  <si>
    <t>https://republic.co/delee</t>
  </si>
  <si>
    <t>https://www.sec.gov/Archives/edgar/data/1790674/000179067419000002/xslC_X01/primary_doc.xml</t>
  </si>
  <si>
    <t>Delee Corp</t>
  </si>
  <si>
    <t>Billion Vegans</t>
  </si>
  <si>
    <t>https://wefunder.com/billionvegans</t>
  </si>
  <si>
    <t>https://www.sec.gov/Archives/edgar/data/1751794/000167025419000606/xslC_X01/primary_doc.xml</t>
  </si>
  <si>
    <t>Billion Vegans Inc.</t>
  </si>
  <si>
    <t>Story2</t>
  </si>
  <si>
    <t>https://republic.co/story2</t>
  </si>
  <si>
    <t>https://www.sec.gov/Archives/edgar/data/1617797/000146581819000035/xslC_X01/primary_doc.xml</t>
  </si>
  <si>
    <t>Story to College, LLC</t>
  </si>
  <si>
    <t>Akibah Health</t>
  </si>
  <si>
    <t>https://www.startengine.com/akibah-health</t>
  </si>
  <si>
    <t>https://www.sec.gov/Archives/edgar/data/1701666/000166516019001181/xslC_X01/primary_doc.xml</t>
  </si>
  <si>
    <t>Akibah Health Corporation</t>
  </si>
  <si>
    <t>Robovet</t>
  </si>
  <si>
    <t>https://wefunder.com/robovet</t>
  </si>
  <si>
    <t>https://www.sec.gov/Archives/edgar/data/1789108/000167025419000694/xslC_X01/primary_doc.xml</t>
  </si>
  <si>
    <t>Robovet Corporation</t>
  </si>
  <si>
    <t>Veterinary</t>
  </si>
  <si>
    <t>Genobank.io</t>
  </si>
  <si>
    <t>https://republic.co/genobank-io</t>
  </si>
  <si>
    <t>https://www.sec.gov/Archives/edgar/data/1780122/000178012219000003/xslC_X01/primary_doc.xml</t>
  </si>
  <si>
    <t>Genobank.io Inc</t>
  </si>
  <si>
    <t>Hempazon</t>
  </si>
  <si>
    <t>https://fundanna.com/equity/offer-summary/Hempazon</t>
  </si>
  <si>
    <t>https://www.sec.gov/Archives/edgar/data/1799231/000179923120000001/xslC_X01/primary_doc.xml</t>
  </si>
  <si>
    <t>HAZN, Inc</t>
  </si>
  <si>
    <t>Fleeting</t>
  </si>
  <si>
    <t>https://republic.co/fleeting</t>
  </si>
  <si>
    <t>https://www.sec.gov/Archives/edgar/data/1779318/000177931820000002/xslC_X01/primary_doc.xml</t>
  </si>
  <si>
    <t>Fleeting,Inc.</t>
  </si>
  <si>
    <t>LaneAxis</t>
  </si>
  <si>
    <t>https://www.startengine.com/laneaxis-inc</t>
  </si>
  <si>
    <t>https://www.sec.gov/Archives/edgar/data/1702255/000166516020000149/xslC_X01/primary_doc.xml</t>
  </si>
  <si>
    <t>LaneAxis, Inc.</t>
  </si>
  <si>
    <t>SunState Laboratories</t>
  </si>
  <si>
    <t>https://wefunder.com/sunstate.laboratories</t>
  </si>
  <si>
    <t>https://www.sec.gov/Archives/edgar/data/1800204/000167025420000055/xslC_X01/primary_doc.xml</t>
  </si>
  <si>
    <t>SunState Laboratories, Inc.</t>
  </si>
  <si>
    <t>ILLUSIO</t>
  </si>
  <si>
    <t>https://equifundcfp.com/illusio/</t>
  </si>
  <si>
    <t>https://www.sec.gov/Archives/edgar/data/1792754/000179275419000003/xslC_X01/primary_doc.xml</t>
  </si>
  <si>
    <t>Illusio, Inc.</t>
  </si>
  <si>
    <t>Illusio</t>
  </si>
  <si>
    <t>Roula</t>
  </si>
  <si>
    <t>https://app.microventures.com/crowdfunding/roula</t>
  </si>
  <si>
    <t>https://www.sec.gov/Archives/edgar/data/1801721/000180172120000001/xslC_X01/primary_doc.xml</t>
  </si>
  <si>
    <t>Veltrav LLC</t>
  </si>
  <si>
    <t>Roula.cc</t>
  </si>
  <si>
    <t>Leisure, Travel &amp; Turism</t>
  </si>
  <si>
    <t>Mighty Quinn's Barbeque</t>
  </si>
  <si>
    <t>https://www.seedinvest.com/mightyquinns/series.b</t>
  </si>
  <si>
    <t>https://www.sec.gov/Archives/edgar/data/1777476/000177747620000001/xslC_X01/primary_doc.xml</t>
  </si>
  <si>
    <t>Mighty Quinn's Holdings LLC</t>
  </si>
  <si>
    <t>Mighty Quinn's Barbecue</t>
  </si>
  <si>
    <t>Sienna Sauce</t>
  </si>
  <si>
    <t>https://republic.co/sienna-sauce</t>
  </si>
  <si>
    <t>https://www.sec.gov/Archives/edgar/data/1802465/000180246520000002/xslC_X01/primary_doc.xml</t>
  </si>
  <si>
    <t>Tyla-Simone's Wings LLC</t>
  </si>
  <si>
    <t>Skinz.gg</t>
  </si>
  <si>
    <t>https://www.startengine.com/skinzgg</t>
  </si>
  <si>
    <t>https://www.sec.gov/Archives/edgar/data/1795715/000166516020000155/xslC_X01/primary_doc.xml</t>
  </si>
  <si>
    <t>Skinz Inc</t>
  </si>
  <si>
    <t>Biopact</t>
  </si>
  <si>
    <t>https://equifundcfp.com/biopact-ct/</t>
  </si>
  <si>
    <t>https://www.sec.gov/Archives/edgar/data/1797565/000179756520000001/xslC_X01/primary_doc.xml</t>
  </si>
  <si>
    <t>BioPact Cellular Transport, Inc.</t>
  </si>
  <si>
    <t>BioPact CT</t>
  </si>
  <si>
    <t>eCarra</t>
  </si>
  <si>
    <t>https://wefunder.com/ecarra</t>
  </si>
  <si>
    <t>https://www.sec.gov/Archives/edgar/data/1800212/000167025420000016/xslC_X01/primary_doc.xml</t>
  </si>
  <si>
    <t>eCarra, LLC</t>
  </si>
  <si>
    <t>Zelgor</t>
  </si>
  <si>
    <t>https://netcapital.com/companies/zelgor</t>
  </si>
  <si>
    <t>https://www.sec.gov/Archives/edgar/data/1674612/000166919120000078/xslC_X01/primary_doc.xml</t>
  </si>
  <si>
    <t>Zelgor Inc</t>
  </si>
  <si>
    <t>Computer Games</t>
  </si>
  <si>
    <t>Reset IV</t>
  </si>
  <si>
    <t>https://www.startengine.com/reset-iv</t>
  </si>
  <si>
    <t>https://www.sec.gov/Archives/edgar/data/1800753/000166516020000164/xslC_X01/primary_doc.xml</t>
  </si>
  <si>
    <t>Reset IV Inc.</t>
  </si>
  <si>
    <t>Epilog AI</t>
  </si>
  <si>
    <t>https://www.startengine.com/epilog</t>
  </si>
  <si>
    <t>https://www.sec.gov/Archives/edgar/data/1783128/000166516020000167/xslC_X01/primary_doc.xml</t>
  </si>
  <si>
    <t>Epilog Imaging Systems, Inc.</t>
  </si>
  <si>
    <t>Anthony's Cookies</t>
  </si>
  <si>
    <t>https://www.sec.gov/Archives/edgar/data/1802761/000167025420000116/xslC_X01/primary_doc.xml</t>
  </si>
  <si>
    <t>Anthony's Cookies, Inc</t>
  </si>
  <si>
    <t>Melanoid Exchange</t>
  </si>
  <si>
    <t>https://buytheblock.com/campaign/melanoid-exchange-is-offering-the-crowd-an-opportunity-to-invest-in-a-mobile-ecommercebooking-platform-dedicated-to-connecting-entrepreneurs-of-color-with-the-world</t>
  </si>
  <si>
    <t>https://www.sec.gov/Archives/edgar/data/1803861/000180386120000002/xslC_X01/primary_doc.xml</t>
  </si>
  <si>
    <t>Melanoid Exchange LLC</t>
  </si>
  <si>
    <t>Information Technology and Services</t>
  </si>
  <si>
    <t>Roots &amp; Vine Produce and Café</t>
  </si>
  <si>
    <t>https://buytheblock.com/campaign/connecting-farmers-to-people-reconnecting-people-to-real-food-1</t>
  </si>
  <si>
    <t>https://www.sec.gov/Archives/edgar/data/1752109/000175210920000003/xslC_X01/primary_doc.xml</t>
  </si>
  <si>
    <t>Roots &amp; Vine Produce &amp; Cafe, Inc.</t>
  </si>
  <si>
    <t>Roots &amp; Vine Produce &amp; Cafe</t>
  </si>
  <si>
    <t>Yahyn</t>
  </si>
  <si>
    <t>https://netcapital.com/companies/yahyn</t>
  </si>
  <si>
    <t>https://www.sec.gov/Archives/edgar/data/1803793/000166919120000084/xslC_X01/primary_doc.xml</t>
  </si>
  <si>
    <t>Puro Trader, Inc</t>
  </si>
  <si>
    <t>Teooh</t>
  </si>
  <si>
    <t>https://republic.co/teooh</t>
  </si>
  <si>
    <t>https://www.sec.gov/Archives/edgar/data/1802096/000180209620000006/xslC_X01/primary_doc.xml</t>
  </si>
  <si>
    <t>Teooh, Inc</t>
  </si>
  <si>
    <t>Blue</t>
  </si>
  <si>
    <t>https://republic.co/blue</t>
  </si>
  <si>
    <t>https://www.sec.gov/Archives/edgar/data/1690474/000169047420000002/xslC_X01/primary_doc.xml</t>
  </si>
  <si>
    <t>Follow-Mee, Inc.</t>
  </si>
  <si>
    <t>Consumer Elecronics</t>
  </si>
  <si>
    <t>Asarasi</t>
  </si>
  <si>
    <t>https://republic.co/asarasi</t>
  </si>
  <si>
    <t>https://www.sec.gov/Archives/edgar/data/1749594/000174959420000001/xslC_X01/primary_doc.xml</t>
  </si>
  <si>
    <t>Asarasi, Inc.</t>
  </si>
  <si>
    <t>Hearo.Live</t>
  </si>
  <si>
    <t>https://republic.co/hearo-live</t>
  </si>
  <si>
    <t>https://www.sec.gov/Archives/edgar/data/1793079/000179307920000001/xslC_X01/primary_doc.xml</t>
  </si>
  <si>
    <t>PiQPiQ, Inc.</t>
  </si>
  <si>
    <t>Open Box Buy</t>
  </si>
  <si>
    <t>https://www.startengine.com/openboxbuy</t>
  </si>
  <si>
    <t>https://www.sec.gov/Archives/edgar/data/1761248/000166516020000187/xslC_X01/primary_doc.xml</t>
  </si>
  <si>
    <t>Open Box Buy Corp</t>
  </si>
  <si>
    <t>Supermarkets</t>
  </si>
  <si>
    <t>Karaganda</t>
  </si>
  <si>
    <t>https://www.startengine.com/karaganda</t>
  </si>
  <si>
    <t>https://www.sec.gov/Archives/edgar/data/1758617/000166516019001233/xslC_X01/primary_doc.xml</t>
  </si>
  <si>
    <t>Karaganda, LLC</t>
  </si>
  <si>
    <t>GURU by MSBAI</t>
  </si>
  <si>
    <t>https://www.startengine.com/msbai</t>
  </si>
  <si>
    <t>https://www.sec.gov/Archives/edgar/data/1762827/000166516020000129/xslC_X01/primary_doc.xml</t>
  </si>
  <si>
    <t>microsurgeonbot, Inc</t>
  </si>
  <si>
    <t>MSBAI</t>
  </si>
  <si>
    <t>QwikLeaf</t>
  </si>
  <si>
    <t>https://fundanna.com/equity/offer-summary/QwikLeaf</t>
  </si>
  <si>
    <t>https://www.sec.gov/Archives/edgar/data/1765252/000176525220000002/xslC_X01/primary_doc.xml</t>
  </si>
  <si>
    <t>QWIKLEAF LLC</t>
  </si>
  <si>
    <t>WaterRR</t>
  </si>
  <si>
    <t>https://www.startengine.com/waterrr-inc</t>
  </si>
  <si>
    <t>https://www.sec.gov/Archives/edgar/data/1769308/000166516020000048/xslC_X01/primary_doc.xml</t>
  </si>
  <si>
    <t>WaterRR, Inc.</t>
  </si>
  <si>
    <t>Enviromental Services</t>
  </si>
  <si>
    <t>81-c</t>
  </si>
  <si>
    <t>https://www.startengine.com/81-c</t>
  </si>
  <si>
    <t>https://www.sec.gov/Archives/edgar/data/1769670/000166516020000188/xslC_X01/primary_doc.xml</t>
  </si>
  <si>
    <t>81-c, Inc.</t>
  </si>
  <si>
    <t>Trella Technologies</t>
  </si>
  <si>
    <t>https://www.startengine.com/trella</t>
  </si>
  <si>
    <t>https://www.sec.gov/Archives/edgar/data/1767862/000166516020000104/xslC_X01/primary_doc.xml</t>
  </si>
  <si>
    <t>Trella Technologies LLC</t>
  </si>
  <si>
    <t>Farming</t>
  </si>
  <si>
    <t>Como Audio</t>
  </si>
  <si>
    <t>https://wefunder.com/como.audio</t>
  </si>
  <si>
    <t>https://www.sec.gov/Archives/edgar/data/1771429/000167025419000123/xslC_X01/primary_doc.xml</t>
  </si>
  <si>
    <t>Como Audio, Inc.</t>
  </si>
  <si>
    <t>Music</t>
  </si>
  <si>
    <t>Shira Productions</t>
  </si>
  <si>
    <t>https://www.razitall.com/pitch/life-after-heart-transplant-a-documentary</t>
  </si>
  <si>
    <t>https://www.sec.gov/Archives/edgar/data/1771389/000166828719000009/xslC_X01/primary_doc.xml</t>
  </si>
  <si>
    <t>Shira Productions, LLC</t>
  </si>
  <si>
    <t>Simpkins E-Bikes</t>
  </si>
  <si>
    <t>https://www.razitall.com/pitch/simpkins-electric-bicycles</t>
  </si>
  <si>
    <t>https://www.sec.gov/Archives/edgar/data/1772701/000166828719000011/xslC_X01/primary_doc.xml</t>
  </si>
  <si>
    <t>Simpkins E-Bikes, Inc.</t>
  </si>
  <si>
    <t>NovoMoto</t>
  </si>
  <si>
    <t>https://wefunder.com/novomoto</t>
  </si>
  <si>
    <t>https://www.sec.gov/Archives/edgar/data/1796364/000167025419000730/xslC_X01/primary_doc.xml</t>
  </si>
  <si>
    <t>Novomoto LLC</t>
  </si>
  <si>
    <t>Novomoto</t>
  </si>
  <si>
    <t>Oodles Corporation</t>
  </si>
  <si>
    <t>https://wefunder.com/oodles</t>
  </si>
  <si>
    <t>https://www.sec.gov/Archives/edgar/data/1707572/000167025419000728/xslC_X01/primary_doc.xml</t>
  </si>
  <si>
    <t>Oodles</t>
  </si>
  <si>
    <t>Narrative Food</t>
  </si>
  <si>
    <t>https://wefunder.com/narrative.food</t>
  </si>
  <si>
    <t>https://www.sec.gov/Archives/edgar/data/1783627/000167025419000534/xslC_X01/primary_doc.xml</t>
  </si>
  <si>
    <t>Out of the Box Collective, Inc.</t>
  </si>
  <si>
    <t>SecretDays</t>
  </si>
  <si>
    <t>https://www.razitall.com/pitch/an-online-ed-tech-industry-app-through-a-call</t>
  </si>
  <si>
    <t>https://www.sec.gov/Archives/edgar/data/1763898/000166828719000006/xslC_X01/primary_doc.xml</t>
  </si>
  <si>
    <t>SECRETDAYS CO</t>
  </si>
  <si>
    <t>NIRA Skin</t>
  </si>
  <si>
    <t>https://www.startengine.com/nira-skin</t>
  </si>
  <si>
    <t>https://www.sec.gov/Archives/edgar/data/1797421/000166516020000023/xslC_X01/primary_doc.xml</t>
  </si>
  <si>
    <t>Dermal Photonics Corporation</t>
  </si>
  <si>
    <t>70 Million Jobs</t>
  </si>
  <si>
    <t>https://republic.co/70-million-jobs</t>
  </si>
  <si>
    <t>https://www.sec.gov/Archives/edgar/data/1716822/000171682220000004/xslC_X01/primary_doc.xml</t>
  </si>
  <si>
    <t>70 Million Resources, Inc.</t>
  </si>
  <si>
    <t>Natural Selection</t>
  </si>
  <si>
    <t>https://republic.co/natural-selection</t>
  </si>
  <si>
    <t>https://www.sec.gov/Archives/edgar/data/1791548/000179154820000001/xslC_X01/primary_doc.xml</t>
  </si>
  <si>
    <t>Natural Selection Nutrition, LLC</t>
  </si>
  <si>
    <t>Shockwave Motors</t>
  </si>
  <si>
    <t>https://netcapital.com/companies/shockwave-motors</t>
  </si>
  <si>
    <t>https://disclosurequest.com/form/shockwave-motors-inc./0001669191-20-000006/?returnURL=</t>
  </si>
  <si>
    <t>Shockwave Motors, Inc.</t>
  </si>
  <si>
    <t>ElliptiGO</t>
  </si>
  <si>
    <t>https://www.startengine.com/elliptigo-2</t>
  </si>
  <si>
    <t>https://www.sec.gov/Archives/edgar/data/1478263/000166516020000028/xslC_X01/primary_doc.xml</t>
  </si>
  <si>
    <t>PT Motion Works, Inc.</t>
  </si>
  <si>
    <t>KulaCrate</t>
  </si>
  <si>
    <t>https://netcapital.com/companies/kula-crate</t>
  </si>
  <si>
    <t>https://disclosurequest.com/form/we-are-kula-llc/0001669191-20-000053/?returnURL=</t>
  </si>
  <si>
    <t>We Are Kula, LLC</t>
  </si>
  <si>
    <t>Thuzio</t>
  </si>
  <si>
    <t>https://republic.co/thuzio</t>
  </si>
  <si>
    <t>https://www.sec.gov/Archives/edgar/data/1554477/000155447720000002/xslC_X01/primary_doc.xml</t>
  </si>
  <si>
    <t>Thuzio, Inc.</t>
  </si>
  <si>
    <t>Baqua, Inc.</t>
  </si>
  <si>
    <t>https://www.startengine.com/baqua</t>
  </si>
  <si>
    <t>https://www.sec.gov/Archives/edgar/data/1677789/000166516020000134/xslC_X01/primary_doc.xml</t>
  </si>
  <si>
    <t>Baqua, Incorporated</t>
  </si>
  <si>
    <t>Baqua</t>
  </si>
  <si>
    <t>COLORS: Oakland</t>
  </si>
  <si>
    <t>https://wefunder.com/colors</t>
  </si>
  <si>
    <t>https://www.sec.gov/Archives/edgar/data/1788193/000167025420000074/xslC_X01/primary_doc.xml</t>
  </si>
  <si>
    <t>COLORS Oakland LLC</t>
  </si>
  <si>
    <t>Incluzion</t>
  </si>
  <si>
    <t>https://wefunder.com/incluzion</t>
  </si>
  <si>
    <t>https://www.sec.gov/Archives/edgar/data/1713366/000167025419000673/xslC_X01/primary_doc.xml</t>
  </si>
  <si>
    <t>Spendwith Corp dba Incluzion</t>
  </si>
  <si>
    <t>Politiscope</t>
  </si>
  <si>
    <t>https://www.seedinvest.com/politiscope/seed/highlights</t>
  </si>
  <si>
    <t>https://www.sec.gov/Archives/edgar/data/1722138/000172213820000001/xslC_X01/primary_doc.xml</t>
  </si>
  <si>
    <t>Politiscope, Inc.</t>
  </si>
  <si>
    <t>Civic and Social Organization</t>
  </si>
  <si>
    <t>Tuffy Packs, Inc.</t>
  </si>
  <si>
    <t>https://www.startengine.com/tuffypacks</t>
  </si>
  <si>
    <t>https://www.sec.gov/Archives/edgar/data/1804340/000166516020000233/xslC_X01/primary_doc.xml</t>
  </si>
  <si>
    <t>Tuffy Packs</t>
  </si>
  <si>
    <t>Slash Haircare</t>
  </si>
  <si>
    <t>https://fundopolis.com/raisedetails?id=4977250b-c81b-4947-a175-c0b0b037f097</t>
  </si>
  <si>
    <t>https://www.sec.gov/Archives/edgar/data/1754733/000178043920000009/xslC_X01/primary_doc.xml</t>
  </si>
  <si>
    <t>Slash Beauty Inc.</t>
  </si>
  <si>
    <t>FLUUX</t>
  </si>
  <si>
    <t>https://www.seedinvest.com/fluux/pre.seed/highlights</t>
  </si>
  <si>
    <t>https://www.sec.gov/Archives/edgar/data/1803581/000180358120000002/xslC_X01/primary_doc.xml</t>
  </si>
  <si>
    <t>Fluux, Inc.</t>
  </si>
  <si>
    <t>Fluux</t>
  </si>
  <si>
    <t>Computer Hardware</t>
  </si>
  <si>
    <t>KapitalWise, Inc.</t>
  </si>
  <si>
    <t>https://app.microventures.com/crowdfunding/kapitalwise</t>
  </si>
  <si>
    <t>https://www.sec.gov/Archives/edgar/data/1805525/000180552520000002/xslC_X01/primary_doc.xml</t>
  </si>
  <si>
    <t>KapitalWise</t>
  </si>
  <si>
    <t>Goodwolf Feeding Company</t>
  </si>
  <si>
    <t>https://app.microventures.com/crowdfunding/goodwolf</t>
  </si>
  <si>
    <t>https://www.sec.gov/Archives/edgar/data/1805743/000180574320000002/xslC_X01/primary_doc.xml</t>
  </si>
  <si>
    <t>Goodwolf</t>
  </si>
  <si>
    <t>Calyx Cultivation Tech</t>
  </si>
  <si>
    <t>https://wefunder.com/calyx.cultivation</t>
  </si>
  <si>
    <t>https://www.sec.gov/Archives/edgar/data/1800214/000167025420000174/xslC_X01/primary_doc.xml</t>
  </si>
  <si>
    <t>Calyx Cultivation Tech. Corp.</t>
  </si>
  <si>
    <t>Pippy Sips</t>
  </si>
  <si>
    <t>https://wefunder.com/pippysips</t>
  </si>
  <si>
    <t>https://www.sec.gov/Archives/edgar/data/1791400/000167025419000627/xslC_X01/primary_doc.xml</t>
  </si>
  <si>
    <t>Pippy Sips LLC</t>
  </si>
  <si>
    <t>Mindcurrent</t>
  </si>
  <si>
    <t>https://wefunder.com/mindcurrent</t>
  </si>
  <si>
    <t>https://www.sec.gov/Archives/edgar/data/1803418/000167025420000110/xslC_X01/primary_doc.xml</t>
  </si>
  <si>
    <t>Mindcurrent Inc.</t>
  </si>
  <si>
    <t>Curastory</t>
  </si>
  <si>
    <t>https://wefunder.com/fundcurastory</t>
  </si>
  <si>
    <t>https://www.sec.gov/Archives/edgar/data/1802405/000167025420000088/xslC_X01/primary_doc.xml</t>
  </si>
  <si>
    <t>Curastory Inc.</t>
  </si>
  <si>
    <t>ASK Education</t>
  </si>
  <si>
    <t>https://netcapital.com/companies/ask</t>
  </si>
  <si>
    <t>https://www.sec.gov/Archives/edgar/data/1798352/000166919120000120/xslC_X01/primary_doc.xml</t>
  </si>
  <si>
    <t>Acquire Skills and Knowledge Education Inc.</t>
  </si>
  <si>
    <t>Event Hollow</t>
  </si>
  <si>
    <t>https://republic.co/event-hollow</t>
  </si>
  <si>
    <t>https://www.sec.gov/Archives/edgar/data/1792121/000179212120000002/xslC_X01/primary_doc.xml</t>
  </si>
  <si>
    <t>Event Hollow, Inc.</t>
  </si>
  <si>
    <t>Eclipse Diagnostics</t>
  </si>
  <si>
    <t>https://www.startengine.com/eclipsedx</t>
  </si>
  <si>
    <t>https://www.sec.gov/Archives/edgar/data/1733206/000166516020000016/xslC_X01/primary_doc.xml</t>
  </si>
  <si>
    <t>Eclipse Diagnostics, Inc.</t>
  </si>
  <si>
    <t>Plugsby</t>
  </si>
  <si>
    <t>https://www.razitall.com/pitch/the-plugsby-house-a-creative-co-living-community</t>
  </si>
  <si>
    <t>https://www.sec.gov/Archives/edgar/data/1772451/000166828719000012/xslC_X01/primary_doc.xml</t>
  </si>
  <si>
    <t>Plugsby, LLC</t>
  </si>
  <si>
    <t>Bounty0x</t>
  </si>
  <si>
    <t>https://republic.co/bounty0x</t>
  </si>
  <si>
    <t>https://www.sec.gov/Archives/edgar/data/1767762/000176776219000001/xslC_X01/primary_doc.xml</t>
  </si>
  <si>
    <t>Bounty0x, Inc.</t>
  </si>
  <si>
    <t>Core State Holdings</t>
  </si>
  <si>
    <t>https://fundanna.com/equity/offer-summary/CannaSOS</t>
  </si>
  <si>
    <t>https://www.sec.gov/Archives/edgar/data/1773714/000177371420000001/xslC_X01/primary_doc.xml</t>
  </si>
  <si>
    <t>Core State Holdings Corp.</t>
  </si>
  <si>
    <t>CannaSOS and PTP Wallet</t>
  </si>
  <si>
    <t>420 Real Estate</t>
  </si>
  <si>
    <t>https://fundanna.com/equity/offer-summary/420RealEstate</t>
  </si>
  <si>
    <t>https://www.sec.gov/Archives/edgar/data/1775091/000177509120000001/xslC_X01/primary_doc.xml</t>
  </si>
  <si>
    <t>420 Real Estate, LLC</t>
  </si>
  <si>
    <t>Connection Publishing</t>
  </si>
  <si>
    <t>https://www.mrcrowd.com/company/CP</t>
  </si>
  <si>
    <t>https://www.sec.gov/Archives/edgar/data/1773062/000166610219000015/xslC_X01/primary_doc.xml</t>
  </si>
  <si>
    <t>Connection Publishing, LLC</t>
  </si>
  <si>
    <t>EV Trail</t>
  </si>
  <si>
    <t>https://www.razitall.com/pitch/help-enable-electric-vehicle-road-travel-in-the-us</t>
  </si>
  <si>
    <t>https://www.sec.gov/Archives/edgar/data/1776148/000166828719000015/xslC_X01/primary_doc.xml</t>
  </si>
  <si>
    <t>EV Trail LLC</t>
  </si>
  <si>
    <t>C Meyers Feldman &amp; Co</t>
  </si>
  <si>
    <t>https://crowdsourcefunded.com/offerings/13/cycles/13</t>
  </si>
  <si>
    <t>https://www.sec.gov/Archives/edgar/data/1742637/000168316819001803/xslC_X01/primary_doc.xml</t>
  </si>
  <si>
    <t>C. Meyers Feldman &amp; Co.</t>
  </si>
  <si>
    <t>CMF</t>
  </si>
  <si>
    <t>Insurance</t>
  </si>
  <si>
    <t>SanMelix Laboratories</t>
  </si>
  <si>
    <t>https://www.startengine.com/sanmelix</t>
  </si>
  <si>
    <t>https://www.sec.gov/Archives/edgar/data/1768911/000166516020000035/xslC_X01/primary_doc.xml</t>
  </si>
  <si>
    <t>SanMelix Laboratories, Inc.</t>
  </si>
  <si>
    <t>SanMelix</t>
  </si>
  <si>
    <t>LEAF &amp; ASH</t>
  </si>
  <si>
    <t>https://fundanna.com/equity/offer-summary/LEAFandASH</t>
  </si>
  <si>
    <t>https://www.sec.gov/Archives/edgar/data/1787023/000178702320000001/xslC_X01/primary_doc.xml</t>
  </si>
  <si>
    <t>Leat &amp; Ash LLC</t>
  </si>
  <si>
    <t>Leaf &amp; Ash</t>
  </si>
  <si>
    <t>Liberty Access Technologies</t>
  </si>
  <si>
    <t>https://www.startengine.com/liberty-plugins-inc</t>
  </si>
  <si>
    <t>https://www.sec.gov/Archives/edgar/data/1775538/000166516020000105/xslC_X01/primary_doc.xml</t>
  </si>
  <si>
    <t>Liberty PlugIns, Inc.</t>
  </si>
  <si>
    <t>SoapSox</t>
  </si>
  <si>
    <t>https://www.startengine.com/soapsox</t>
  </si>
  <si>
    <t>https://www.sec.gov/Archives/edgar/data/1777011/000166516020000152/xslC_X01/primary_doc.xml</t>
  </si>
  <si>
    <t>Phillips Entertainment Group Inc.</t>
  </si>
  <si>
    <t>Boyish Records</t>
  </si>
  <si>
    <t>https://wefunder.com/boyishrecords</t>
  </si>
  <si>
    <t>https://www.sec.gov/Archives/edgar/data/1784186/000167025419000508/xslC_X01/primary_doc.xml</t>
  </si>
  <si>
    <t>Boyish Records, Inc.</t>
  </si>
  <si>
    <t>HelloAva</t>
  </si>
  <si>
    <t>https://republic.co/helloava</t>
  </si>
  <si>
    <t>https://www.sec.gov/Archives/edgar/data/1777204/000177720419000008/xslC_X01/primary_doc.xml</t>
  </si>
  <si>
    <t>HelloAva, Inc.</t>
  </si>
  <si>
    <t>Elastico Tequila Grille Co</t>
  </si>
  <si>
    <t>https://www.razitall.com/pitch/elastico-tequila-craft-distillery-kc-bbq</t>
  </si>
  <si>
    <t>https://www.sec.gov/Archives/edgar/data/1762281/000166828719000056/xslC_X01/primary_doc.xml</t>
  </si>
  <si>
    <t>Elastic Tequila Grille Co</t>
  </si>
  <si>
    <t>Elastico Tequila Mirco Distillery</t>
  </si>
  <si>
    <t>Layali</t>
  </si>
  <si>
    <t>https://republic.co/layali</t>
  </si>
  <si>
    <t>https://www.sec.gov/Archives/edgar/data/1785176/000178517619000002/xslC_X01/primary_doc.xml</t>
  </si>
  <si>
    <t>Layali LLC</t>
  </si>
  <si>
    <t>Slumber Bump</t>
  </si>
  <si>
    <t>https://www.mrcrowd.com/company/SB</t>
  </si>
  <si>
    <t>https://www.sec.gov/Archives/edgar/data/1752095/000166610219000021/xslC_X01/primary_doc.xml</t>
  </si>
  <si>
    <t>Slumber Bump, LLC</t>
  </si>
  <si>
    <t>SelenBio</t>
  </si>
  <si>
    <t>https://netcapital.com/companies/selenbio</t>
  </si>
  <si>
    <t>https://www.sec.gov/Archives/edgar/data/1787006/000166919120000024/xslC_X01/primary_doc.xml</t>
  </si>
  <si>
    <t>SelenBio, Inc.</t>
  </si>
  <si>
    <t>Avenify</t>
  </si>
  <si>
    <t>https://republic.co/avenify</t>
  </si>
  <si>
    <t>https://www.sec.gov/Archives/edgar/data/1784191/000178419119000003/xslC_X01/primary_doc.xml</t>
  </si>
  <si>
    <t>Avenify Corp.</t>
  </si>
  <si>
    <t>Bright Global Ventures</t>
  </si>
  <si>
    <t>https://www.razitall.com/pitch/chinese-global-real-estate-investments</t>
  </si>
  <si>
    <t>https://www.sec.gov/Archives/edgar/data/1790207/000166828719000059/xslC_X01/primary_doc.xml</t>
  </si>
  <si>
    <t>Bright Global Ventures (DE), Inc.</t>
  </si>
  <si>
    <t>SunVessel</t>
  </si>
  <si>
    <t>https://wefunder.com/sunvessel</t>
  </si>
  <si>
    <t>https://www.sec.gov/Archives/edgar/data/1787345/000167025419000518/xslC_X01/primary_doc.xml</t>
  </si>
  <si>
    <t>SunVessel Corp.</t>
  </si>
  <si>
    <t>Youcanevent</t>
  </si>
  <si>
    <t>https://republic.co/youcanevent</t>
  </si>
  <si>
    <t>https://www.sec.gov/Archives/edgar/data/1782777/000178277719000002/xslC_X01/primary_doc.xml</t>
  </si>
  <si>
    <t>Youcanevent, Inc.</t>
  </si>
  <si>
    <t>Youcan</t>
  </si>
  <si>
    <t>Fisher Wallace Laboratories</t>
  </si>
  <si>
    <t>https://www.startengine.com/fisherwallace</t>
  </si>
  <si>
    <t>https://www.sec.gov/Archives/edgar/data/1787792/000166516020000009/xslC_X01/primary_doc.xml</t>
  </si>
  <si>
    <t>Fisher Wallace Laboratories, Inc.</t>
  </si>
  <si>
    <t>hobbyDB</t>
  </si>
  <si>
    <t>https://wefunder.com/hobbydb</t>
  </si>
  <si>
    <t>https://www.sec.gov/Archives/edgar/data/1706765/000167025419000538/xslC_X01/primary_doc.xml</t>
  </si>
  <si>
    <t>Hobbydb Corp</t>
  </si>
  <si>
    <t>Gravatate</t>
  </si>
  <si>
    <t>https://wefunder.com/gravatate.inc</t>
  </si>
  <si>
    <t>https://www.sec.gov/Archives/edgar/data/1787343/000167025419000530/xslC_X01/primary_doc.xml</t>
  </si>
  <si>
    <t>Gravatate, Inc.</t>
  </si>
  <si>
    <t>Chow420</t>
  </si>
  <si>
    <t>https://www.startengine.com/chow</t>
  </si>
  <si>
    <t>https://www.sec.gov/Archives/edgar/data/1784430/000166516020000130/xslC_X01/primary_doc.xml</t>
  </si>
  <si>
    <t>VLISO, Inc.</t>
  </si>
  <si>
    <t>Dapper Boi</t>
  </si>
  <si>
    <t>https://www.startengine.com/dapper-boi</t>
  </si>
  <si>
    <t>https://www.sec.gov/Archives/edgar/data/1782117/000166516020000196/xslC_X01/primary_doc.xml</t>
  </si>
  <si>
    <t>Dapper Boi, Inc.</t>
  </si>
  <si>
    <t>Clear Water Distilling</t>
  </si>
  <si>
    <t>https://www.startengine.com/clearwaterdistilling</t>
  </si>
  <si>
    <t>https://www.sec.gov/Archives/edgar/data/1785581/000166516020000230/xslC_X01/primary_doc.xml</t>
  </si>
  <si>
    <t>Clearwater Distilling Co LLC</t>
  </si>
  <si>
    <t>GoSun</t>
  </si>
  <si>
    <t>https://www.startengine.com/gosuninc</t>
  </si>
  <si>
    <t>https://www.sec.gov/Archives/edgar/data/1706024/000166516020000030/xslC_X01/primary_doc.xml</t>
  </si>
  <si>
    <t>GoSun Inc.</t>
  </si>
  <si>
    <t>Flowh</t>
  </si>
  <si>
    <t>https://us.trucrowd.com/equity/offer-summary/Flowh</t>
  </si>
  <si>
    <t>https://www.sec.gov/Archives/edgar/data/1788657/000178865720000001/xslC_X01/primary_doc.xml</t>
  </si>
  <si>
    <t>Flowh, Inc.</t>
  </si>
  <si>
    <t>CEO Space</t>
  </si>
  <si>
    <t>https://www.mrcrowd.com/company/CEO</t>
  </si>
  <si>
    <t>https://www.sec.gov/Archives/edgar/data/1789864/000166610219000026/xslC_X01/primary_doc.xml</t>
  </si>
  <si>
    <t>CEO Space International Inc.</t>
  </si>
  <si>
    <t>Management Consulting</t>
  </si>
  <si>
    <t>PlantSnap Incorporated</t>
  </si>
  <si>
    <t>https://www.startengine.com/plantsnap-inc</t>
  </si>
  <si>
    <t>https://www.sec.gov/Archives/edgar/data/1699476/000166516020000044/xslC_X01/primary_doc.xml</t>
  </si>
  <si>
    <t>PlantSnap, Inc.</t>
  </si>
  <si>
    <t>PlantSnap</t>
  </si>
  <si>
    <t>FreeRolls Entertainment</t>
  </si>
  <si>
    <t>https://wefunder.com/freerolls.poker.clubs</t>
  </si>
  <si>
    <t>https://www.sec.gov/Archives/edgar/data/1719648/000167025419000591/xslC_X01/primary_doc.xml</t>
  </si>
  <si>
    <t>Freerolls Entertainment, Inc.</t>
  </si>
  <si>
    <t>Gambling &amp; Casinos</t>
  </si>
  <si>
    <t>Metaiye Knights</t>
  </si>
  <si>
    <t>https://www.startengine.com/metaiyeknights</t>
  </si>
  <si>
    <t>https://www.sec.gov/Archives/edgar/data/1791992/000166516020000151/xslC_X01/primary_doc.xml</t>
  </si>
  <si>
    <t>Metai Knights Media, Inc.</t>
  </si>
  <si>
    <t>BatteryXchange</t>
  </si>
  <si>
    <t>Localstake</t>
  </si>
  <si>
    <t>https://localstake.com/businesses/batteryxchange/preview</t>
  </si>
  <si>
    <t>https://www.sec.gov/Archives/edgar/data/1792013/000179201319000001/xslC_X01/primary_doc.xml</t>
  </si>
  <si>
    <t>BatteryXchange, Inc.</t>
  </si>
  <si>
    <t>Life Imaging</t>
  </si>
  <si>
    <t>https://www.startengine.com/life-scan</t>
  </si>
  <si>
    <t>https://www.sec.gov/Archives/edgar/data/1791721/000166516020000052/xslC_X01/primary_doc.xml</t>
  </si>
  <si>
    <t>Life Imaging Fla, Inc.</t>
  </si>
  <si>
    <t>Atmos Home</t>
  </si>
  <si>
    <t>https://www.startengine.com/atmos-home</t>
  </si>
  <si>
    <t>https://www.sec.gov/Archives/edgar/data/1716903/000166516020000055/xslC_X01/primary_doc.xml</t>
  </si>
  <si>
    <t>Atmos Home Inc.</t>
  </si>
  <si>
    <t>Called Higher Studios</t>
  </si>
  <si>
    <t>https://www.startengine.com/called-higher-studios</t>
  </si>
  <si>
    <t>https://www.sec.gov/Archives/edgar/data/1786874/000166516020000063/xslC_X01/primary_doc.xml</t>
  </si>
  <si>
    <t>Called Higher Studios, Inc.</t>
  </si>
  <si>
    <t>Currency Tracking Technologies</t>
  </si>
  <si>
    <t>https://www.startengine.com/currency-tracking-technologies-llc</t>
  </si>
  <si>
    <t>https://www.sec.gov/Archives/edgar/data/1689361/000166516020000204/xslC_X01/primary_doc.xml</t>
  </si>
  <si>
    <t>Currency Tracking Technologies, LLC</t>
  </si>
  <si>
    <t>Security &amp; Investigations</t>
  </si>
  <si>
    <t>Rhino Hide</t>
  </si>
  <si>
    <t>https://www.startengine.com/rhino-hide-inc</t>
  </si>
  <si>
    <t>https://www.sec.gov/Archives/edgar/data/1744851/000166516020000047/xslC_X01/primary_doc.xml</t>
  </si>
  <si>
    <t>Rhino Hide LLC</t>
  </si>
  <si>
    <t>Rhine Hide</t>
  </si>
  <si>
    <t>Building Materials</t>
  </si>
  <si>
    <t>Megalopolis</t>
  </si>
  <si>
    <t>https://www.startengine.com/megalopolis-city-of-collectibles</t>
  </si>
  <si>
    <t>https://www.sec.gov/Archives/edgar/data/1720886/000166516020000082/xslC_X01/primary_doc.xml</t>
  </si>
  <si>
    <t>Toy Overlord, Inc.</t>
  </si>
  <si>
    <t>Megalopolos</t>
  </si>
  <si>
    <t>Elevate Nutrition</t>
  </si>
  <si>
    <t>https://www.startengine.com/elevate-nutrition</t>
  </si>
  <si>
    <t>https://www.sec.gov/Archives/edgar/data/1791625/000166516020000054/xslC_X01/primary_doc.xml</t>
  </si>
  <si>
    <t>Elevate Nutrition Inc.</t>
  </si>
  <si>
    <t>Smart Soda</t>
  </si>
  <si>
    <t>https://www.startengine.com/smart-soda</t>
  </si>
  <si>
    <t>https://www.sec.gov/Archives/edgar/data/1792706/000166516020000143/xslC_X01/primary_doc.xml</t>
  </si>
  <si>
    <t>SmartSoda Holdings, Inc.</t>
  </si>
  <si>
    <t>The Lieu</t>
  </si>
  <si>
    <t>https://republic.co/the-lieu</t>
  </si>
  <si>
    <t>https://www.sec.gov/Archives/edgar/data/1790042/000179004220000002/xslC_X01/primary_doc.xml</t>
  </si>
  <si>
    <t>Lieu Ltd.</t>
  </si>
  <si>
    <t>Ember Fund</t>
  </si>
  <si>
    <t>https://republic.co/ember-fund</t>
  </si>
  <si>
    <t>https://www.sec.gov/Archives/edgar/data/1783580/000178358020000002/xslC_X01/primary_doc.xml</t>
  </si>
  <si>
    <t>Ember Fund LLC</t>
  </si>
  <si>
    <t>Investmend Management</t>
  </si>
  <si>
    <t>Provenance</t>
  </si>
  <si>
    <t>https://republic.co/provenance</t>
  </si>
  <si>
    <t>https://www.sec.gov/Archives/edgar/data/1789369/000178936920000001/xslC_X01/primary_doc.xml</t>
  </si>
  <si>
    <t>Clee Wellness LLC</t>
  </si>
  <si>
    <t>Individual &amp; Family Services</t>
  </si>
  <si>
    <t>Wandering Barman</t>
  </si>
  <si>
    <t>https://republic.co/wandering-barman</t>
  </si>
  <si>
    <t>https://www.sec.gov/Archives/edgar/data/1706429/000170642920000001/xslC_X01/primary_doc.xml</t>
  </si>
  <si>
    <t>Wandering Barman LLC</t>
  </si>
  <si>
    <t>Apotheka Systems</t>
  </si>
  <si>
    <t>https://fundopolis.com/raisedetails?id=9cb5cc21-8150-4f49-b910-ddd18591159e</t>
  </si>
  <si>
    <t>https://www.sec.gov/Archives/edgar/data/1792908/000164460019000029/xslC_X01/primary_doc.xml</t>
  </si>
  <si>
    <t>Apotheka Systems Inc.</t>
  </si>
  <si>
    <t>Ternio BlockCard</t>
  </si>
  <si>
    <t>https://republic.co/ternio</t>
  </si>
  <si>
    <t>https://www.sec.gov/Archives/edgar/data/1730695/000173069519000005/xslC_X01/primary_doc.xml</t>
  </si>
  <si>
    <t>Ternio, LLC</t>
  </si>
  <si>
    <t>Sweetberry</t>
  </si>
  <si>
    <t>https://republic.co/sweetberry</t>
  </si>
  <si>
    <t>https://www.sec.gov/Archives/edgar/data/1764730/000173069519000004/xslC_X01/primary_doc.xml</t>
  </si>
  <si>
    <t>Sweetberry Holdings LLC</t>
  </si>
  <si>
    <t>Léon &amp; George</t>
  </si>
  <si>
    <t>https://wefunder.com/leonandgeorge</t>
  </si>
  <si>
    <t>https://www.sec.gov/Archives/edgar/data/1788672/000167025419000635/xslC_X01/primary_doc.xml</t>
  </si>
  <si>
    <t>Leon &amp; George, Inc.</t>
  </si>
  <si>
    <t>Leon &amp; George</t>
  </si>
  <si>
    <t>Growing Talent</t>
  </si>
  <si>
    <t>https://republic.co/growing-talent</t>
  </si>
  <si>
    <t>https://www.sec.gov/Archives/edgar/data/1793349/000179334920000001/xslC_X01/primary_doc.xml</t>
  </si>
  <si>
    <t>Growing Talent LLC</t>
  </si>
  <si>
    <t>Pressure Games</t>
  </si>
  <si>
    <t>https://wefunder.com/pressure.games</t>
  </si>
  <si>
    <t>https://www.sec.gov/Archives/edgar/data/1789840/000167025419000610/xslC_X01/primary_doc.xml</t>
  </si>
  <si>
    <t>Pressure Games, Inc.</t>
  </si>
  <si>
    <t>AppApp</t>
  </si>
  <si>
    <t>https://wefunder.com/appappinc</t>
  </si>
  <si>
    <t>https://www.sec.gov/Archives/edgar/data/1776303/000167025419000633/xslC_X01/primary_doc.xml</t>
  </si>
  <si>
    <t>App App, Inc.</t>
  </si>
  <si>
    <t>ChoiceTrade</t>
  </si>
  <si>
    <t>https://wunderfund.co/projects/choicetrade/</t>
  </si>
  <si>
    <t>https://www.sec.gov/Archives/edgar/data/1654300/000165430020000002/xslC_X01/primary_doc.xml</t>
  </si>
  <si>
    <t>ChoiceTrade Holdings, Inc.</t>
  </si>
  <si>
    <t>Journify</t>
  </si>
  <si>
    <t>https://www.razitall.com/pitch/journify-wellbeing-coaching-burnout-prevention</t>
  </si>
  <si>
    <t>https://www.sec.gov/Archives/edgar/data/1794263/000166828719000065/xslC_X01/primary_doc.xml</t>
  </si>
  <si>
    <t>Journify, Inc.</t>
  </si>
  <si>
    <t>Stemsation</t>
  </si>
  <si>
    <t>https://netcapital.com/companies/stemsation</t>
  </si>
  <si>
    <t>https://www.sec.gov/Archives/edgar/data/1398488/000166919120000092/xslC_X01/primary_doc.xml</t>
  </si>
  <si>
    <t>StemSation International, Inc.</t>
  </si>
  <si>
    <t>StemSation</t>
  </si>
  <si>
    <t>Attorney Et Al</t>
  </si>
  <si>
    <t>https://netcapital.com/companies/attorney-et-al</t>
  </si>
  <si>
    <t>https://www.sec.gov/Archives/edgar/data/1787611/000166919120000047/xslC_X01/primary_doc.xml</t>
  </si>
  <si>
    <t>Attorney Et Al, Inc.</t>
  </si>
  <si>
    <t>Legal Services</t>
  </si>
  <si>
    <t>Bee Mortgage App</t>
  </si>
  <si>
    <t>https://fundopolis.com/raisedetails?id=aa091a32-310e-4491-9f4f-ca7a340b643a</t>
  </si>
  <si>
    <t>https://www.sec.gov/Archives/edgar/data/1793384/000164460019000027/xslC_X01/primary_doc.xml</t>
  </si>
  <si>
    <t>Bee Mortgage App, Inc.</t>
  </si>
  <si>
    <t>Peeka VR</t>
  </si>
  <si>
    <t>https://fundopolis.com/raisedetails?id=44bcab46-eae2-4662-acd1-f01b84d958ff</t>
  </si>
  <si>
    <t>https://www.sec.gov/Archives/edgar/data/1794562/000178043920000007/xslC_X01/primary_doc.xml</t>
  </si>
  <si>
    <t>Peeka</t>
  </si>
  <si>
    <t>Blue Top Brand</t>
  </si>
  <si>
    <t>https://www.nextseed.com/offerings/blue-top</t>
  </si>
  <si>
    <t>https://www.sec.gov/Archives/edgar/data/1787976/000178797619000007/xslC_X01/primary_doc.xml</t>
  </si>
  <si>
    <t>7 of Us, LLC</t>
  </si>
  <si>
    <t>LYFETYMES</t>
  </si>
  <si>
    <t>https://wefunder.com/lyfetymes</t>
  </si>
  <si>
    <t>https://www.sec.gov/Archives/edgar/data/1791378/000167025419000617/xslC_X01/primary_doc.xml</t>
  </si>
  <si>
    <t>LT Celebrations LLC</t>
  </si>
  <si>
    <t>Alpha'a</t>
  </si>
  <si>
    <t>https://republic.co/alpha-a</t>
  </si>
  <si>
    <t>https://www.sec.gov/Archives/edgar/data/1794484/000179448420000001/xslC_X01/primary_doc.xml</t>
  </si>
  <si>
    <t>Alpha'a, Inc.</t>
  </si>
  <si>
    <t>Furniture</t>
  </si>
  <si>
    <t>VegasWinners</t>
  </si>
  <si>
    <t>https://www.startengine.com/vegaswinners</t>
  </si>
  <si>
    <t>https://www.sec.gov/Archives/edgar/data/1791125/000166516020000246/xslC_X01/primary_doc.xml</t>
  </si>
  <si>
    <t>VegasWINNERS Inc.</t>
  </si>
  <si>
    <t>XTI Aircraft</t>
  </si>
  <si>
    <t>https://www.startengine.com/xti-aircraft</t>
  </si>
  <si>
    <t>https://www.sec.gov/Archives/edgar/data/1638850/000166516020000244/xslC_X01/primary_doc.xml</t>
  </si>
  <si>
    <t>XTI Aircraft Co</t>
  </si>
  <si>
    <t>Aviation and Aerospace</t>
  </si>
  <si>
    <t>BioCurity Pharmaceuticals</t>
  </si>
  <si>
    <t>https://www.startengine.com/biocurity-pharmaceuticals-inc</t>
  </si>
  <si>
    <t>https://www.sec.gov/Archives/edgar/data/1639681/000166516020000237/xslC_X01/primary_doc.xml</t>
  </si>
  <si>
    <t>BioCurity Pharmaceuticals Inc.</t>
  </si>
  <si>
    <t>Pharmaceuticals</t>
  </si>
  <si>
    <t>Sunu</t>
  </si>
  <si>
    <t>https://republic.co/sunu</t>
  </si>
  <si>
    <t>https://www.sec.gov/Archives/edgar/data/1790092/000179009219000004/xslC_X01/primary_doc.xml</t>
  </si>
  <si>
    <t>Sunu, Inc.</t>
  </si>
  <si>
    <t>Skunk Brothers Spirits</t>
  </si>
  <si>
    <t>https://www.startengine.com/skunk-brothers</t>
  </si>
  <si>
    <t>https://www.sec.gov/Archives/edgar/data/1791683/000166516020000141/xslC_X01/primary_doc.xml</t>
  </si>
  <si>
    <t>Skunk Brothers Spirits Inc.</t>
  </si>
  <si>
    <t>Airemos</t>
  </si>
  <si>
    <t>https://www.startengine.com/airemos</t>
  </si>
  <si>
    <t>https://www.sec.gov/Archives/edgar/data/1662905/000166516019001205/xslC_X01/primary_doc.xml</t>
  </si>
  <si>
    <t>Airemos Corp</t>
  </si>
  <si>
    <t>Cloudastructure</t>
  </si>
  <si>
    <t>https://wefunder.com/cloudastructure</t>
  </si>
  <si>
    <t>https://www.sec.gov/Archives/edgar/data/1709628/000167025419000638/xslC_X01/primary_doc.xml</t>
  </si>
  <si>
    <t>Cloudastructure, Inc.</t>
  </si>
  <si>
    <t>Computer &amp; Network Security</t>
  </si>
  <si>
    <t>SitTight</t>
  </si>
  <si>
    <t>https://www.startengine.com/sittight-inc</t>
  </si>
  <si>
    <t>https://www.sec.gov/Archives/edgar/data/1786194/000166516019001253/xslC_X01/primary_doc.xml</t>
  </si>
  <si>
    <t>SitTight, Inc.</t>
  </si>
  <si>
    <t>PaQuì Tequila</t>
  </si>
  <si>
    <t>https://www.startengine.com/paquitequila</t>
  </si>
  <si>
    <t>https://www.sec.gov/Archives/edgar/data/1790595/000166516020000242/xslC_X01/primary_doc.xml</t>
  </si>
  <si>
    <t>Tequila Holdings, Inc.</t>
  </si>
  <si>
    <t>Commerce.AI</t>
  </si>
  <si>
    <t>https://www.startengine.com/commerceai</t>
  </si>
  <si>
    <t>https://www.sec.gov/Archives/edgar/data/1716174/000166516020000131/xslC_X01/primary_doc.xml</t>
  </si>
  <si>
    <t>Tall Idea Labs, Inc.</t>
  </si>
  <si>
    <t>HARA Flow</t>
  </si>
  <si>
    <t>https://www.startengine.com/hara-flow</t>
  </si>
  <si>
    <t>https://www.sec.gov/Archives/edgar/data/1793635/000166516020000241/xslC_X01/primary_doc.xml</t>
  </si>
  <si>
    <t>HARA Flow Inc.</t>
  </si>
  <si>
    <t>SkillSoniq</t>
  </si>
  <si>
    <t>https://wefunder.com/skillsoniq</t>
  </si>
  <si>
    <t>https://www.sec.gov/Archives/edgar/data/1794075/000167025419000700/xslC_X01/primary_doc.xml</t>
  </si>
  <si>
    <t>SkillSoniq Inc.</t>
  </si>
  <si>
    <t>Rumble Motors</t>
  </si>
  <si>
    <t>https://www.startengine.com/rumblemotors</t>
  </si>
  <si>
    <t>https://www.sec.gov/Archives/edgar/data/1797125/000166516020000254/xslC_X01/primary_doc.xml</t>
  </si>
  <si>
    <t>Rumble Motors, Inc.</t>
  </si>
  <si>
    <t>Prime Lightworks</t>
  </si>
  <si>
    <t>https://www.startengine.com/primelightworks</t>
  </si>
  <si>
    <t>https://www.sec.gov/Archives/edgar/data/1681290/000166516020000240/xslC_X01/primary_doc.xml</t>
  </si>
  <si>
    <t>Prime Lightworks Inc.</t>
  </si>
  <si>
    <t>Defense &amp; Space</t>
  </si>
  <si>
    <t>CompanionCBD</t>
  </si>
  <si>
    <t>https://www.startengine.com/companioncbd</t>
  </si>
  <si>
    <t>https://www.sec.gov/Archives/edgar/data/1794140/000166516019001235/xslC_X01/primary_doc.xml</t>
  </si>
  <si>
    <t>Companion CBD, Inc.</t>
  </si>
  <si>
    <t>Juna</t>
  </si>
  <si>
    <t>https://republic.co/juna</t>
  </si>
  <si>
    <t>https://www.sec.gov/Archives/edgar/data/1796599/000179659919000001/xslC_X01/primary_doc.xml</t>
  </si>
  <si>
    <t>Kind Collection Inc.</t>
  </si>
  <si>
    <t>Rocket Dollar</t>
  </si>
  <si>
    <t>https://republic.co/rocket-dollar</t>
  </si>
  <si>
    <t>https://www.sec.gov/Archives/edgar/data/1769091/000176909119000003/xslC_X01/primary_doc.xml</t>
  </si>
  <si>
    <t>Rocket Dollar Inc.</t>
  </si>
  <si>
    <t>Stareable</t>
  </si>
  <si>
    <t>https://republic.co/stareable</t>
  </si>
  <si>
    <t>https://www.sec.gov/Archives/edgar/data/1691657/000169165719000001/xslC_X01/primary_doc.xml</t>
  </si>
  <si>
    <t>Stareable, Inc.</t>
  </si>
  <si>
    <t>HelloWoofy.com</t>
  </si>
  <si>
    <t>https://republic.co/hellowoofy</t>
  </si>
  <si>
    <t>https://www.sec.gov/Archives/edgar/data/1797650/000155447720000003/xslC_X01/primary_doc.xml</t>
  </si>
  <si>
    <t>Woofy, Inc.</t>
  </si>
  <si>
    <t>Hoop Tea</t>
  </si>
  <si>
    <t>https://wefunder.com/hoop.tea</t>
  </si>
  <si>
    <t>https://www.sec.gov/Archives/edgar/data/1788682/000167025419000710/xslC_X01/primary_doc.xml</t>
  </si>
  <si>
    <t>Hoop Tea, Inc.</t>
  </si>
  <si>
    <t>Nuu Rez</t>
  </si>
  <si>
    <t>https://us.trucrowd.com/equity/offer-summary/NUUREZ</t>
  </si>
  <si>
    <t>https://www.sec.gov/Archives/edgar/data/1796295/000179629520000003/xslC_X01/primary_doc.xml</t>
  </si>
  <si>
    <t>Nuu Rez Inc.</t>
  </si>
  <si>
    <t>NuuRez</t>
  </si>
  <si>
    <t>Stay Cool</t>
  </si>
  <si>
    <t>https://wefunder.com/staycool</t>
  </si>
  <si>
    <t>https://www.sec.gov/Archives/edgar/data/1788203/000167025419000623/xslC_X01/primary_doc.xml</t>
  </si>
  <si>
    <t>Stay Cool Beverages LLC</t>
  </si>
  <si>
    <t>Saberation</t>
  </si>
  <si>
    <t>https://www.mrcrowd.com/company/SAB</t>
  </si>
  <si>
    <t>https://www.sec.gov/Archives/edgar/data/1767636/000166610219000034/xslC_X01/primary_doc.xml</t>
  </si>
  <si>
    <t>Saberation Inc.</t>
  </si>
  <si>
    <t>Saberation (SAB)</t>
  </si>
  <si>
    <t>Coinseed</t>
  </si>
  <si>
    <t>https://www.mrcrowd.com/company/CS</t>
  </si>
  <si>
    <t>https://www.sec.gov/Archives/edgar/data/1760049/000166610220000004/xslC_X01/primary_doc.xml</t>
  </si>
  <si>
    <t>Coinseed, Inc.</t>
  </si>
  <si>
    <t>Capital Markets</t>
  </si>
  <si>
    <t>Acciyo</t>
  </si>
  <si>
    <t>https://republic.co/acciyo</t>
  </si>
  <si>
    <t>https://www.sec.gov/Archives/edgar/data/1736423/000173642320000005/xslC_X01/primary_doc.xml</t>
  </si>
  <si>
    <t>Acciyo, Inc.</t>
  </si>
  <si>
    <t>Amplified Ale Works</t>
  </si>
  <si>
    <t>https://wefunder.com/amplified.ale.works</t>
  </si>
  <si>
    <t>https://www.sec.gov/Archives/edgar/data/1794073/000167025420000036/xslC_X01/primary_doc.xml</t>
  </si>
  <si>
    <t>California Kebab PB Restaurant LLC</t>
  </si>
  <si>
    <t>Elite Amateur Fight League</t>
  </si>
  <si>
    <t>https://wefunder.com/eliteamateurfightleague</t>
  </si>
  <si>
    <t>https://www.sec.gov/Archives/edgar/data/1795240/000167025420000021/xslC_X01/primary_doc.xml</t>
  </si>
  <si>
    <t>Elite Amateur Flight League, Inc.</t>
  </si>
  <si>
    <t>Elite Amateur Flight League</t>
  </si>
  <si>
    <t>Sinusave</t>
  </si>
  <si>
    <t>https://www.razitall.com/pitch/sinusave-the-drug-free-nasal-congestion-solution</t>
  </si>
  <si>
    <t>https://www.sec.gov/Archives/edgar/data/1763323/000166828720000003/xslC_X01/primary_doc.xml</t>
  </si>
  <si>
    <t>Actual Natural Health and Wellness Products, Inc.</t>
  </si>
  <si>
    <t>FlowerBee Group</t>
  </si>
  <si>
    <t>https://fundanna.com/equity/offer-summary/FlowerBee</t>
  </si>
  <si>
    <t>https://www.sec.gov/Archives/edgar/data/1792640/000179264020000003/xslC_X01/primary_doc.xml</t>
  </si>
  <si>
    <t>Flowerbee Group, Inc.</t>
  </si>
  <si>
    <t>FlowerBee Group Inc.</t>
  </si>
  <si>
    <t>Plei</t>
  </si>
  <si>
    <t>https://republic.co/plei</t>
  </si>
  <si>
    <t>https://www.sec.gov/Archives/edgar/data/1700943/000170094320000001/xslC_X01/primary_doc.xml</t>
  </si>
  <si>
    <t>Plei, Inc.</t>
  </si>
  <si>
    <t>A Boring Life</t>
  </si>
  <si>
    <t>https://republic.co/a-boring-life</t>
  </si>
  <si>
    <t>https://www.sec.gov/Archives/edgar/data/1785115/000178511520000001/xslC_X01/primary_doc.xml</t>
  </si>
  <si>
    <t>Boring Life Inc.</t>
  </si>
  <si>
    <t>CannTrade</t>
  </si>
  <si>
    <t>https://app.microventures.com/crowdfunding/canntrade</t>
  </si>
  <si>
    <t>https://www.sec.gov/Archives/edgar/data/1795289/000179528920000003/xslC_X01/primary_doc.xml</t>
  </si>
  <si>
    <t>Trimpakt, Inc.</t>
  </si>
  <si>
    <t>The Fantasy Network</t>
  </si>
  <si>
    <t>https://www.startengine.com/the-fantasy-network</t>
  </si>
  <si>
    <t>https://www.sec.gov/Archives/edgar/data/1786858/000166516020000211/xslC_X01/primary_doc.xml</t>
  </si>
  <si>
    <t>The Fantasy Network Corporation</t>
  </si>
  <si>
    <t>Neurohacker Collective</t>
  </si>
  <si>
    <t>https://wefunder.com/neurohacker</t>
  </si>
  <si>
    <t>https://www.sec.gov/Archives/edgar/data/1707359/000167025420000048/xslC_X01/primary_doc.xml</t>
  </si>
  <si>
    <t>Neurohacker Collective, LLC</t>
  </si>
  <si>
    <t>Aviana Holdings</t>
  </si>
  <si>
    <t>https://fundopolis.com/raisedetails?id=cbd77d5a-d358-47c1-ba0a-d9165d6cd793</t>
  </si>
  <si>
    <t>https://www.sec.gov/Archives/edgar/data/1798296/000178043920000003/xslC_X01/primary_doc.xml</t>
  </si>
  <si>
    <t>Aviana Holdings Inc.</t>
  </si>
  <si>
    <t>Kansas City Breweries &amp; Beverage Company</t>
  </si>
  <si>
    <t>https://fundopolis.com/raisedetails?id=9906f30b-dcb2-40ac-8596-68cb26e04b34</t>
  </si>
  <si>
    <t>https://www.sec.gov/Archives/edgar/data/1737259/000178043920000001/xslC_X01/primary_doc.xml</t>
  </si>
  <si>
    <t>Kansas City Breweries Co LLC</t>
  </si>
  <si>
    <t>Edison Golf Company</t>
  </si>
  <si>
    <t>https://www.nextseed.com/offerings/edison-golf</t>
  </si>
  <si>
    <t>https://www.sec.gov/Archives/edgar/data/1796532/000179653220000002/xslC_X01/primary_doc.xml</t>
  </si>
  <si>
    <t>Edison Golf Co.</t>
  </si>
  <si>
    <t>OuiPlease</t>
  </si>
  <si>
    <t>https://www.startengine.com/ouipleasebox</t>
  </si>
  <si>
    <t>https://www.sec.gov/Archives/edgar/data/1794083/000166516020000065/xslC_X01/primary_doc.xml</t>
  </si>
  <si>
    <t>My French Connection, Inc.</t>
  </si>
  <si>
    <t>QuiPlease</t>
  </si>
  <si>
    <t>Mammalz</t>
  </si>
  <si>
    <t>https://wefunder.com/mammalz</t>
  </si>
  <si>
    <t>https://www.sec.gov/Archives/edgar/data/1800216/000167025420000026/xslC_X01/primary_doc.xml</t>
  </si>
  <si>
    <t>Mammalz, PBC</t>
  </si>
  <si>
    <t>Proper Good</t>
  </si>
  <si>
    <t>https://wefunder.com/eatpropergood</t>
  </si>
  <si>
    <t>https://www.sec.gov/Archives/edgar/data/1797607/000167025420000046/xslC_X01/primary_doc.xml</t>
  </si>
  <si>
    <t>Proper Good Inc.</t>
  </si>
  <si>
    <t>Fashwire</t>
  </si>
  <si>
    <t>https://republic.co/fashwire</t>
  </si>
  <si>
    <t>https://www.sec.gov/Archives/edgar/data/1794960/000179496020000001/xslC_X01/primary_doc.xml</t>
  </si>
  <si>
    <t>Fashwire Inc.</t>
  </si>
  <si>
    <t>Dispatch Goods</t>
  </si>
  <si>
    <t>https://republic.co/dispatch-goods</t>
  </si>
  <si>
    <t>https://www.sec.gov/Archives/edgar/data/1799973/000179997320000001/xslC_X01/primary_doc.xml</t>
  </si>
  <si>
    <t>Dispatch Goods, Inc.</t>
  </si>
  <si>
    <t>Package/Freight Delivery</t>
  </si>
  <si>
    <t>SONDORS Electric Car Company</t>
  </si>
  <si>
    <t>https://www.startengine.com/sondors-electric-car-company</t>
  </si>
  <si>
    <t>https://www.sec.gov/Archives/edgar/data/1683872/000166516020000186/xslC_X01/primary_doc.xml</t>
  </si>
  <si>
    <t>SoKO</t>
  </si>
  <si>
    <t>https://www.startengine.com/soko</t>
  </si>
  <si>
    <t>https://www.sec.gov/Archives/edgar/data/1801449/000166516020000075/xslC_X01/primary_doc.xml</t>
  </si>
  <si>
    <t>Soko Group, Inc.</t>
  </si>
  <si>
    <t>Franny's Manufacturing</t>
  </si>
  <si>
    <t>https://www.startengine.com/frannys-manufacturing</t>
  </si>
  <si>
    <t>https://www.sec.gov/Archives/edgar/data/1801855/000166516020000071/xslC_X01/primary_doc.xml</t>
  </si>
  <si>
    <t>Franny's Manufacturing Inc.</t>
  </si>
  <si>
    <t>Yae! Organics</t>
  </si>
  <si>
    <t>https://www.startengine.com/yae-organics</t>
  </si>
  <si>
    <t>https://www.sec.gov/Archives/edgar/data/1799227/000166516020000079/xslC_X01/primary_doc.xml</t>
  </si>
  <si>
    <t>Yae! Organics Inc.</t>
  </si>
  <si>
    <t>Pure Green Franchise</t>
  </si>
  <si>
    <t>https://republic.co/puregreen</t>
  </si>
  <si>
    <t>https://www.sec.gov/Archives/edgar/data/1801610/000180161020000002/xslC_X01/primary_doc.xml</t>
  </si>
  <si>
    <t>Pure Green Franchise Corp.</t>
  </si>
  <si>
    <t>The Greatest Adventure on Earth</t>
  </si>
  <si>
    <t>https://wefunder.com/the.greatest.adventure.on.earth</t>
  </si>
  <si>
    <t>https://www.sec.gov/Archives/edgar/data/1796093/000167025420000014/xslC_X01/primary_doc.xml</t>
  </si>
  <si>
    <t>The Greatest Adventures On Earth, LLC</t>
  </si>
  <si>
    <t>The Greatest Adventure On Earth</t>
  </si>
  <si>
    <t>Soar.com</t>
  </si>
  <si>
    <t>https://wefunder.com/soar</t>
  </si>
  <si>
    <t>https://www.sec.gov/Archives/edgar/data/1800456/000167025420000050/xslC_X01/primary_doc.xml</t>
  </si>
  <si>
    <t>Strengths, Inc.</t>
  </si>
  <si>
    <t>Zanbazan</t>
  </si>
  <si>
    <t>https://www.nextseed.com/offerings/zanbazan</t>
  </si>
  <si>
    <t>https://www.sec.gov/Archives/edgar/data/1785626/000178562620000004/xslC_X01/primary_doc.xml</t>
  </si>
  <si>
    <t>Zanbazan, LLC</t>
  </si>
  <si>
    <t>Pacific Integrated Energy</t>
  </si>
  <si>
    <t>https://www.startengine.com/pienergy</t>
  </si>
  <si>
    <t>https://www.sec.gov/Archives/edgar/data/1478985/000166516020000172/xslC_X01/primary_doc.xml</t>
  </si>
  <si>
    <t>Pacific Integrated Energy, Inc.</t>
  </si>
  <si>
    <t>PI Energy</t>
  </si>
  <si>
    <t>Delsure Health Insurance</t>
  </si>
  <si>
    <t>https://wefunder.com/delsure.health.insurance</t>
  </si>
  <si>
    <t>https://www.sec.gov/Archives/edgar/data/1767003/000167025420000041/xslC_X01/primary_doc.xml</t>
  </si>
  <si>
    <t>Delsure Health Insurance, Inc.</t>
  </si>
  <si>
    <t>Delsure</t>
  </si>
  <si>
    <t>Everydae</t>
  </si>
  <si>
    <t>https://wefunder.com/everydae</t>
  </si>
  <si>
    <t>https://www.sec.gov/Archives/edgar/data/1800770/000167025420000065/xslC_X01/primary_doc.xml</t>
  </si>
  <si>
    <t>Learn with ORION LLC</t>
  </si>
  <si>
    <t>Deuce Drone</t>
  </si>
  <si>
    <t>https://netcapital.com/companies/deuce-drone</t>
  </si>
  <si>
    <t>https://www.sec.gov/Archives/edgar/data/1802762/000166919120000045/xslC_X01/primary_doc.xml</t>
  </si>
  <si>
    <t>Deuce Drone LLC</t>
  </si>
  <si>
    <t>Logistics &amp; Supply Chain</t>
  </si>
  <si>
    <t>ThoughtFull Toys Inc.</t>
  </si>
  <si>
    <t>https://www.startengine.com/thoughtfull-toys-inc</t>
  </si>
  <si>
    <t>https://www.sec.gov/Archives/edgar/data/1585681/000166516020000109/xslC_X01/primary_doc.xml</t>
  </si>
  <si>
    <t>Thoughtfull Toys, Inc.</t>
  </si>
  <si>
    <t>ThoughtFull Toys</t>
  </si>
  <si>
    <t>GoBQ Grills, Inc.</t>
  </si>
  <si>
    <t>https://www.startengine.com/gobq-grills</t>
  </si>
  <si>
    <t>https://www.sec.gov/Archives/edgar/data/1800755/000166516020000114/xslC_X01/primary_doc.xml</t>
  </si>
  <si>
    <t>GoBQ Grills</t>
  </si>
  <si>
    <t>Galactic Adventures</t>
  </si>
  <si>
    <t>https://wefunder.com/galacticadventures</t>
  </si>
  <si>
    <t>https://www.sec.gov/Archives/edgar/data/1800826/000167025420000107/xslC_X01/primary_doc.xml</t>
  </si>
  <si>
    <t>Galactic Adventures, Inc.</t>
  </si>
  <si>
    <t>American 7s Football League</t>
  </si>
  <si>
    <t>https://www.startengine.com/a7fl</t>
  </si>
  <si>
    <t>https://www.sec.gov/Archives/edgar/data/1803721/000180372120000002/xslC_X01/primary_doc.xml</t>
  </si>
  <si>
    <t>A7FL Inc.</t>
  </si>
  <si>
    <t>Chicas Tacos</t>
  </si>
  <si>
    <t>https://www.startengine.com/chicastacos</t>
  </si>
  <si>
    <t>https://www.sec.gov/Archives/edgar/data/1803728/000166516020000195/xslC_X01/primary_doc.xml</t>
  </si>
  <si>
    <t>Chicas Tacos Holdings, Inc.</t>
  </si>
  <si>
    <t>Mamie's Pies</t>
  </si>
  <si>
    <t>https://www.startengine.com/mamiespies</t>
  </si>
  <si>
    <t>https://www.sec.gov/Archives/edgar/data/1803730/000166516020000177/xslC_X01/primary_doc.xml</t>
  </si>
  <si>
    <t>Mamie's Pies, Inc.</t>
  </si>
  <si>
    <t>ClimateCase</t>
  </si>
  <si>
    <t>https://www.startengine.com/climatecase</t>
  </si>
  <si>
    <t>https://www.sec.gov/Archives/edgar/data/1804772/000166516020000184/xslC_X01/primary_doc.xml</t>
  </si>
  <si>
    <t>Coastal ClimateCase, Inc.</t>
  </si>
  <si>
    <t>Fuchsia Shoes</t>
  </si>
  <si>
    <t>https://wefunder.com/fuchsia.shoes</t>
  </si>
  <si>
    <t>https://www.sec.gov/Archives/edgar/data/1800827/000167025420000071/xslC_X01/primary_doc.xml</t>
  </si>
  <si>
    <t>Fuchsia Shoes Inc.</t>
  </si>
  <si>
    <t>Citizen Armor</t>
  </si>
  <si>
    <t>https://www.mrcrowd.com/company/TAC</t>
  </si>
  <si>
    <t>https://www.sec.gov/Archives/edgar/data/1741462/000166610220000002/xslC_X01/primary_doc.xml</t>
  </si>
  <si>
    <t>Armored Citizen, LLC</t>
  </si>
  <si>
    <t>Vibravision</t>
  </si>
  <si>
    <t>https://www.mrcrowd.com/company/VBR</t>
  </si>
  <si>
    <t>https://www.sec.gov/Archives/edgar/data/1748253/000166610219000029/xslC_X01/primary_doc.xml</t>
  </si>
  <si>
    <t>Vibravision, LLC</t>
  </si>
  <si>
    <t>Social5</t>
  </si>
  <si>
    <t>https://www.mrcrowd.com/company/SOC</t>
  </si>
  <si>
    <t>https://www.sec.gov/Archives/edgar/data/1758447/000166610220000001/xslC_X01/primary_doc.xml</t>
  </si>
  <si>
    <t>Social5, LLC</t>
  </si>
  <si>
    <t>ZAMii</t>
  </si>
  <si>
    <t>https://www.razitall.com/pitch/zamii-clean-cleaning-americas-carpets-upholstery</t>
  </si>
  <si>
    <t>https://www.sec.gov/Archives/edgar/data/1742800/000166828719000051/xslC_X01/primary_doc.xml</t>
  </si>
  <si>
    <t>Zamii Clean USA Carpet and Upholstery Cleaning Corp.</t>
  </si>
  <si>
    <t>ZAMii Clean Cleaning Americas Carpets &amp; Upholstery</t>
  </si>
  <si>
    <t>Bum Butt Corporation</t>
  </si>
  <si>
    <t>https://www.razitall.com/pitch/bum-butt-wipes-container</t>
  </si>
  <si>
    <t>https://www.sec.gov/Archives/edgar/data/1740066/000166828719000036/xslC_X01/primary_doc.xml</t>
  </si>
  <si>
    <t>Bum Butt Wipes &amp; Container</t>
  </si>
  <si>
    <t>Lyons Ave Renaissance</t>
  </si>
  <si>
    <t>https://buytheblock.com/campaign/buying-the-block-in-historic-5th-ward-houston</t>
  </si>
  <si>
    <t>https://www.sec.gov/Archives/edgar/data/1796828/000179682820000002/xslC_X01/primary_doc.xml</t>
  </si>
  <si>
    <t>3204 Lyons Avenue LLC</t>
  </si>
  <si>
    <t>BitiCar</t>
  </si>
  <si>
    <t>https://crowdsourcefunded.com/offerings/14/cycles/14</t>
  </si>
  <si>
    <t>https://www.sec.gov/Archives/edgar/data/1780452/000178045220000001/xslC_X01/primary_doc.xml</t>
  </si>
  <si>
    <t>Globocoin 1, LLC</t>
  </si>
  <si>
    <t>Geoship</t>
  </si>
  <si>
    <t>https://www.startengine.com/geoship</t>
  </si>
  <si>
    <t>https://www.sec.gov/Archives/edgar/data/1626196/000166516020000157/xslC_X01/primary_doc.xml</t>
  </si>
  <si>
    <t>Geoship SPC</t>
  </si>
  <si>
    <t>LiquidPiston</t>
  </si>
  <si>
    <t>https://www.startengine.com/liquidpiston</t>
  </si>
  <si>
    <t>https://www.sec.gov/Archives/edgar/data/1446275/000166516020000007/xslC_X01/primary_doc.xml</t>
  </si>
  <si>
    <t>LiquidPiston, LLC</t>
  </si>
  <si>
    <t>Oracle Health</t>
  </si>
  <si>
    <t>https://app.microventures.com/crowdfunding/oracle-health</t>
  </si>
  <si>
    <t>https://www.sec.gov/Archives/edgar/data/1777274/000177727420000004/xslC_X01/primary_doc.xml</t>
  </si>
  <si>
    <t>Oracle Health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</si>
</sst>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&quot;$&quot;#,##0"/>
    <numFmt numFmtId="166" formatCode="0.0%"/>
    <numFmt numFmtId="167" formatCode="mm/dd/yyyy\ h:mm\ AM/PM"/>
    <numFmt numFmtId="168" formatCode="mm/dd/yyyy"/>
    <numFmt numFmtId="169" formatCode="#,##0.0"/>
    <numFmt numFmtId="171" formatCode="m/d/yy"/>
    <numFmt numFmtId="172" formatCode="m/d/yyyy\ h:mm\ AM/PM"/>
    <numFmt numFmtId="173" formatCode="mm\-dd\-yyyy"/>
  </numFmts>
  <fonts count="29"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Roboto"/>
    </font>
    <font>
      <u/>
      <sz val="10"/>
      <color rgb="FF000000"/>
      <name val="Arial"/>
      <family val="2"/>
    </font>
    <font>
      <b/>
      <sz val="10"/>
      <name val="Arial"/>
      <family val="2"/>
    </font>
    <font>
      <u/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sz val="11"/>
      <name val="Arial"/>
      <family val="2"/>
    </font>
    <font>
      <b/>
      <sz val="11"/>
      <color rgb="FFCCCCCC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b/>
      <u/>
      <sz val="10"/>
      <color rgb="FF0000FF"/>
      <name val="Arial"/>
      <family val="2"/>
    </font>
    <font>
      <u/>
      <sz val="10"/>
      <color rgb="FF000000"/>
      <name val="Arial"/>
      <family val="2"/>
    </font>
    <font>
      <sz val="10"/>
      <color rgb="FFCCCCCC"/>
      <name val="Arial"/>
      <family val="2"/>
    </font>
    <font>
      <b/>
      <sz val="14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u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81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4" fontId="2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vertical="center"/>
    </xf>
    <xf numFmtId="164" fontId="5" fillId="0" borderId="0" xfId="0" applyNumberFormat="1" applyFont="1"/>
    <xf numFmtId="165" fontId="2" fillId="2" borderId="0" xfId="0" applyNumberFormat="1" applyFont="1" applyFill="1" applyAlignment="1">
      <alignment vertical="center"/>
    </xf>
    <xf numFmtId="9" fontId="2" fillId="2" borderId="0" xfId="0" applyNumberFormat="1" applyFont="1" applyFill="1" applyAlignment="1">
      <alignment vertical="center"/>
    </xf>
    <xf numFmtId="166" fontId="2" fillId="2" borderId="0" xfId="0" applyNumberFormat="1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5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>
      <alignment horizontal="left" vertical="center"/>
    </xf>
    <xf numFmtId="0" fontId="1" fillId="0" borderId="0" xfId="0" applyFont="1" applyAlignment="1"/>
    <xf numFmtId="0" fontId="3" fillId="2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4" fontId="3" fillId="2" borderId="0" xfId="0" applyNumberFormat="1" applyFont="1" applyFill="1" applyAlignment="1">
      <alignment vertical="center"/>
    </xf>
    <xf numFmtId="10" fontId="3" fillId="2" borderId="0" xfId="0" applyNumberFormat="1" applyFont="1" applyFill="1" applyAlignment="1">
      <alignment vertical="center"/>
    </xf>
    <xf numFmtId="165" fontId="3" fillId="2" borderId="0" xfId="0" applyNumberFormat="1" applyFont="1" applyFill="1" applyAlignment="1">
      <alignment vertical="center"/>
    </xf>
    <xf numFmtId="9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49" fontId="5" fillId="0" borderId="0" xfId="0" applyNumberFormat="1" applyFont="1" applyAlignment="1"/>
    <xf numFmtId="164" fontId="5" fillId="0" borderId="0" xfId="0" applyNumberFormat="1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167" fontId="6" fillId="0" borderId="0" xfId="0" applyNumberFormat="1" applyFont="1" applyAlignment="1">
      <alignment horizontal="right"/>
    </xf>
    <xf numFmtId="0" fontId="7" fillId="0" borderId="0" xfId="0" applyFont="1" applyAlignment="1"/>
    <xf numFmtId="14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10" fontId="6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8" fillId="3" borderId="0" xfId="0" applyFont="1" applyFill="1" applyAlignment="1"/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3" borderId="0" xfId="0" applyFont="1" applyFill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/>
    <xf numFmtId="0" fontId="1" fillId="0" borderId="0" xfId="0" applyFont="1" applyAlignment="1"/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165" fontId="5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left"/>
    </xf>
    <xf numFmtId="0" fontId="6" fillId="0" borderId="0" xfId="0" applyFont="1" applyAlignment="1"/>
    <xf numFmtId="0" fontId="9" fillId="0" borderId="0" xfId="0" applyFont="1" applyAlignment="1"/>
    <xf numFmtId="4" fontId="1" fillId="0" borderId="0" xfId="0" applyNumberFormat="1" applyFont="1" applyAlignment="1"/>
    <xf numFmtId="10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10" fillId="0" borderId="0" xfId="0" applyFont="1" applyAlignment="1"/>
    <xf numFmtId="165" fontId="1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/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/>
    <xf numFmtId="0" fontId="5" fillId="0" borderId="0" xfId="0" quotePrefix="1" applyFont="1" applyAlignment="1"/>
    <xf numFmtId="1" fontId="5" fillId="0" borderId="0" xfId="0" applyNumberFormat="1" applyFont="1" applyAlignment="1"/>
    <xf numFmtId="49" fontId="5" fillId="0" borderId="0" xfId="0" applyNumberFormat="1" applyFont="1" applyAlignment="1">
      <alignment horizontal="left"/>
    </xf>
    <xf numFmtId="3" fontId="5" fillId="0" borderId="0" xfId="0" applyNumberFormat="1" applyFont="1" applyAlignment="1"/>
    <xf numFmtId="0" fontId="5" fillId="0" borderId="0" xfId="0" applyFont="1" applyAlignment="1">
      <alignment horizontal="left"/>
    </xf>
    <xf numFmtId="167" fontId="1" fillId="0" borderId="0" xfId="0" applyNumberFormat="1" applyFont="1" applyAlignment="1"/>
    <xf numFmtId="14" fontId="6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0" xfId="0" applyFont="1" applyAlignment="1"/>
    <xf numFmtId="1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10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12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0" xfId="0" applyFont="1" applyAlignment="1"/>
    <xf numFmtId="167" fontId="1" fillId="0" borderId="0" xfId="0" applyNumberFormat="1" applyFont="1" applyAlignment="1">
      <alignment horizontal="right"/>
    </xf>
    <xf numFmtId="0" fontId="13" fillId="0" borderId="0" xfId="0" applyFont="1" applyAlignment="1"/>
    <xf numFmtId="168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2" fillId="2" borderId="1" xfId="0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vertical="center"/>
    </xf>
    <xf numFmtId="2" fontId="2" fillId="5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10" fontId="1" fillId="0" borderId="0" xfId="0" applyNumberFormat="1" applyFont="1" applyAlignment="1">
      <alignment horizontal="right"/>
    </xf>
    <xf numFmtId="0" fontId="5" fillId="2" borderId="1" xfId="0" applyFont="1" applyFill="1" applyBorder="1"/>
    <xf numFmtId="164" fontId="14" fillId="0" borderId="1" xfId="0" applyNumberFormat="1" applyFont="1" applyBorder="1" applyAlignment="1">
      <alignment horizontal="right"/>
    </xf>
    <xf numFmtId="164" fontId="15" fillId="0" borderId="1" xfId="0" applyNumberFormat="1" applyFont="1" applyBorder="1" applyAlignment="1">
      <alignment horizontal="right"/>
    </xf>
    <xf numFmtId="164" fontId="15" fillId="0" borderId="1" xfId="0" applyNumberFormat="1" applyFont="1" applyBorder="1" applyAlignment="1">
      <alignment horizontal="right"/>
    </xf>
    <xf numFmtId="164" fontId="14" fillId="6" borderId="1" xfId="0" applyNumberFormat="1" applyFont="1" applyFill="1" applyBorder="1" applyAlignment="1">
      <alignment horizontal="right"/>
    </xf>
    <xf numFmtId="0" fontId="14" fillId="0" borderId="1" xfId="0" applyFont="1" applyBorder="1" applyAlignment="1">
      <alignment horizontal="right"/>
    </xf>
    <xf numFmtId="166" fontId="14" fillId="0" borderId="1" xfId="0" applyNumberFormat="1" applyFont="1" applyBorder="1" applyAlignment="1">
      <alignment horizontal="right"/>
    </xf>
    <xf numFmtId="169" fontId="14" fillId="0" borderId="1" xfId="0" applyNumberFormat="1" applyFont="1" applyBorder="1" applyAlignment="1">
      <alignment horizontal="right"/>
    </xf>
    <xf numFmtId="164" fontId="14" fillId="2" borderId="1" xfId="0" applyNumberFormat="1" applyFont="1" applyFill="1" applyBorder="1" applyAlignment="1">
      <alignment horizontal="right"/>
    </xf>
    <xf numFmtId="164" fontId="14" fillId="6" borderId="1" xfId="0" applyNumberFormat="1" applyFont="1" applyFill="1" applyBorder="1" applyAlignment="1">
      <alignment horizontal="right"/>
    </xf>
    <xf numFmtId="164" fontId="14" fillId="0" borderId="1" xfId="0" applyNumberFormat="1" applyFont="1" applyBorder="1" applyAlignment="1"/>
    <xf numFmtId="164" fontId="14" fillId="0" borderId="1" xfId="0" applyNumberFormat="1" applyFont="1" applyBorder="1" applyAlignment="1"/>
    <xf numFmtId="164" fontId="14" fillId="2" borderId="1" xfId="0" applyNumberFormat="1" applyFont="1" applyFill="1" applyBorder="1" applyAlignment="1"/>
    <xf numFmtId="164" fontId="14" fillId="6" borderId="1" xfId="0" applyNumberFormat="1" applyFont="1" applyFill="1" applyBorder="1" applyAlignment="1"/>
    <xf numFmtId="0" fontId="14" fillId="0" borderId="1" xfId="0" applyFont="1" applyBorder="1" applyAlignment="1"/>
    <xf numFmtId="9" fontId="14" fillId="0" borderId="1" xfId="0" applyNumberFormat="1" applyFont="1" applyBorder="1" applyAlignment="1"/>
    <xf numFmtId="0" fontId="14" fillId="0" borderId="1" xfId="0" applyFont="1" applyBorder="1" applyAlignment="1"/>
    <xf numFmtId="164" fontId="14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0" fontId="14" fillId="0" borderId="1" xfId="0" applyNumberFormat="1" applyFont="1" applyBorder="1" applyAlignment="1">
      <alignment horizontal="right"/>
    </xf>
    <xf numFmtId="164" fontId="16" fillId="0" borderId="1" xfId="0" applyNumberFormat="1" applyFont="1" applyBorder="1" applyAlignment="1">
      <alignment horizontal="right"/>
    </xf>
    <xf numFmtId="164" fontId="16" fillId="0" borderId="1" xfId="0" applyNumberFormat="1" applyFont="1" applyBorder="1" applyAlignment="1">
      <alignment horizontal="right"/>
    </xf>
    <xf numFmtId="0" fontId="10" fillId="2" borderId="1" xfId="0" applyFont="1" applyFill="1" applyBorder="1" applyAlignment="1">
      <alignment horizontal="center"/>
    </xf>
    <xf numFmtId="164" fontId="17" fillId="6" borderId="1" xfId="0" applyNumberFormat="1" applyFont="1" applyFill="1" applyBorder="1" applyAlignment="1"/>
    <xf numFmtId="9" fontId="17" fillId="0" borderId="1" xfId="0" applyNumberFormat="1" applyFont="1" applyBorder="1" applyAlignment="1"/>
    <xf numFmtId="0" fontId="14" fillId="0" borderId="1" xfId="0" applyFont="1" applyBorder="1" applyAlignment="1">
      <alignment horizontal="right"/>
    </xf>
    <xf numFmtId="0" fontId="17" fillId="0" borderId="1" xfId="0" applyFont="1" applyBorder="1" applyAlignment="1"/>
    <xf numFmtId="0" fontId="5" fillId="0" borderId="1" xfId="0" applyFont="1" applyBorder="1"/>
    <xf numFmtId="0" fontId="5" fillId="2" borderId="1" xfId="0" applyFont="1" applyFill="1" applyBorder="1" applyAlignment="1"/>
    <xf numFmtId="169" fontId="18" fillId="7" borderId="2" xfId="0" applyNumberFormat="1" applyFont="1" applyFill="1" applyBorder="1" applyAlignment="1">
      <alignment horizontal="center" vertical="center"/>
    </xf>
    <xf numFmtId="0" fontId="19" fillId="0" borderId="0" xfId="0" applyFont="1" applyAlignment="1"/>
    <xf numFmtId="0" fontId="19" fillId="0" borderId="0" xfId="0" applyFont="1" applyAlignment="1">
      <alignment horizontal="right"/>
    </xf>
    <xf numFmtId="167" fontId="19" fillId="0" borderId="0" xfId="0" applyNumberFormat="1" applyFont="1" applyAlignment="1">
      <alignment horizontal="right"/>
    </xf>
    <xf numFmtId="0" fontId="19" fillId="0" borderId="0" xfId="0" applyFont="1" applyAlignment="1"/>
    <xf numFmtId="0" fontId="20" fillId="0" borderId="0" xfId="0" applyFont="1" applyAlignment="1"/>
    <xf numFmtId="14" fontId="19" fillId="0" borderId="0" xfId="0" applyNumberFormat="1" applyFont="1" applyAlignment="1">
      <alignment horizontal="right"/>
    </xf>
    <xf numFmtId="0" fontId="19" fillId="0" borderId="0" xfId="0" applyFont="1" applyAlignment="1"/>
    <xf numFmtId="4" fontId="19" fillId="0" borderId="0" xfId="0" applyNumberFormat="1" applyFont="1" applyAlignment="1"/>
    <xf numFmtId="10" fontId="19" fillId="0" borderId="0" xfId="0" applyNumberFormat="1" applyFont="1" applyAlignment="1"/>
    <xf numFmtId="165" fontId="19" fillId="0" borderId="0" xfId="0" applyNumberFormat="1" applyFont="1" applyAlignment="1">
      <alignment horizontal="right"/>
    </xf>
    <xf numFmtId="165" fontId="19" fillId="0" borderId="0" xfId="0" applyNumberFormat="1" applyFont="1" applyAlignment="1"/>
    <xf numFmtId="9" fontId="19" fillId="0" borderId="0" xfId="0" applyNumberFormat="1" applyFont="1" applyAlignment="1"/>
    <xf numFmtId="165" fontId="19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21" fillId="0" borderId="0" xfId="0" applyFont="1" applyAlignment="1"/>
    <xf numFmtId="168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0" fontId="19" fillId="2" borderId="0" xfId="0" applyFont="1" applyFill="1" applyAlignment="1"/>
    <xf numFmtId="0" fontId="19" fillId="0" borderId="0" xfId="0" applyFont="1" applyAlignment="1">
      <alignment horizontal="right"/>
    </xf>
    <xf numFmtId="0" fontId="19" fillId="2" borderId="0" xfId="0" applyFont="1" applyFill="1" applyAlignment="1"/>
    <xf numFmtId="2" fontId="19" fillId="0" borderId="0" xfId="0" applyNumberFormat="1" applyFont="1" applyAlignment="1"/>
    <xf numFmtId="164" fontId="19" fillId="0" borderId="0" xfId="0" applyNumberFormat="1" applyFont="1" applyAlignment="1"/>
    <xf numFmtId="10" fontId="1" fillId="0" borderId="0" xfId="0" applyNumberFormat="1" applyFont="1" applyAlignment="1">
      <alignment horizontal="right"/>
    </xf>
    <xf numFmtId="164" fontId="19" fillId="6" borderId="0" xfId="0" applyNumberFormat="1" applyFont="1" applyFill="1" applyAlignment="1"/>
    <xf numFmtId="0" fontId="5" fillId="0" borderId="0" xfId="0" applyFont="1" applyAlignment="1">
      <alignment horizontal="left"/>
    </xf>
    <xf numFmtId="169" fontId="19" fillId="0" borderId="0" xfId="0" applyNumberFormat="1" applyFont="1" applyAlignment="1"/>
    <xf numFmtId="164" fontId="19" fillId="2" borderId="0" xfId="0" applyNumberFormat="1" applyFont="1" applyFill="1" applyAlignment="1"/>
    <xf numFmtId="0" fontId="1" fillId="0" borderId="0" xfId="0" applyFont="1" applyAlignment="1">
      <alignment horizontal="left"/>
    </xf>
    <xf numFmtId="164" fontId="19" fillId="7" borderId="0" xfId="0" applyNumberFormat="1" applyFont="1" applyFill="1" applyAlignment="1"/>
    <xf numFmtId="0" fontId="6" fillId="0" borderId="0" xfId="0" applyFont="1" applyAlignment="1"/>
    <xf numFmtId="4" fontId="6" fillId="0" borderId="0" xfId="0" applyNumberFormat="1" applyFont="1" applyAlignment="1"/>
    <xf numFmtId="10" fontId="6" fillId="0" borderId="0" xfId="0" applyNumberFormat="1" applyFont="1" applyAlignment="1"/>
    <xf numFmtId="165" fontId="6" fillId="0" borderId="0" xfId="0" applyNumberFormat="1" applyFont="1" applyAlignment="1">
      <alignment horizontal="right"/>
    </xf>
    <xf numFmtId="165" fontId="6" fillId="0" borderId="0" xfId="0" applyNumberFormat="1" applyFont="1" applyAlignment="1"/>
    <xf numFmtId="9" fontId="6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2" fillId="0" borderId="0" xfId="0" applyNumberFormat="1" applyFont="1" applyAlignment="1"/>
    <xf numFmtId="164" fontId="1" fillId="0" borderId="0" xfId="0" applyNumberFormat="1" applyFont="1" applyAlignment="1"/>
    <xf numFmtId="166" fontId="1" fillId="0" borderId="0" xfId="0" applyNumberFormat="1" applyFont="1" applyAlignment="1"/>
    <xf numFmtId="169" fontId="1" fillId="0" borderId="0" xfId="0" applyNumberFormat="1" applyFont="1" applyAlignment="1"/>
    <xf numFmtId="164" fontId="0" fillId="0" borderId="0" xfId="0" applyNumberFormat="1" applyFont="1"/>
    <xf numFmtId="9" fontId="1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"/>
    </xf>
    <xf numFmtId="164" fontId="23" fillId="0" borderId="0" xfId="0" applyNumberFormat="1" applyFont="1" applyAlignment="1"/>
    <xf numFmtId="165" fontId="6" fillId="0" borderId="0" xfId="0" applyNumberFormat="1" applyFont="1" applyAlignment="1"/>
    <xf numFmtId="9" fontId="6" fillId="0" borderId="0" xfId="0" applyNumberFormat="1" applyFont="1" applyAlignment="1"/>
    <xf numFmtId="49" fontId="6" fillId="0" borderId="0" xfId="0" applyNumberFormat="1" applyFont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/>
    <xf numFmtId="0" fontId="1" fillId="2" borderId="0" xfId="0" applyFont="1" applyFill="1" applyAlignment="1"/>
    <xf numFmtId="164" fontId="1" fillId="6" borderId="0" xfId="0" applyNumberFormat="1" applyFont="1" applyFill="1" applyAlignment="1"/>
    <xf numFmtId="164" fontId="1" fillId="2" borderId="0" xfId="0" applyNumberFormat="1" applyFont="1" applyFill="1" applyAlignment="1"/>
    <xf numFmtId="164" fontId="0" fillId="6" borderId="0" xfId="0" applyNumberFormat="1" applyFont="1" applyFill="1"/>
    <xf numFmtId="164" fontId="1" fillId="6" borderId="0" xfId="0" applyNumberFormat="1" applyFont="1" applyFill="1" applyAlignment="1">
      <alignment horizontal="center"/>
    </xf>
    <xf numFmtId="164" fontId="23" fillId="7" borderId="0" xfId="0" applyNumberFormat="1" applyFont="1" applyFill="1" applyAlignment="1"/>
    <xf numFmtId="10" fontId="5" fillId="0" borderId="0" xfId="0" applyNumberFormat="1" applyFont="1" applyAlignment="1"/>
    <xf numFmtId="3" fontId="5" fillId="0" borderId="0" xfId="0" applyNumberFormat="1" applyFont="1"/>
    <xf numFmtId="165" fontId="5" fillId="0" borderId="0" xfId="0" applyNumberFormat="1" applyFont="1"/>
    <xf numFmtId="169" fontId="5" fillId="0" borderId="0" xfId="0" applyNumberFormat="1" applyFont="1"/>
    <xf numFmtId="10" fontId="5" fillId="0" borderId="0" xfId="0" applyNumberFormat="1" applyFont="1"/>
    <xf numFmtId="165" fontId="1" fillId="0" borderId="0" xfId="0" applyNumberFormat="1" applyFont="1" applyAlignment="1"/>
    <xf numFmtId="9" fontId="1" fillId="0" borderId="0" xfId="0" applyNumberFormat="1" applyFont="1" applyAlignment="1"/>
    <xf numFmtId="0" fontId="6" fillId="0" borderId="0" xfId="0" applyFont="1" applyAlignment="1"/>
    <xf numFmtId="0" fontId="24" fillId="0" borderId="0" xfId="0" applyFont="1" applyAlignment="1"/>
    <xf numFmtId="171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/>
    </xf>
    <xf numFmtId="9" fontId="5" fillId="0" borderId="0" xfId="0" applyNumberFormat="1" applyFont="1" applyAlignment="1"/>
    <xf numFmtId="14" fontId="6" fillId="0" borderId="0" xfId="0" applyNumberFormat="1" applyFont="1" applyAlignment="1">
      <alignment horizontal="right"/>
    </xf>
    <xf numFmtId="14" fontId="6" fillId="0" borderId="0" xfId="0" applyNumberFormat="1" applyFont="1" applyAlignment="1"/>
    <xf numFmtId="0" fontId="25" fillId="0" borderId="0" xfId="0" applyFont="1" applyAlignment="1"/>
    <xf numFmtId="167" fontId="6" fillId="0" borderId="0" xfId="0" applyNumberFormat="1" applyFont="1" applyAlignment="1"/>
    <xf numFmtId="0" fontId="6" fillId="3" borderId="0" xfId="0" applyFont="1" applyFill="1" applyAlignment="1">
      <alignment horizontal="left"/>
    </xf>
    <xf numFmtId="9" fontId="6" fillId="0" borderId="0" xfId="0" applyNumberFormat="1" applyFont="1" applyAlignment="1">
      <alignment horizontal="right"/>
    </xf>
    <xf numFmtId="0" fontId="26" fillId="0" borderId="0" xfId="0" applyFont="1" applyAlignment="1"/>
    <xf numFmtId="167" fontId="5" fillId="0" borderId="0" xfId="0" applyNumberFormat="1" applyFont="1" applyAlignment="1"/>
    <xf numFmtId="0" fontId="27" fillId="0" borderId="0" xfId="0" applyFont="1" applyAlignment="1"/>
    <xf numFmtId="14" fontId="5" fillId="0" borderId="0" xfId="0" applyNumberFormat="1" applyFont="1" applyAlignment="1"/>
    <xf numFmtId="4" fontId="5" fillId="0" borderId="0" xfId="0" applyNumberFormat="1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14" fontId="5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6" fillId="0" borderId="0" xfId="0" applyFont="1" applyAlignment="1"/>
    <xf numFmtId="167" fontId="1" fillId="0" borderId="0" xfId="0" applyNumberFormat="1" applyFont="1" applyAlignment="1">
      <alignment horizontal="right"/>
    </xf>
    <xf numFmtId="168" fontId="1" fillId="0" borderId="0" xfId="0" applyNumberFormat="1" applyFont="1" applyAlignment="1">
      <alignment horizontal="right"/>
    </xf>
    <xf numFmtId="0" fontId="6" fillId="0" borderId="0" xfId="0" applyFont="1" applyAlignment="1"/>
    <xf numFmtId="4" fontId="1" fillId="0" borderId="0" xfId="0" applyNumberFormat="1" applyFont="1" applyAlignment="1"/>
    <xf numFmtId="10" fontId="1" fillId="0" borderId="0" xfId="0" applyNumberFormat="1" applyFont="1" applyAlignment="1"/>
    <xf numFmtId="165" fontId="1" fillId="0" borderId="0" xfId="0" applyNumberFormat="1" applyFont="1" applyAlignment="1"/>
    <xf numFmtId="165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 wrapText="1"/>
    </xf>
    <xf numFmtId="172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8" fillId="0" borderId="0" xfId="0" applyFont="1" applyAlignment="1"/>
    <xf numFmtId="168" fontId="1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0" fontId="12" fillId="3" borderId="0" xfId="0" applyFont="1" applyFill="1" applyAlignment="1"/>
    <xf numFmtId="9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9" fontId="1" fillId="0" borderId="0" xfId="0" applyNumberFormat="1" applyFont="1" applyAlignment="1"/>
    <xf numFmtId="167" fontId="1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9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172" fontId="5" fillId="0" borderId="0" xfId="0" applyNumberFormat="1" applyFont="1" applyAlignment="1"/>
    <xf numFmtId="168" fontId="5" fillId="0" borderId="0" xfId="0" applyNumberFormat="1" applyFont="1" applyAlignment="1"/>
    <xf numFmtId="0" fontId="3" fillId="2" borderId="0" xfId="0" applyNumberFormat="1" applyFont="1" applyFill="1" applyAlignment="1">
      <alignment vertical="center"/>
    </xf>
    <xf numFmtId="0" fontId="19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19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5" fillId="0" borderId="0" xfId="0" applyNumberFormat="1" applyFont="1" applyAlignment="1"/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/>
  </cellXfs>
  <cellStyles count="1">
    <cellStyle name="Normal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'Data Entries - EquityNoteSAFE'!$Z$1</c:f>
              <c:strCache>
                <c:ptCount val="1"/>
                <c:pt idx="0">
                  <c:v>valuations_combined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val>
            <c:numRef>
              <c:f>'Data Entries - EquityNoteSAFE'!$Z$2:$Z$289</c:f>
              <c:numCache>
                <c:formatCode>General</c:formatCode>
                <c:ptCount val="288"/>
                <c:pt idx="0">
                  <c:v>3062871</c:v>
                </c:pt>
                <c:pt idx="1">
                  <c:v>26300000</c:v>
                </c:pt>
                <c:pt idx="2">
                  <c:v>6400000</c:v>
                </c:pt>
                <c:pt idx="3">
                  <c:v>10800000</c:v>
                </c:pt>
                <c:pt idx="4">
                  <c:v>0</c:v>
                </c:pt>
                <c:pt idx="5">
                  <c:v>6500000</c:v>
                </c:pt>
                <c:pt idx="6">
                  <c:v>8000000</c:v>
                </c:pt>
                <c:pt idx="7">
                  <c:v>4000000</c:v>
                </c:pt>
                <c:pt idx="8">
                  <c:v>4250000</c:v>
                </c:pt>
                <c:pt idx="9">
                  <c:v>4500000</c:v>
                </c:pt>
                <c:pt idx="10">
                  <c:v>9773510</c:v>
                </c:pt>
                <c:pt idx="11">
                  <c:v>3275000</c:v>
                </c:pt>
                <c:pt idx="12">
                  <c:v>20000000</c:v>
                </c:pt>
                <c:pt idx="13">
                  <c:v>12000000</c:v>
                </c:pt>
                <c:pt idx="14">
                  <c:v>8000000</c:v>
                </c:pt>
                <c:pt idx="15">
                  <c:v>4800000</c:v>
                </c:pt>
                <c:pt idx="16">
                  <c:v>6800000</c:v>
                </c:pt>
                <c:pt idx="17">
                  <c:v>4800000</c:v>
                </c:pt>
                <c:pt idx="18">
                  <c:v>28100000</c:v>
                </c:pt>
                <c:pt idx="19">
                  <c:v>2500000</c:v>
                </c:pt>
                <c:pt idx="20">
                  <c:v>400000</c:v>
                </c:pt>
                <c:pt idx="21">
                  <c:v>7500000</c:v>
                </c:pt>
                <c:pt idx="22">
                  <c:v>4800000</c:v>
                </c:pt>
                <c:pt idx="23">
                  <c:v>35000000</c:v>
                </c:pt>
                <c:pt idx="24">
                  <c:v>13916596</c:v>
                </c:pt>
                <c:pt idx="25">
                  <c:v>8000000</c:v>
                </c:pt>
                <c:pt idx="26">
                  <c:v>16000000</c:v>
                </c:pt>
                <c:pt idx="27">
                  <c:v>17507365</c:v>
                </c:pt>
                <c:pt idx="28">
                  <c:v>5600000</c:v>
                </c:pt>
                <c:pt idx="29">
                  <c:v>6410000</c:v>
                </c:pt>
                <c:pt idx="30">
                  <c:v>3600000</c:v>
                </c:pt>
                <c:pt idx="31">
                  <c:v>6560000</c:v>
                </c:pt>
                <c:pt idx="32">
                  <c:v>3200000</c:v>
                </c:pt>
                <c:pt idx="33">
                  <c:v>7100000</c:v>
                </c:pt>
                <c:pt idx="34">
                  <c:v>5490000</c:v>
                </c:pt>
                <c:pt idx="35">
                  <c:v>5000000</c:v>
                </c:pt>
                <c:pt idx="36">
                  <c:v>7200000</c:v>
                </c:pt>
                <c:pt idx="37">
                  <c:v>17600000</c:v>
                </c:pt>
                <c:pt idx="38">
                  <c:v>12000000</c:v>
                </c:pt>
                <c:pt idx="39">
                  <c:v>2500000</c:v>
                </c:pt>
                <c:pt idx="40">
                  <c:v>15000000</c:v>
                </c:pt>
                <c:pt idx="41">
                  <c:v>1920000</c:v>
                </c:pt>
                <c:pt idx="42">
                  <c:v>2200000</c:v>
                </c:pt>
                <c:pt idx="43">
                  <c:v>8000000</c:v>
                </c:pt>
                <c:pt idx="44">
                  <c:v>5500000</c:v>
                </c:pt>
                <c:pt idx="45">
                  <c:v>10000000</c:v>
                </c:pt>
                <c:pt idx="46">
                  <c:v>9000000</c:v>
                </c:pt>
                <c:pt idx="47">
                  <c:v>2529820</c:v>
                </c:pt>
                <c:pt idx="48">
                  <c:v>5000000</c:v>
                </c:pt>
                <c:pt idx="49">
                  <c:v>10000000</c:v>
                </c:pt>
                <c:pt idx="50">
                  <c:v>5000000</c:v>
                </c:pt>
                <c:pt idx="51">
                  <c:v>25000000</c:v>
                </c:pt>
                <c:pt idx="52">
                  <c:v>35000000</c:v>
                </c:pt>
                <c:pt idx="53">
                  <c:v>21959058</c:v>
                </c:pt>
                <c:pt idx="54">
                  <c:v>20000000</c:v>
                </c:pt>
                <c:pt idx="55">
                  <c:v>20000000</c:v>
                </c:pt>
                <c:pt idx="56">
                  <c:v>7000000</c:v>
                </c:pt>
                <c:pt idx="57">
                  <c:v>2500000</c:v>
                </c:pt>
                <c:pt idx="58">
                  <c:v>3000000</c:v>
                </c:pt>
                <c:pt idx="59">
                  <c:v>1900000</c:v>
                </c:pt>
                <c:pt idx="60">
                  <c:v>1500000</c:v>
                </c:pt>
                <c:pt idx="61">
                  <c:v>8750000</c:v>
                </c:pt>
                <c:pt idx="62">
                  <c:v>5600000</c:v>
                </c:pt>
                <c:pt idx="63">
                  <c:v>1600000</c:v>
                </c:pt>
                <c:pt idx="64">
                  <c:v>1500000</c:v>
                </c:pt>
                <c:pt idx="65">
                  <c:v>2000000</c:v>
                </c:pt>
                <c:pt idx="66">
                  <c:v>2480000</c:v>
                </c:pt>
                <c:pt idx="67">
                  <c:v>1500000</c:v>
                </c:pt>
                <c:pt idx="68">
                  <c:v>2500000</c:v>
                </c:pt>
                <c:pt idx="69">
                  <c:v>900000</c:v>
                </c:pt>
                <c:pt idx="70">
                  <c:v>2000000</c:v>
                </c:pt>
                <c:pt idx="71">
                  <c:v>5000000</c:v>
                </c:pt>
                <c:pt idx="72">
                  <c:v>6400000</c:v>
                </c:pt>
                <c:pt idx="73">
                  <c:v>6800000</c:v>
                </c:pt>
                <c:pt idx="74">
                  <c:v>8030000</c:v>
                </c:pt>
                <c:pt idx="75">
                  <c:v>4490000</c:v>
                </c:pt>
                <c:pt idx="76">
                  <c:v>3010000</c:v>
                </c:pt>
                <c:pt idx="77">
                  <c:v>19800000</c:v>
                </c:pt>
                <c:pt idx="78">
                  <c:v>8000000</c:v>
                </c:pt>
                <c:pt idx="79">
                  <c:v>4000000</c:v>
                </c:pt>
                <c:pt idx="80">
                  <c:v>12800000</c:v>
                </c:pt>
                <c:pt idx="81">
                  <c:v>39000000</c:v>
                </c:pt>
                <c:pt idx="82">
                  <c:v>120000000</c:v>
                </c:pt>
                <c:pt idx="83">
                  <c:v>4900000</c:v>
                </c:pt>
                <c:pt idx="84">
                  <c:v>30000000</c:v>
                </c:pt>
                <c:pt idx="85">
                  <c:v>10000000</c:v>
                </c:pt>
                <c:pt idx="86">
                  <c:v>5670000</c:v>
                </c:pt>
                <c:pt idx="87">
                  <c:v>89800000</c:v>
                </c:pt>
                <c:pt idx="88">
                  <c:v>6640000</c:v>
                </c:pt>
                <c:pt idx="89">
                  <c:v>10000000</c:v>
                </c:pt>
                <c:pt idx="90">
                  <c:v>5200000</c:v>
                </c:pt>
                <c:pt idx="91">
                  <c:v>9000000</c:v>
                </c:pt>
                <c:pt idx="92">
                  <c:v>5960000</c:v>
                </c:pt>
                <c:pt idx="93">
                  <c:v>2250000</c:v>
                </c:pt>
                <c:pt idx="94">
                  <c:v>8500000</c:v>
                </c:pt>
                <c:pt idx="95">
                  <c:v>3062500</c:v>
                </c:pt>
                <c:pt idx="96">
                  <c:v>8000000</c:v>
                </c:pt>
                <c:pt idx="97">
                  <c:v>7970000</c:v>
                </c:pt>
                <c:pt idx="98">
                  <c:v>5000000</c:v>
                </c:pt>
                <c:pt idx="99">
                  <c:v>15000000</c:v>
                </c:pt>
                <c:pt idx="100">
                  <c:v>2560000</c:v>
                </c:pt>
                <c:pt idx="101">
                  <c:v>32000000</c:v>
                </c:pt>
                <c:pt idx="102">
                  <c:v>4000000</c:v>
                </c:pt>
                <c:pt idx="103">
                  <c:v>8000000</c:v>
                </c:pt>
                <c:pt idx="104">
                  <c:v>30000000</c:v>
                </c:pt>
                <c:pt idx="105">
                  <c:v>1000000</c:v>
                </c:pt>
                <c:pt idx="106">
                  <c:v>4232500</c:v>
                </c:pt>
                <c:pt idx="107">
                  <c:v>10000000</c:v>
                </c:pt>
                <c:pt idx="108">
                  <c:v>9200000</c:v>
                </c:pt>
                <c:pt idx="109">
                  <c:v>3600000</c:v>
                </c:pt>
                <c:pt idx="110">
                  <c:v>11000000</c:v>
                </c:pt>
                <c:pt idx="111">
                  <c:v>215000</c:v>
                </c:pt>
                <c:pt idx="112">
                  <c:v>4955781</c:v>
                </c:pt>
                <c:pt idx="113">
                  <c:v>10000000</c:v>
                </c:pt>
                <c:pt idx="114">
                  <c:v>14750000</c:v>
                </c:pt>
                <c:pt idx="115">
                  <c:v>9000000</c:v>
                </c:pt>
                <c:pt idx="116">
                  <c:v>10000000</c:v>
                </c:pt>
                <c:pt idx="117">
                  <c:v>12000000</c:v>
                </c:pt>
                <c:pt idx="118">
                  <c:v>100000</c:v>
                </c:pt>
                <c:pt idx="119">
                  <c:v>5984000</c:v>
                </c:pt>
                <c:pt idx="120">
                  <c:v>4000000</c:v>
                </c:pt>
                <c:pt idx="121">
                  <c:v>3900000</c:v>
                </c:pt>
                <c:pt idx="122">
                  <c:v>1250000</c:v>
                </c:pt>
                <c:pt idx="123">
                  <c:v>24000000</c:v>
                </c:pt>
                <c:pt idx="124">
                  <c:v>10000000</c:v>
                </c:pt>
                <c:pt idx="125">
                  <c:v>1600000</c:v>
                </c:pt>
                <c:pt idx="126">
                  <c:v>750000</c:v>
                </c:pt>
                <c:pt idx="127">
                  <c:v>3600000</c:v>
                </c:pt>
                <c:pt idx="128">
                  <c:v>8000000</c:v>
                </c:pt>
                <c:pt idx="129">
                  <c:v>2000000</c:v>
                </c:pt>
                <c:pt idx="130">
                  <c:v>580000</c:v>
                </c:pt>
                <c:pt idx="131">
                  <c:v>16000000</c:v>
                </c:pt>
                <c:pt idx="132">
                  <c:v>10000000</c:v>
                </c:pt>
                <c:pt idx="133">
                  <c:v>6800000</c:v>
                </c:pt>
                <c:pt idx="134">
                  <c:v>3745000</c:v>
                </c:pt>
                <c:pt idx="135">
                  <c:v>34108515</c:v>
                </c:pt>
                <c:pt idx="136">
                  <c:v>2800000</c:v>
                </c:pt>
                <c:pt idx="137">
                  <c:v>6750000</c:v>
                </c:pt>
                <c:pt idx="138">
                  <c:v>5400000</c:v>
                </c:pt>
                <c:pt idx="139">
                  <c:v>2000000</c:v>
                </c:pt>
                <c:pt idx="140">
                  <c:v>2000000</c:v>
                </c:pt>
                <c:pt idx="141">
                  <c:v>6400000</c:v>
                </c:pt>
                <c:pt idx="142">
                  <c:v>4500000</c:v>
                </c:pt>
                <c:pt idx="143">
                  <c:v>4000000</c:v>
                </c:pt>
                <c:pt idx="144">
                  <c:v>1600000</c:v>
                </c:pt>
                <c:pt idx="145">
                  <c:v>6400000</c:v>
                </c:pt>
                <c:pt idx="146">
                  <c:v>800000</c:v>
                </c:pt>
                <c:pt idx="147">
                  <c:v>5310000</c:v>
                </c:pt>
                <c:pt idx="148">
                  <c:v>2500000</c:v>
                </c:pt>
                <c:pt idx="149">
                  <c:v>2800000</c:v>
                </c:pt>
                <c:pt idx="150">
                  <c:v>5400000</c:v>
                </c:pt>
                <c:pt idx="151">
                  <c:v>2587500</c:v>
                </c:pt>
                <c:pt idx="152">
                  <c:v>6000000</c:v>
                </c:pt>
                <c:pt idx="153">
                  <c:v>11189805</c:v>
                </c:pt>
                <c:pt idx="154">
                  <c:v>977500</c:v>
                </c:pt>
                <c:pt idx="155">
                  <c:v>4000000</c:v>
                </c:pt>
                <c:pt idx="156">
                  <c:v>4054000</c:v>
                </c:pt>
                <c:pt idx="157">
                  <c:v>2250000</c:v>
                </c:pt>
                <c:pt idx="158">
                  <c:v>2400000</c:v>
                </c:pt>
                <c:pt idx="159">
                  <c:v>760000</c:v>
                </c:pt>
                <c:pt idx="160">
                  <c:v>5000000</c:v>
                </c:pt>
                <c:pt idx="161">
                  <c:v>6561600</c:v>
                </c:pt>
                <c:pt idx="162">
                  <c:v>3998304</c:v>
                </c:pt>
                <c:pt idx="163">
                  <c:v>19201088</c:v>
                </c:pt>
                <c:pt idx="164">
                  <c:v>6200000</c:v>
                </c:pt>
                <c:pt idx="165">
                  <c:v>5000000</c:v>
                </c:pt>
                <c:pt idx="166">
                  <c:v>15000000</c:v>
                </c:pt>
                <c:pt idx="167">
                  <c:v>3960000</c:v>
                </c:pt>
                <c:pt idx="168">
                  <c:v>2000000</c:v>
                </c:pt>
                <c:pt idx="169">
                  <c:v>5000000</c:v>
                </c:pt>
                <c:pt idx="170">
                  <c:v>19621196</c:v>
                </c:pt>
                <c:pt idx="171">
                  <c:v>3200000</c:v>
                </c:pt>
                <c:pt idx="172">
                  <c:v>7920000</c:v>
                </c:pt>
                <c:pt idx="173">
                  <c:v>4000000</c:v>
                </c:pt>
                <c:pt idx="174">
                  <c:v>6000000</c:v>
                </c:pt>
                <c:pt idx="175">
                  <c:v>15000000</c:v>
                </c:pt>
                <c:pt idx="176">
                  <c:v>17600000</c:v>
                </c:pt>
                <c:pt idx="177">
                  <c:v>3600000</c:v>
                </c:pt>
                <c:pt idx="178">
                  <c:v>5040000</c:v>
                </c:pt>
                <c:pt idx="179">
                  <c:v>6000000</c:v>
                </c:pt>
                <c:pt idx="180">
                  <c:v>7504410</c:v>
                </c:pt>
                <c:pt idx="181">
                  <c:v>14029817</c:v>
                </c:pt>
                <c:pt idx="182">
                  <c:v>2400000</c:v>
                </c:pt>
                <c:pt idx="183">
                  <c:v>10000000</c:v>
                </c:pt>
                <c:pt idx="184">
                  <c:v>33995244</c:v>
                </c:pt>
                <c:pt idx="185">
                  <c:v>12400000</c:v>
                </c:pt>
                <c:pt idx="186">
                  <c:v>8000000</c:v>
                </c:pt>
                <c:pt idx="187">
                  <c:v>3200000</c:v>
                </c:pt>
                <c:pt idx="188">
                  <c:v>3000000</c:v>
                </c:pt>
                <c:pt idx="189">
                  <c:v>9600000</c:v>
                </c:pt>
                <c:pt idx="190">
                  <c:v>1730000</c:v>
                </c:pt>
                <c:pt idx="191">
                  <c:v>8930000</c:v>
                </c:pt>
                <c:pt idx="192">
                  <c:v>6051033</c:v>
                </c:pt>
                <c:pt idx="193">
                  <c:v>4961250</c:v>
                </c:pt>
                <c:pt idx="194">
                  <c:v>5000000</c:v>
                </c:pt>
                <c:pt idx="195">
                  <c:v>10715000</c:v>
                </c:pt>
                <c:pt idx="196">
                  <c:v>4500000</c:v>
                </c:pt>
                <c:pt idx="197">
                  <c:v>4250000</c:v>
                </c:pt>
                <c:pt idx="198">
                  <c:v>4000000</c:v>
                </c:pt>
                <c:pt idx="199">
                  <c:v>4000000</c:v>
                </c:pt>
                <c:pt idx="200">
                  <c:v>10000000</c:v>
                </c:pt>
                <c:pt idx="201">
                  <c:v>12000000</c:v>
                </c:pt>
                <c:pt idx="202">
                  <c:v>7200000</c:v>
                </c:pt>
                <c:pt idx="203">
                  <c:v>9000000</c:v>
                </c:pt>
                <c:pt idx="204">
                  <c:v>3000000</c:v>
                </c:pt>
                <c:pt idx="205">
                  <c:v>2800000</c:v>
                </c:pt>
                <c:pt idx="206">
                  <c:v>6750000</c:v>
                </c:pt>
                <c:pt idx="207">
                  <c:v>31535500</c:v>
                </c:pt>
                <c:pt idx="208">
                  <c:v>3666666</c:v>
                </c:pt>
                <c:pt idx="209">
                  <c:v>9497442</c:v>
                </c:pt>
                <c:pt idx="210">
                  <c:v>10000000</c:v>
                </c:pt>
                <c:pt idx="211">
                  <c:v>5000000</c:v>
                </c:pt>
                <c:pt idx="212">
                  <c:v>3900000</c:v>
                </c:pt>
                <c:pt idx="213">
                  <c:v>9985000</c:v>
                </c:pt>
                <c:pt idx="214">
                  <c:v>6750000</c:v>
                </c:pt>
                <c:pt idx="215">
                  <c:v>8000000</c:v>
                </c:pt>
                <c:pt idx="216">
                  <c:v>6375000</c:v>
                </c:pt>
                <c:pt idx="217">
                  <c:v>51470577</c:v>
                </c:pt>
                <c:pt idx="218">
                  <c:v>34019537</c:v>
                </c:pt>
                <c:pt idx="219">
                  <c:v>9600000</c:v>
                </c:pt>
                <c:pt idx="220">
                  <c:v>4500000</c:v>
                </c:pt>
                <c:pt idx="221">
                  <c:v>7500000</c:v>
                </c:pt>
                <c:pt idx="222">
                  <c:v>8000000</c:v>
                </c:pt>
                <c:pt idx="223">
                  <c:v>14000000</c:v>
                </c:pt>
                <c:pt idx="224">
                  <c:v>8000000</c:v>
                </c:pt>
                <c:pt idx="225">
                  <c:v>25982318</c:v>
                </c:pt>
                <c:pt idx="226">
                  <c:v>12304998</c:v>
                </c:pt>
                <c:pt idx="227">
                  <c:v>5500000</c:v>
                </c:pt>
                <c:pt idx="228">
                  <c:v>12000000</c:v>
                </c:pt>
                <c:pt idx="229">
                  <c:v>10200000</c:v>
                </c:pt>
                <c:pt idx="230">
                  <c:v>3900000</c:v>
                </c:pt>
                <c:pt idx="231">
                  <c:v>3200000</c:v>
                </c:pt>
                <c:pt idx="232">
                  <c:v>18000000</c:v>
                </c:pt>
                <c:pt idx="233">
                  <c:v>5600000</c:v>
                </c:pt>
                <c:pt idx="234">
                  <c:v>4000000</c:v>
                </c:pt>
                <c:pt idx="235">
                  <c:v>6500000</c:v>
                </c:pt>
                <c:pt idx="236">
                  <c:v>4000000</c:v>
                </c:pt>
                <c:pt idx="237">
                  <c:v>3600000</c:v>
                </c:pt>
                <c:pt idx="238">
                  <c:v>2500000</c:v>
                </c:pt>
                <c:pt idx="239">
                  <c:v>4800000</c:v>
                </c:pt>
                <c:pt idx="240">
                  <c:v>3000000</c:v>
                </c:pt>
                <c:pt idx="241">
                  <c:v>11050000</c:v>
                </c:pt>
                <c:pt idx="242">
                  <c:v>5000000</c:v>
                </c:pt>
                <c:pt idx="243">
                  <c:v>3977777</c:v>
                </c:pt>
                <c:pt idx="244">
                  <c:v>2339270</c:v>
                </c:pt>
                <c:pt idx="245">
                  <c:v>8000000</c:v>
                </c:pt>
                <c:pt idx="246">
                  <c:v>2800000</c:v>
                </c:pt>
                <c:pt idx="247">
                  <c:v>4800000</c:v>
                </c:pt>
                <c:pt idx="248">
                  <c:v>8300000</c:v>
                </c:pt>
                <c:pt idx="249">
                  <c:v>52000000</c:v>
                </c:pt>
                <c:pt idx="250">
                  <c:v>18350000</c:v>
                </c:pt>
                <c:pt idx="251">
                  <c:v>10000000</c:v>
                </c:pt>
                <c:pt idx="252">
                  <c:v>1680000</c:v>
                </c:pt>
                <c:pt idx="253">
                  <c:v>4000000</c:v>
                </c:pt>
                <c:pt idx="254">
                  <c:v>4000000</c:v>
                </c:pt>
                <c:pt idx="255">
                  <c:v>5500000</c:v>
                </c:pt>
                <c:pt idx="256">
                  <c:v>10000000</c:v>
                </c:pt>
                <c:pt idx="257">
                  <c:v>3200000</c:v>
                </c:pt>
                <c:pt idx="258">
                  <c:v>80384390</c:v>
                </c:pt>
                <c:pt idx="259">
                  <c:v>10998984</c:v>
                </c:pt>
                <c:pt idx="260">
                  <c:v>3000000</c:v>
                </c:pt>
                <c:pt idx="261">
                  <c:v>2448000</c:v>
                </c:pt>
                <c:pt idx="262">
                  <c:v>10800000</c:v>
                </c:pt>
                <c:pt idx="263">
                  <c:v>4000000</c:v>
                </c:pt>
                <c:pt idx="264">
                  <c:v>15600000</c:v>
                </c:pt>
                <c:pt idx="265">
                  <c:v>1600000</c:v>
                </c:pt>
                <c:pt idx="266">
                  <c:v>67934930</c:v>
                </c:pt>
                <c:pt idx="267">
                  <c:v>2970000</c:v>
                </c:pt>
                <c:pt idx="268">
                  <c:v>10000000</c:v>
                </c:pt>
                <c:pt idx="269">
                  <c:v>4200000</c:v>
                </c:pt>
                <c:pt idx="270">
                  <c:v>5436506</c:v>
                </c:pt>
                <c:pt idx="271">
                  <c:v>6000000</c:v>
                </c:pt>
                <c:pt idx="272">
                  <c:v>5000000</c:v>
                </c:pt>
                <c:pt idx="273">
                  <c:v>9000000</c:v>
                </c:pt>
                <c:pt idx="274">
                  <c:v>6030000</c:v>
                </c:pt>
                <c:pt idx="275">
                  <c:v>6250010</c:v>
                </c:pt>
                <c:pt idx="276">
                  <c:v>2500000</c:v>
                </c:pt>
                <c:pt idx="277">
                  <c:v>3000000</c:v>
                </c:pt>
                <c:pt idx="278">
                  <c:v>8600000</c:v>
                </c:pt>
                <c:pt idx="279">
                  <c:v>7000000</c:v>
                </c:pt>
                <c:pt idx="280">
                  <c:v>8000000</c:v>
                </c:pt>
                <c:pt idx="281">
                  <c:v>450000</c:v>
                </c:pt>
                <c:pt idx="282">
                  <c:v>464285</c:v>
                </c:pt>
                <c:pt idx="283">
                  <c:v>2660000</c:v>
                </c:pt>
                <c:pt idx="284">
                  <c:v>25000000</c:v>
                </c:pt>
                <c:pt idx="285">
                  <c:v>8996400</c:v>
                </c:pt>
                <c:pt idx="286">
                  <c:v>51633010</c:v>
                </c:pt>
                <c:pt idx="287">
                  <c:v>4000000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F5D-4C24-99B7-C168529E4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5943169"/>
        <c:axId val="1710829970"/>
      </c:barChart>
      <c:catAx>
        <c:axId val="11659431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10829970"/>
        <c:crosses val="autoZero"/>
        <c:auto val="1"/>
        <c:lblAlgn val="ctr"/>
        <c:lblOffset val="100"/>
        <c:noMultiLvlLbl val="1"/>
      </c:catAx>
      <c:valAx>
        <c:axId val="17108299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59431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447675</xdr:colOff>
      <xdr:row>264</xdr:row>
      <xdr:rowOff>200025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Archives/edgar/data/1745527/000166828719000053/xslC_X01/primary_doc.xml" TargetMode="External"/><Relationship Id="rId21" Type="http://schemas.openxmlformats.org/officeDocument/2006/relationships/hyperlink" Target="https://www.startengine.com/bioniclogic-inc" TargetMode="External"/><Relationship Id="rId324" Type="http://schemas.openxmlformats.org/officeDocument/2006/relationships/hyperlink" Target="https://www.sec.gov/Archives/edgar/data/1773062/000166610219000015/xslC_X01/primary_doc.xml" TargetMode="External"/><Relationship Id="rId531" Type="http://schemas.openxmlformats.org/officeDocument/2006/relationships/hyperlink" Target="https://www.startengine.com/frannys-manufacturing" TargetMode="External"/><Relationship Id="rId170" Type="http://schemas.openxmlformats.org/officeDocument/2006/relationships/hyperlink" Target="https://wefunder.com/sharkwheel" TargetMode="External"/><Relationship Id="rId268" Type="http://schemas.openxmlformats.org/officeDocument/2006/relationships/hyperlink" Target="https://www.sec.gov/Archives/edgar/data/1763898/000166828719000006/xslC_X01/primary_doc.xml" TargetMode="External"/><Relationship Id="rId475" Type="http://schemas.openxmlformats.org/officeDocument/2006/relationships/hyperlink" Target="https://republic.co/stareable" TargetMode="External"/><Relationship Id="rId32" Type="http://schemas.openxmlformats.org/officeDocument/2006/relationships/hyperlink" Target="https://www.sec.gov/Archives/edgar/data/1804789/000167025420000156/xslC_X01/primary_doc.xml" TargetMode="External"/><Relationship Id="rId128" Type="http://schemas.openxmlformats.org/officeDocument/2006/relationships/hyperlink" Target="https://www.razitall.com/pitch/hangovers-suck-creating-better-tomorrows-for-all" TargetMode="External"/><Relationship Id="rId335" Type="http://schemas.openxmlformats.org/officeDocument/2006/relationships/hyperlink" Target="https://www.startengine.com/soapsox" TargetMode="External"/><Relationship Id="rId542" Type="http://schemas.openxmlformats.org/officeDocument/2006/relationships/hyperlink" Target="http://soar.com/" TargetMode="External"/><Relationship Id="rId181" Type="http://schemas.openxmlformats.org/officeDocument/2006/relationships/hyperlink" Target="https://www.sec.gov/Archives/edgar/data/1790674/000179067419000002/xslC_X01/primary_doc.xml" TargetMode="External"/><Relationship Id="rId402" Type="http://schemas.openxmlformats.org/officeDocument/2006/relationships/hyperlink" Target="https://www.sec.gov/Archives/edgar/data/1783580/000178358020000002/xslC_X01/primary_doc.xml" TargetMode="External"/><Relationship Id="rId279" Type="http://schemas.openxmlformats.org/officeDocument/2006/relationships/hyperlink" Target="https://netcapital.com/companies/kula-crate" TargetMode="External"/><Relationship Id="rId486" Type="http://schemas.openxmlformats.org/officeDocument/2006/relationships/hyperlink" Target="https://www.sec.gov/Archives/edgar/data/1788203/000167025419000623/xslC_X01/primary_doc.xml" TargetMode="External"/><Relationship Id="rId43" Type="http://schemas.openxmlformats.org/officeDocument/2006/relationships/hyperlink" Target="https://www.startengine.com/el-tinieblo-international" TargetMode="External"/><Relationship Id="rId139" Type="http://schemas.openxmlformats.org/officeDocument/2006/relationships/hyperlink" Target="https://www.sec.gov/Archives/edgar/data/1785480/000167025419000464/xslC_X01/primary_doc.xml" TargetMode="External"/><Relationship Id="rId346" Type="http://schemas.openxmlformats.org/officeDocument/2006/relationships/hyperlink" Target="https://www.sec.gov/Archives/edgar/data/1752095/000166610219000021/xslC_X01/primary_doc.xml" TargetMode="External"/><Relationship Id="rId553" Type="http://schemas.openxmlformats.org/officeDocument/2006/relationships/hyperlink" Target="https://www.startengine.com/thoughtfull-toys-inc" TargetMode="External"/><Relationship Id="rId192" Type="http://schemas.openxmlformats.org/officeDocument/2006/relationships/hyperlink" Target="https://www.sec.gov/Archives/edgar/data/1780122/000178012219000003/xslC_X01/primary_doc.xml" TargetMode="External"/><Relationship Id="rId206" Type="http://schemas.openxmlformats.org/officeDocument/2006/relationships/hyperlink" Target="http://roula.cc/" TargetMode="External"/><Relationship Id="rId413" Type="http://schemas.openxmlformats.org/officeDocument/2006/relationships/hyperlink" Target="https://wefunder.com/leonandgeorge" TargetMode="External"/><Relationship Id="rId497" Type="http://schemas.openxmlformats.org/officeDocument/2006/relationships/hyperlink" Target="https://www.razitall.com/pitch/sinusave-the-drug-free-nasal-congestion-solution" TargetMode="External"/><Relationship Id="rId357" Type="http://schemas.openxmlformats.org/officeDocument/2006/relationships/hyperlink" Target="https://www.startengine.com/fisherwallace" TargetMode="External"/><Relationship Id="rId54" Type="http://schemas.openxmlformats.org/officeDocument/2006/relationships/hyperlink" Target="https://www.sec.gov/Archives/edgar/data/1781955/000166919119000259/xslC_X01/primary_doc.xml" TargetMode="External"/><Relationship Id="rId217" Type="http://schemas.openxmlformats.org/officeDocument/2006/relationships/hyperlink" Target="https://wefunder.com/ecarra" TargetMode="External"/><Relationship Id="rId564" Type="http://schemas.openxmlformats.org/officeDocument/2006/relationships/hyperlink" Target="https://www.sec.gov/Archives/edgar/data/1803730/000166516020000177/xslC_X01/primary_doc.xml" TargetMode="External"/><Relationship Id="rId424" Type="http://schemas.openxmlformats.org/officeDocument/2006/relationships/hyperlink" Target="https://www.sec.gov/Archives/edgar/data/1794263/000166828719000065/xslC_X01/primary_doc.xml" TargetMode="External"/><Relationship Id="rId270" Type="http://schemas.openxmlformats.org/officeDocument/2006/relationships/hyperlink" Target="https://www.sec.gov/Archives/edgar/data/1797421/000166516020000023/xslC_X01/primary_doc.xml" TargetMode="External"/><Relationship Id="rId65" Type="http://schemas.openxmlformats.org/officeDocument/2006/relationships/hyperlink" Target="https://www.sec.gov/Archives/edgar/data/1736388/000166516020000248/xslC_X01/primary_doc.xml" TargetMode="External"/><Relationship Id="rId130" Type="http://schemas.openxmlformats.org/officeDocument/2006/relationships/hyperlink" Target="https://www.razitall.com/pitch/reclaiming-historical-sites-as-local-art-galleries" TargetMode="External"/><Relationship Id="rId368" Type="http://schemas.openxmlformats.org/officeDocument/2006/relationships/hyperlink" Target="https://www.sec.gov/Archives/edgar/data/1785581/000166516020000230/xslC_X01/primary_doc.xml" TargetMode="External"/><Relationship Id="rId575" Type="http://schemas.openxmlformats.org/officeDocument/2006/relationships/hyperlink" Target="https://www.razitall.com/pitch/zamii-clean-cleaning-americas-carpets-upholstery" TargetMode="External"/><Relationship Id="rId228" Type="http://schemas.openxmlformats.org/officeDocument/2006/relationships/hyperlink" Target="https://www.sec.gov/Archives/edgar/data/1803861/000180386120000002/xslC_X01/primary_doc.xml" TargetMode="External"/><Relationship Id="rId435" Type="http://schemas.openxmlformats.org/officeDocument/2006/relationships/hyperlink" Target="https://wefunder.com/lyfetymes" TargetMode="External"/><Relationship Id="rId281" Type="http://schemas.openxmlformats.org/officeDocument/2006/relationships/hyperlink" Target="https://republic.co/thuzio" TargetMode="External"/><Relationship Id="rId502" Type="http://schemas.openxmlformats.org/officeDocument/2006/relationships/hyperlink" Target="https://www.sec.gov/Archives/edgar/data/1700943/000170094320000001/xslC_X01/primary_doc.xml" TargetMode="External"/><Relationship Id="rId76" Type="http://schemas.openxmlformats.org/officeDocument/2006/relationships/hyperlink" Target="https://app.microventures.com/crowdfunding/jetoptera" TargetMode="External"/><Relationship Id="rId141" Type="http://schemas.openxmlformats.org/officeDocument/2006/relationships/hyperlink" Target="https://www.sec.gov/Archives/edgar/data/1785479/000167025419000452/xslC_X01/primary_doc.xml" TargetMode="External"/><Relationship Id="rId379" Type="http://schemas.openxmlformats.org/officeDocument/2006/relationships/hyperlink" Target="https://www.startengine.com/metaiyeknights" TargetMode="External"/><Relationship Id="rId586" Type="http://schemas.openxmlformats.org/officeDocument/2006/relationships/hyperlink" Target="https://www.sec.gov/Archives/edgar/data/1446275/000166516020000007/xslC_X01/primary_doc.xml" TargetMode="External"/><Relationship Id="rId7" Type="http://schemas.openxmlformats.org/officeDocument/2006/relationships/hyperlink" Target="https://republic.co/nanovms" TargetMode="External"/><Relationship Id="rId239" Type="http://schemas.openxmlformats.org/officeDocument/2006/relationships/hyperlink" Target="https://republic.co/hearo-live" TargetMode="External"/><Relationship Id="rId446" Type="http://schemas.openxmlformats.org/officeDocument/2006/relationships/hyperlink" Target="https://www.sec.gov/Archives/edgar/data/1790092/000179009219000004/xslC_X01/primary_doc.xml" TargetMode="External"/><Relationship Id="rId292" Type="http://schemas.openxmlformats.org/officeDocument/2006/relationships/hyperlink" Target="https://www.sec.gov/Archives/edgar/data/1804340/000166516020000233/xslC_X01/primary_doc.xml" TargetMode="External"/><Relationship Id="rId306" Type="http://schemas.openxmlformats.org/officeDocument/2006/relationships/hyperlink" Target="https://www.sec.gov/Archives/edgar/data/1803418/000167025420000110/xslC_X01/primary_doc.xml" TargetMode="External"/><Relationship Id="rId45" Type="http://schemas.openxmlformats.org/officeDocument/2006/relationships/hyperlink" Target="https://www.startengine.com/spero-cbd" TargetMode="External"/><Relationship Id="rId87" Type="http://schemas.openxmlformats.org/officeDocument/2006/relationships/hyperlink" Target="https://www.sec.gov/Archives/edgar/data/1776458/000167025420000119/xslC_X01/primary_doc.xml" TargetMode="External"/><Relationship Id="rId110" Type="http://schemas.openxmlformats.org/officeDocument/2006/relationships/hyperlink" Target="https://www.mrcrowd.com/company/VEND" TargetMode="External"/><Relationship Id="rId348" Type="http://schemas.openxmlformats.org/officeDocument/2006/relationships/hyperlink" Target="https://www.sec.gov/Archives/edgar/data/1787006/000166919120000024/xslC_X01/primary_doc.xml" TargetMode="External"/><Relationship Id="rId513" Type="http://schemas.openxmlformats.org/officeDocument/2006/relationships/hyperlink" Target="https://fundopolis.com/raisedetails?id=9906f30b-dcb2-40ac-8596-68cb26e04b34" TargetMode="External"/><Relationship Id="rId555" Type="http://schemas.openxmlformats.org/officeDocument/2006/relationships/hyperlink" Target="https://www.startengine.com/gobq-grills" TargetMode="External"/><Relationship Id="rId152" Type="http://schemas.openxmlformats.org/officeDocument/2006/relationships/hyperlink" Target="https://wefunder.com/ammosquared" TargetMode="External"/><Relationship Id="rId194" Type="http://schemas.openxmlformats.org/officeDocument/2006/relationships/hyperlink" Target="https://fundanna.com/equity/offer-summary/Hempazon" TargetMode="External"/><Relationship Id="rId208" Type="http://schemas.openxmlformats.org/officeDocument/2006/relationships/hyperlink" Target="https://www.sec.gov/Archives/edgar/data/1777476/000177747620000001/xslC_X01/primary_doc.xml" TargetMode="External"/><Relationship Id="rId415" Type="http://schemas.openxmlformats.org/officeDocument/2006/relationships/hyperlink" Target="https://republic.co/growing-talent" TargetMode="External"/><Relationship Id="rId457" Type="http://schemas.openxmlformats.org/officeDocument/2006/relationships/hyperlink" Target="http://commerce.ai/" TargetMode="External"/><Relationship Id="rId261" Type="http://schemas.openxmlformats.org/officeDocument/2006/relationships/hyperlink" Target="https://wefunder.com/novomoto" TargetMode="External"/><Relationship Id="rId499" Type="http://schemas.openxmlformats.org/officeDocument/2006/relationships/hyperlink" Target="https://fundanna.com/equity/offer-summary/FlowerBee" TargetMode="External"/><Relationship Id="rId14" Type="http://schemas.openxmlformats.org/officeDocument/2006/relationships/hyperlink" Target="https://www.sec.gov/Archives/edgar/data/1692429/000169242920000004/xslC_X01/primary_doc.xml" TargetMode="External"/><Relationship Id="rId56" Type="http://schemas.openxmlformats.org/officeDocument/2006/relationships/hyperlink" Target="https://www.sec.gov/Archives/edgar/data/1706939/000170693919000002/xslC_X01/primary_doc.xml" TargetMode="External"/><Relationship Id="rId317" Type="http://schemas.openxmlformats.org/officeDocument/2006/relationships/hyperlink" Target="https://republic.co/bounty0x" TargetMode="External"/><Relationship Id="rId359" Type="http://schemas.openxmlformats.org/officeDocument/2006/relationships/hyperlink" Target="https://wefunder.com/hobbydb" TargetMode="External"/><Relationship Id="rId524" Type="http://schemas.openxmlformats.org/officeDocument/2006/relationships/hyperlink" Target="https://www.sec.gov/Archives/edgar/data/1794960/000179496020000001/xslC_X01/primary_doc.xml" TargetMode="External"/><Relationship Id="rId566" Type="http://schemas.openxmlformats.org/officeDocument/2006/relationships/hyperlink" Target="https://www.sec.gov/Archives/edgar/data/1804772/000166516020000184/xslC_X01/primary_doc.xml" TargetMode="External"/><Relationship Id="rId98" Type="http://schemas.openxmlformats.org/officeDocument/2006/relationships/hyperlink" Target="https://republic.co/all_ebt" TargetMode="External"/><Relationship Id="rId121" Type="http://schemas.openxmlformats.org/officeDocument/2006/relationships/hyperlink" Target="https://www.sec.gov/Archives/edgar/data/1728036/000166828718000027/xslC_X01/primary_doc.xml" TargetMode="External"/><Relationship Id="rId163" Type="http://schemas.openxmlformats.org/officeDocument/2006/relationships/hyperlink" Target="https://www.sec.gov/Archives/edgar/data/1791739/000166516019001160/xslC_X01/primary_doc.xml" TargetMode="External"/><Relationship Id="rId219" Type="http://schemas.openxmlformats.org/officeDocument/2006/relationships/hyperlink" Target="https://netcapital.com/companies/zelgor" TargetMode="External"/><Relationship Id="rId370" Type="http://schemas.openxmlformats.org/officeDocument/2006/relationships/hyperlink" Target="https://www.sec.gov/Archives/edgar/data/1706024/000166516020000030/xslC_X01/primary_doc.xml" TargetMode="External"/><Relationship Id="rId426" Type="http://schemas.openxmlformats.org/officeDocument/2006/relationships/hyperlink" Target="https://www.sec.gov/Archives/edgar/data/1398488/000166919120000092/xslC_X01/primary_doc.xml" TargetMode="External"/><Relationship Id="rId230" Type="http://schemas.openxmlformats.org/officeDocument/2006/relationships/hyperlink" Target="https://www.sec.gov/Archives/edgar/data/1752109/000175210920000003/xslC_X01/primary_doc.xml" TargetMode="External"/><Relationship Id="rId468" Type="http://schemas.openxmlformats.org/officeDocument/2006/relationships/hyperlink" Target="https://www.sec.gov/Archives/edgar/data/1681290/000166516020000240/xslC_X01/primary_doc.xml" TargetMode="External"/><Relationship Id="rId25" Type="http://schemas.openxmlformats.org/officeDocument/2006/relationships/hyperlink" Target="https://wefunder.com/nyce" TargetMode="External"/><Relationship Id="rId67" Type="http://schemas.openxmlformats.org/officeDocument/2006/relationships/hyperlink" Target="https://www.sec.gov/Archives/edgar/data/1689683/000168968320000002/xslC_X01/primary_doc.xml" TargetMode="External"/><Relationship Id="rId272" Type="http://schemas.openxmlformats.org/officeDocument/2006/relationships/hyperlink" Target="https://www.sec.gov/Archives/edgar/data/1716822/000171682220000004/xslC_X01/primary_doc.xml" TargetMode="External"/><Relationship Id="rId328" Type="http://schemas.openxmlformats.org/officeDocument/2006/relationships/hyperlink" Target="https://www.sec.gov/Archives/edgar/data/1742637/000168316819001803/xslC_X01/primary_doc.xml" TargetMode="External"/><Relationship Id="rId535" Type="http://schemas.openxmlformats.org/officeDocument/2006/relationships/hyperlink" Target="https://republic.co/puregreen" TargetMode="External"/><Relationship Id="rId577" Type="http://schemas.openxmlformats.org/officeDocument/2006/relationships/hyperlink" Target="https://www.razitall.com/pitch/bum-butt-wipes-container" TargetMode="External"/><Relationship Id="rId132" Type="http://schemas.openxmlformats.org/officeDocument/2006/relationships/hyperlink" Target="https://wefunder.com/lebreadxpress" TargetMode="External"/><Relationship Id="rId174" Type="http://schemas.openxmlformats.org/officeDocument/2006/relationships/hyperlink" Target="https://wefunder.com/back.to.space" TargetMode="External"/><Relationship Id="rId381" Type="http://schemas.openxmlformats.org/officeDocument/2006/relationships/hyperlink" Target="https://localstake.com/businesses/batteryxchange/preview" TargetMode="External"/><Relationship Id="rId241" Type="http://schemas.openxmlformats.org/officeDocument/2006/relationships/hyperlink" Target="https://www.startengine.com/openboxbuy" TargetMode="External"/><Relationship Id="rId437" Type="http://schemas.openxmlformats.org/officeDocument/2006/relationships/hyperlink" Target="https://republic.co/alpha-a" TargetMode="External"/><Relationship Id="rId479" Type="http://schemas.openxmlformats.org/officeDocument/2006/relationships/hyperlink" Target="https://www.sec.gov/Archives/edgar/data/1797650/000155447720000003/xslC_X01/primary_doc.xml" TargetMode="External"/><Relationship Id="rId36" Type="http://schemas.openxmlformats.org/officeDocument/2006/relationships/hyperlink" Target="https://www.sec.gov/Archives/edgar/data/1808580/000180858020000001/xslC_X01/primary_doc.xml" TargetMode="External"/><Relationship Id="rId283" Type="http://schemas.openxmlformats.org/officeDocument/2006/relationships/hyperlink" Target="https://www.startengine.com/baqua" TargetMode="External"/><Relationship Id="rId339" Type="http://schemas.openxmlformats.org/officeDocument/2006/relationships/hyperlink" Target="https://republic.co/helloava" TargetMode="External"/><Relationship Id="rId490" Type="http://schemas.openxmlformats.org/officeDocument/2006/relationships/hyperlink" Target="https://www.sec.gov/Archives/edgar/data/1760049/000166610220000004/xslC_X01/primary_doc.xml" TargetMode="External"/><Relationship Id="rId504" Type="http://schemas.openxmlformats.org/officeDocument/2006/relationships/hyperlink" Target="https://www.sec.gov/Archives/edgar/data/1785115/000178511520000001/xslC_X01/primary_doc.xml" TargetMode="External"/><Relationship Id="rId546" Type="http://schemas.openxmlformats.org/officeDocument/2006/relationships/hyperlink" Target="https://www.sec.gov/Archives/edgar/data/1478985/000166516020000172/xslC_X01/primary_doc.xml" TargetMode="External"/><Relationship Id="rId78" Type="http://schemas.openxmlformats.org/officeDocument/2006/relationships/hyperlink" Target="https://wefunder.com/mevo" TargetMode="External"/><Relationship Id="rId101" Type="http://schemas.openxmlformats.org/officeDocument/2006/relationships/hyperlink" Target="https://www.sec.gov/Archives/edgar/data/1807742/000180774220000002/xslC_X01/primary_doc.xml" TargetMode="External"/><Relationship Id="rId143" Type="http://schemas.openxmlformats.org/officeDocument/2006/relationships/hyperlink" Target="https://www.sec.gov/Archives/edgar/data/1787347/000167025419000498/xslC_X01/primary_doc.xml" TargetMode="External"/><Relationship Id="rId185" Type="http://schemas.openxmlformats.org/officeDocument/2006/relationships/hyperlink" Target="https://www.sec.gov/Archives/edgar/data/1617797/000146581819000035/xslC_X01/primary_doc.xml" TargetMode="External"/><Relationship Id="rId350" Type="http://schemas.openxmlformats.org/officeDocument/2006/relationships/hyperlink" Target="https://www.sec.gov/Archives/edgar/data/1784191/000178419119000003/xslC_X01/primary_doc.xml" TargetMode="External"/><Relationship Id="rId406" Type="http://schemas.openxmlformats.org/officeDocument/2006/relationships/hyperlink" Target="https://www.sec.gov/Archives/edgar/data/1706429/000170642920000001/xslC_X01/primary_doc.xml" TargetMode="External"/><Relationship Id="rId588" Type="http://schemas.openxmlformats.org/officeDocument/2006/relationships/hyperlink" Target="https://www.sec.gov/Archives/edgar/data/1777274/000177727420000004/xslC_X01/primary_doc.xml" TargetMode="External"/><Relationship Id="rId9" Type="http://schemas.openxmlformats.org/officeDocument/2006/relationships/hyperlink" Target="https://www.startengine.com/furry-fortune-the-movie-llc" TargetMode="External"/><Relationship Id="rId210" Type="http://schemas.openxmlformats.org/officeDocument/2006/relationships/hyperlink" Target="https://www.sec.gov/Archives/edgar/data/1802465/000180246520000002/xslC_X01/primary_doc.xml" TargetMode="External"/><Relationship Id="rId392" Type="http://schemas.openxmlformats.org/officeDocument/2006/relationships/hyperlink" Target="https://www.sec.gov/Archives/edgar/data/1744851/000166516020000047/xslC_X01/primary_doc.xml" TargetMode="External"/><Relationship Id="rId448" Type="http://schemas.openxmlformats.org/officeDocument/2006/relationships/hyperlink" Target="https://www.sec.gov/Archives/edgar/data/1791683/000166516020000141/xslC_X01/primary_doc.xml" TargetMode="External"/><Relationship Id="rId252" Type="http://schemas.openxmlformats.org/officeDocument/2006/relationships/hyperlink" Target="https://www.sec.gov/Archives/edgar/data/1769670/000166516020000188/xslC_X01/primary_doc.xml" TargetMode="External"/><Relationship Id="rId294" Type="http://schemas.openxmlformats.org/officeDocument/2006/relationships/hyperlink" Target="https://www.sec.gov/Archives/edgar/data/1754733/000178043920000009/xslC_X01/primary_doc.xml" TargetMode="External"/><Relationship Id="rId308" Type="http://schemas.openxmlformats.org/officeDocument/2006/relationships/hyperlink" Target="https://www.sec.gov/Archives/edgar/data/1802405/000167025420000088/xslC_X01/primary_doc.xml" TargetMode="External"/><Relationship Id="rId515" Type="http://schemas.openxmlformats.org/officeDocument/2006/relationships/hyperlink" Target="https://www.nextseed.com/offerings/edison-golf" TargetMode="External"/><Relationship Id="rId47" Type="http://schemas.openxmlformats.org/officeDocument/2006/relationships/hyperlink" Target="https://www.startengine.com/raytonone" TargetMode="External"/><Relationship Id="rId89" Type="http://schemas.openxmlformats.org/officeDocument/2006/relationships/hyperlink" Target="https://www.sec.gov/Archives/edgar/data/1804160/000167025420000193/xslC_X01/primary_doc.xml" TargetMode="External"/><Relationship Id="rId112" Type="http://schemas.openxmlformats.org/officeDocument/2006/relationships/hyperlink" Target="https://wefunder.com/aptera" TargetMode="External"/><Relationship Id="rId154" Type="http://schemas.openxmlformats.org/officeDocument/2006/relationships/hyperlink" Target="https://www.startengine.com/eight-bridges-brewing-inc" TargetMode="External"/><Relationship Id="rId361" Type="http://schemas.openxmlformats.org/officeDocument/2006/relationships/hyperlink" Target="https://wefunder.com/gravatate.inc" TargetMode="External"/><Relationship Id="rId557" Type="http://schemas.openxmlformats.org/officeDocument/2006/relationships/hyperlink" Target="https://wefunder.com/galacticadventures" TargetMode="External"/><Relationship Id="rId196" Type="http://schemas.openxmlformats.org/officeDocument/2006/relationships/hyperlink" Target="https://republic.co/fleeting" TargetMode="External"/><Relationship Id="rId417" Type="http://schemas.openxmlformats.org/officeDocument/2006/relationships/hyperlink" Target="https://wefunder.com/pressure.games" TargetMode="External"/><Relationship Id="rId459" Type="http://schemas.openxmlformats.org/officeDocument/2006/relationships/hyperlink" Target="https://www.sec.gov/Archives/edgar/data/1716174/000166516020000131/xslC_X01/primary_doc.xml" TargetMode="External"/><Relationship Id="rId16" Type="http://schemas.openxmlformats.org/officeDocument/2006/relationships/hyperlink" Target="https://www.sec.gov/Archives/edgar/data/1799979/000179997920000002/xslC_X01/primary_doc.xml" TargetMode="External"/><Relationship Id="rId221" Type="http://schemas.openxmlformats.org/officeDocument/2006/relationships/hyperlink" Target="https://www.startengine.com/reset-iv" TargetMode="External"/><Relationship Id="rId263" Type="http://schemas.openxmlformats.org/officeDocument/2006/relationships/hyperlink" Target="https://wefunder.com/oodles" TargetMode="External"/><Relationship Id="rId319" Type="http://schemas.openxmlformats.org/officeDocument/2006/relationships/hyperlink" Target="https://fundanna.com/equity/offer-summary/CannaSOS" TargetMode="External"/><Relationship Id="rId470" Type="http://schemas.openxmlformats.org/officeDocument/2006/relationships/hyperlink" Target="https://www.sec.gov/Archives/edgar/data/1794140/000166516019001235/xslC_X01/primary_doc.xml" TargetMode="External"/><Relationship Id="rId526" Type="http://schemas.openxmlformats.org/officeDocument/2006/relationships/hyperlink" Target="https://www.sec.gov/Archives/edgar/data/1799973/000179997320000001/xslC_X01/primary_doc.xml" TargetMode="External"/><Relationship Id="rId58" Type="http://schemas.openxmlformats.org/officeDocument/2006/relationships/hyperlink" Target="https://www.sec.gov/Archives/edgar/data/1752964/000175296420000003/xslC_X01/primary_doc.xml" TargetMode="External"/><Relationship Id="rId123" Type="http://schemas.openxmlformats.org/officeDocument/2006/relationships/hyperlink" Target="https://www.sec.gov/cgi-bin/browse-edgar?company=english+for+a+song&amp;owner=exclude&amp;action=getcompany" TargetMode="External"/><Relationship Id="rId330" Type="http://schemas.openxmlformats.org/officeDocument/2006/relationships/hyperlink" Target="https://www.sec.gov/Archives/edgar/data/1768911/000166516020000035/xslC_X01/primary_doc.xml" TargetMode="External"/><Relationship Id="rId568" Type="http://schemas.openxmlformats.org/officeDocument/2006/relationships/hyperlink" Target="https://www.sec.gov/Archives/edgar/data/1800827/000167025420000071/xslC_X01/primary_doc.xml" TargetMode="External"/><Relationship Id="rId165" Type="http://schemas.openxmlformats.org/officeDocument/2006/relationships/hyperlink" Target="https://www.sec.gov/Archives/edgar/data/1796036/000166516019001165/xslC_X01/primary_doc.xml" TargetMode="External"/><Relationship Id="rId372" Type="http://schemas.openxmlformats.org/officeDocument/2006/relationships/hyperlink" Target="https://www.sec.gov/Archives/edgar/data/1788657/000178865720000001/xslC_X01/primary_doc.xml" TargetMode="External"/><Relationship Id="rId428" Type="http://schemas.openxmlformats.org/officeDocument/2006/relationships/hyperlink" Target="https://www.sec.gov/Archives/edgar/data/1787611/000166919120000047/xslC_X01/primary_doc.xml" TargetMode="External"/><Relationship Id="rId232" Type="http://schemas.openxmlformats.org/officeDocument/2006/relationships/hyperlink" Target="https://www.sec.gov/Archives/edgar/data/1803793/000166919120000084/xslC_X01/primary_doc.xml" TargetMode="External"/><Relationship Id="rId274" Type="http://schemas.openxmlformats.org/officeDocument/2006/relationships/hyperlink" Target="https://www.sec.gov/Archives/edgar/data/1791548/000179154820000001/xslC_X01/primary_doc.xml" TargetMode="External"/><Relationship Id="rId481" Type="http://schemas.openxmlformats.org/officeDocument/2006/relationships/hyperlink" Target="https://wefunder.com/hoop.tea" TargetMode="External"/><Relationship Id="rId27" Type="http://schemas.openxmlformats.org/officeDocument/2006/relationships/hyperlink" Target="https://republic.co/elemeno-health" TargetMode="External"/><Relationship Id="rId69" Type="http://schemas.openxmlformats.org/officeDocument/2006/relationships/hyperlink" Target="https://www.sec.gov/Archives/edgar/data/1807032/000166516020000258/xslC_X01/primary_doc.xml" TargetMode="External"/><Relationship Id="rId134" Type="http://schemas.openxmlformats.org/officeDocument/2006/relationships/hyperlink" Target="https://wefunder.com/westrive" TargetMode="External"/><Relationship Id="rId537" Type="http://schemas.openxmlformats.org/officeDocument/2006/relationships/hyperlink" Target="https://wefunder.com/the.greatest.adventure.on.earth" TargetMode="External"/><Relationship Id="rId579" Type="http://schemas.openxmlformats.org/officeDocument/2006/relationships/hyperlink" Target="https://buytheblock.com/campaign/buying-the-block-in-historic-5th-ward-houston" TargetMode="External"/><Relationship Id="rId80" Type="http://schemas.openxmlformats.org/officeDocument/2006/relationships/hyperlink" Target="https://netcapital.com/companies/trustfund" TargetMode="External"/><Relationship Id="rId176" Type="http://schemas.openxmlformats.org/officeDocument/2006/relationships/hyperlink" Target="https://www.startengine.com/atlis-motor-vehicles-3" TargetMode="External"/><Relationship Id="rId341" Type="http://schemas.openxmlformats.org/officeDocument/2006/relationships/hyperlink" Target="https://www.razitall.com/pitch/elastico-tequila-craft-distillery-kc-bbq" TargetMode="External"/><Relationship Id="rId383" Type="http://schemas.openxmlformats.org/officeDocument/2006/relationships/hyperlink" Target="https://www.startengine.com/life-scan" TargetMode="External"/><Relationship Id="rId439" Type="http://schemas.openxmlformats.org/officeDocument/2006/relationships/hyperlink" Target="https://www.startengine.com/vegaswinners" TargetMode="External"/><Relationship Id="rId590" Type="http://schemas.openxmlformats.org/officeDocument/2006/relationships/vmlDrawing" Target="../drawings/vmlDrawing1.vml"/><Relationship Id="rId201" Type="http://schemas.openxmlformats.org/officeDocument/2006/relationships/hyperlink" Target="https://www.sec.gov/Archives/edgar/data/1800204/000167025420000055/xslC_X01/primary_doc.xml" TargetMode="External"/><Relationship Id="rId243" Type="http://schemas.openxmlformats.org/officeDocument/2006/relationships/hyperlink" Target="https://www.startengine.com/karaganda" TargetMode="External"/><Relationship Id="rId285" Type="http://schemas.openxmlformats.org/officeDocument/2006/relationships/hyperlink" Target="https://wefunder.com/colors" TargetMode="External"/><Relationship Id="rId450" Type="http://schemas.openxmlformats.org/officeDocument/2006/relationships/hyperlink" Target="https://www.sec.gov/Archives/edgar/data/1662905/000166516019001205/xslC_X01/primary_doc.xml" TargetMode="External"/><Relationship Id="rId506" Type="http://schemas.openxmlformats.org/officeDocument/2006/relationships/hyperlink" Target="https://www.sec.gov/Archives/edgar/data/1795289/000179528920000003/xslC_X01/primary_doc.xml" TargetMode="External"/><Relationship Id="rId38" Type="http://schemas.openxmlformats.org/officeDocument/2006/relationships/hyperlink" Target="https://www.sec.gov/Archives/edgar/data/1720258/000166516019000762/xslC_X01/primary_doc.xml" TargetMode="External"/><Relationship Id="rId103" Type="http://schemas.openxmlformats.org/officeDocument/2006/relationships/hyperlink" Target="https://www.sec.gov/Archives/edgar/data/1804169/000167025420000181/xslC_X01/primary_doc.xml" TargetMode="External"/><Relationship Id="rId310" Type="http://schemas.openxmlformats.org/officeDocument/2006/relationships/hyperlink" Target="https://www.sec.gov/Archives/edgar/data/1798352/000166919120000120/xslC_X01/primary_doc.xml" TargetMode="External"/><Relationship Id="rId492" Type="http://schemas.openxmlformats.org/officeDocument/2006/relationships/hyperlink" Target="https://www.sec.gov/Archives/edgar/data/1736423/000173642320000005/xslC_X01/primary_doc.xml" TargetMode="External"/><Relationship Id="rId548" Type="http://schemas.openxmlformats.org/officeDocument/2006/relationships/hyperlink" Target="https://www.sec.gov/Archives/edgar/data/1767003/000167025420000041/xslC_X01/primary_doc.xml" TargetMode="External"/><Relationship Id="rId91" Type="http://schemas.openxmlformats.org/officeDocument/2006/relationships/hyperlink" Target="https://www.sec.gov/Archives/edgar/data/1804004/000166516020000276/xslC_X01/primary_doc.xml" TargetMode="External"/><Relationship Id="rId145" Type="http://schemas.openxmlformats.org/officeDocument/2006/relationships/hyperlink" Target="https://www.sec.gov/Archives/edgar/data/1761058/000166828719000073/xslC_X01/primary_doc.xml" TargetMode="External"/><Relationship Id="rId187" Type="http://schemas.openxmlformats.org/officeDocument/2006/relationships/hyperlink" Target="https://www.sec.gov/Archives/edgar/data/1701666/000166516019001181/xslC_X01/primary_doc.xml" TargetMode="External"/><Relationship Id="rId352" Type="http://schemas.openxmlformats.org/officeDocument/2006/relationships/hyperlink" Target="https://www.sec.gov/Archives/edgar/data/1790207/000166828719000059/xslC_X01/primary_doc.xml" TargetMode="External"/><Relationship Id="rId394" Type="http://schemas.openxmlformats.org/officeDocument/2006/relationships/hyperlink" Target="https://www.sec.gov/Archives/edgar/data/1720886/000166516020000082/xslC_X01/primary_doc.xml" TargetMode="External"/><Relationship Id="rId408" Type="http://schemas.openxmlformats.org/officeDocument/2006/relationships/hyperlink" Target="https://www.sec.gov/Archives/edgar/data/1792908/000164460019000029/xslC_X01/primary_doc.xml" TargetMode="External"/><Relationship Id="rId212" Type="http://schemas.openxmlformats.org/officeDocument/2006/relationships/hyperlink" Target="https://www.startengine.com/skinzgg" TargetMode="External"/><Relationship Id="rId254" Type="http://schemas.openxmlformats.org/officeDocument/2006/relationships/hyperlink" Target="https://www.sec.gov/Archives/edgar/data/1767862/000166516020000104/xslC_X01/primary_doc.xml" TargetMode="External"/><Relationship Id="rId49" Type="http://schemas.openxmlformats.org/officeDocument/2006/relationships/hyperlink" Target="https://netcapital.com/companies/thb" TargetMode="External"/><Relationship Id="rId114" Type="http://schemas.openxmlformats.org/officeDocument/2006/relationships/hyperlink" Target="https://wefunder.com/scrap.connection.inc" TargetMode="External"/><Relationship Id="rId296" Type="http://schemas.openxmlformats.org/officeDocument/2006/relationships/hyperlink" Target="https://www.sec.gov/Archives/edgar/data/1803581/000180358120000002/xslC_X01/primary_doc.xml" TargetMode="External"/><Relationship Id="rId461" Type="http://schemas.openxmlformats.org/officeDocument/2006/relationships/hyperlink" Target="https://www.startengine.com/hara-flow" TargetMode="External"/><Relationship Id="rId517" Type="http://schemas.openxmlformats.org/officeDocument/2006/relationships/hyperlink" Target="https://www.startengine.com/ouipleasebox" TargetMode="External"/><Relationship Id="rId559" Type="http://schemas.openxmlformats.org/officeDocument/2006/relationships/hyperlink" Target="https://www.startengine.com/a7fl" TargetMode="External"/><Relationship Id="rId60" Type="http://schemas.openxmlformats.org/officeDocument/2006/relationships/hyperlink" Target="https://www.startengine.com/bruno-albouze-inc" TargetMode="External"/><Relationship Id="rId156" Type="http://schemas.openxmlformats.org/officeDocument/2006/relationships/hyperlink" Target="https://republic.co/linen" TargetMode="External"/><Relationship Id="rId198" Type="http://schemas.openxmlformats.org/officeDocument/2006/relationships/hyperlink" Target="https://www.startengine.com/laneaxis-inc" TargetMode="External"/><Relationship Id="rId321" Type="http://schemas.openxmlformats.org/officeDocument/2006/relationships/hyperlink" Target="https://fundanna.com/equity/offer-summary/420RealEstate" TargetMode="External"/><Relationship Id="rId363" Type="http://schemas.openxmlformats.org/officeDocument/2006/relationships/hyperlink" Target="https://www.startengine.com/chow" TargetMode="External"/><Relationship Id="rId419" Type="http://schemas.openxmlformats.org/officeDocument/2006/relationships/hyperlink" Target="https://wefunder.com/appappinc" TargetMode="External"/><Relationship Id="rId570" Type="http://schemas.openxmlformats.org/officeDocument/2006/relationships/hyperlink" Target="https://www.sec.gov/Archives/edgar/data/1741462/000166610220000002/xslC_X01/primary_doc.xml" TargetMode="External"/><Relationship Id="rId223" Type="http://schemas.openxmlformats.org/officeDocument/2006/relationships/hyperlink" Target="https://www.startengine.com/epilog" TargetMode="External"/><Relationship Id="rId430" Type="http://schemas.openxmlformats.org/officeDocument/2006/relationships/hyperlink" Target="https://www.sec.gov/Archives/edgar/data/1793384/000164460019000027/xslC_X01/primary_doc.xml" TargetMode="External"/><Relationship Id="rId18" Type="http://schemas.openxmlformats.org/officeDocument/2006/relationships/hyperlink" Target="https://www.sec.gov/Archives/edgar/data/1793813/000179381320000001/xslC_X01/primary_doc.xml" TargetMode="External"/><Relationship Id="rId265" Type="http://schemas.openxmlformats.org/officeDocument/2006/relationships/hyperlink" Target="https://wefunder.com/narrative.food" TargetMode="External"/><Relationship Id="rId472" Type="http://schemas.openxmlformats.org/officeDocument/2006/relationships/hyperlink" Target="https://www.sec.gov/Archives/edgar/data/1796599/000179659919000001/xslC_X01/primary_doc.xml" TargetMode="External"/><Relationship Id="rId528" Type="http://schemas.openxmlformats.org/officeDocument/2006/relationships/hyperlink" Target="https://www.sec.gov/Archives/edgar/data/1683872/000166516020000186/xslC_X01/primary_doc.xml" TargetMode="External"/><Relationship Id="rId125" Type="http://schemas.openxmlformats.org/officeDocument/2006/relationships/hyperlink" Target="https://www.sec.gov/Archives/edgar/data/1738707/000166828718000034/xslC_X01/primary_doc.xml" TargetMode="External"/><Relationship Id="rId167" Type="http://schemas.openxmlformats.org/officeDocument/2006/relationships/hyperlink" Target="https://www.sec.gov/Archives/edgar/data/1661779/000110465920032595/xslC_X01/primary_doc.xml" TargetMode="External"/><Relationship Id="rId332" Type="http://schemas.openxmlformats.org/officeDocument/2006/relationships/hyperlink" Target="https://www.sec.gov/Archives/edgar/data/1787023/000178702320000001/xslC_X01/primary_doc.xml" TargetMode="External"/><Relationship Id="rId374" Type="http://schemas.openxmlformats.org/officeDocument/2006/relationships/hyperlink" Target="https://www.sec.gov/Archives/edgar/data/1789864/000166610219000026/xslC_X01/primary_doc.xml" TargetMode="External"/><Relationship Id="rId581" Type="http://schemas.openxmlformats.org/officeDocument/2006/relationships/hyperlink" Target="https://crowdsourcefunded.com/offerings/14/cycles/14" TargetMode="External"/><Relationship Id="rId71" Type="http://schemas.openxmlformats.org/officeDocument/2006/relationships/hyperlink" Target="https://www.sec.gov/Archives/edgar/data/1805193/000166516020000251/xslC_X01/primary_doc.xml" TargetMode="External"/><Relationship Id="rId234" Type="http://schemas.openxmlformats.org/officeDocument/2006/relationships/hyperlink" Target="https://www.sec.gov/Archives/edgar/data/1802096/000180209620000006/xslC_X01/primary_doc.xml" TargetMode="External"/><Relationship Id="rId2" Type="http://schemas.openxmlformats.org/officeDocument/2006/relationships/hyperlink" Target="https://www.sec.gov/Archives/edgar/data/1744757/000166919120000096/xslC_X01/primary_doc.xml" TargetMode="External"/><Relationship Id="rId29" Type="http://schemas.openxmlformats.org/officeDocument/2006/relationships/hyperlink" Target="https://republic.co/hello-baby" TargetMode="External"/><Relationship Id="rId276" Type="http://schemas.openxmlformats.org/officeDocument/2006/relationships/hyperlink" Target="https://disclosurequest.com/form/shockwave-motors-inc./0001669191-20-000006/?returnURL=" TargetMode="External"/><Relationship Id="rId441" Type="http://schemas.openxmlformats.org/officeDocument/2006/relationships/hyperlink" Target="https://www.startengine.com/xti-aircraft" TargetMode="External"/><Relationship Id="rId483" Type="http://schemas.openxmlformats.org/officeDocument/2006/relationships/hyperlink" Target="https://us.trucrowd.com/equity/offer-summary/NUUREZ" TargetMode="External"/><Relationship Id="rId539" Type="http://schemas.openxmlformats.org/officeDocument/2006/relationships/hyperlink" Target="http://soar.com/" TargetMode="External"/><Relationship Id="rId40" Type="http://schemas.openxmlformats.org/officeDocument/2006/relationships/hyperlink" Target="https://disclosurequest.com/form/weeds-never-sleep-llc/0001778006-19-000001/?returnURL=" TargetMode="External"/><Relationship Id="rId136" Type="http://schemas.openxmlformats.org/officeDocument/2006/relationships/hyperlink" Target="https://wefunder.com/locl" TargetMode="External"/><Relationship Id="rId178" Type="http://schemas.openxmlformats.org/officeDocument/2006/relationships/hyperlink" Target="https://wefunder.com/crafthouse.cocktails" TargetMode="External"/><Relationship Id="rId301" Type="http://schemas.openxmlformats.org/officeDocument/2006/relationships/hyperlink" Target="https://wefunder.com/calyx.cultivation" TargetMode="External"/><Relationship Id="rId343" Type="http://schemas.openxmlformats.org/officeDocument/2006/relationships/hyperlink" Target="https://republic.co/layali" TargetMode="External"/><Relationship Id="rId550" Type="http://schemas.openxmlformats.org/officeDocument/2006/relationships/hyperlink" Target="https://www.sec.gov/Archives/edgar/data/1800770/000167025420000065/xslC_X01/primary_doc.xml" TargetMode="External"/><Relationship Id="rId82" Type="http://schemas.openxmlformats.org/officeDocument/2006/relationships/hyperlink" Target="https://republic.co/grit" TargetMode="External"/><Relationship Id="rId203" Type="http://schemas.openxmlformats.org/officeDocument/2006/relationships/hyperlink" Target="https://www.sec.gov/Archives/edgar/data/1792754/000179275419000003/xslC_X01/primary_doc.xml" TargetMode="External"/><Relationship Id="rId385" Type="http://schemas.openxmlformats.org/officeDocument/2006/relationships/hyperlink" Target="https://www.startengine.com/atmos-home" TargetMode="External"/><Relationship Id="rId245" Type="http://schemas.openxmlformats.org/officeDocument/2006/relationships/hyperlink" Target="https://www.startengine.com/msbai" TargetMode="External"/><Relationship Id="rId287" Type="http://schemas.openxmlformats.org/officeDocument/2006/relationships/hyperlink" Target="https://wefunder.com/incluzion" TargetMode="External"/><Relationship Id="rId410" Type="http://schemas.openxmlformats.org/officeDocument/2006/relationships/hyperlink" Target="https://www.sec.gov/Archives/edgar/data/1730695/000173069519000005/xslC_X01/primary_doc.xml" TargetMode="External"/><Relationship Id="rId452" Type="http://schemas.openxmlformats.org/officeDocument/2006/relationships/hyperlink" Target="https://www.sec.gov/Archives/edgar/data/1709628/000167025419000638/xslC_X01/primary_doc.xml" TargetMode="External"/><Relationship Id="rId494" Type="http://schemas.openxmlformats.org/officeDocument/2006/relationships/hyperlink" Target="https://www.sec.gov/Archives/edgar/data/1794073/000167025420000036/xslC_X01/primary_doc.xml" TargetMode="External"/><Relationship Id="rId508" Type="http://schemas.openxmlformats.org/officeDocument/2006/relationships/hyperlink" Target="https://www.sec.gov/Archives/edgar/data/1786858/000166516020000211/xslC_X01/primary_doc.xml" TargetMode="External"/><Relationship Id="rId105" Type="http://schemas.openxmlformats.org/officeDocument/2006/relationships/hyperlink" Target="https://www.sec.gov/Archives/edgar/data/1759081/000166516020000288/xslC_X01/primary_doc.xml" TargetMode="External"/><Relationship Id="rId147" Type="http://schemas.openxmlformats.org/officeDocument/2006/relationships/hyperlink" Target="https://www.sec.gov/Archives/edgar/data/1722137/000172213719000002/xslC_X01/primary_doc.xml" TargetMode="External"/><Relationship Id="rId312" Type="http://schemas.openxmlformats.org/officeDocument/2006/relationships/hyperlink" Target="https://www.sec.gov/Archives/edgar/data/1792121/000179212120000002/xslC_X01/primary_doc.xml" TargetMode="External"/><Relationship Id="rId354" Type="http://schemas.openxmlformats.org/officeDocument/2006/relationships/hyperlink" Target="https://www.sec.gov/Archives/edgar/data/1787345/000167025419000518/xslC_X01/primary_doc.xml" TargetMode="External"/><Relationship Id="rId51" Type="http://schemas.openxmlformats.org/officeDocument/2006/relationships/hyperlink" Target="https://www.startengine.com/thalia" TargetMode="External"/><Relationship Id="rId93" Type="http://schemas.openxmlformats.org/officeDocument/2006/relationships/hyperlink" Target="https://www.sec.gov/Archives/edgar/data/1808015/000166919120000164/xslC_X01/primary_doc.xml" TargetMode="External"/><Relationship Id="rId189" Type="http://schemas.openxmlformats.org/officeDocument/2006/relationships/hyperlink" Target="https://www.sec.gov/Archives/edgar/data/1789108/000167025419000694/xslC_X01/primary_doc.xml" TargetMode="External"/><Relationship Id="rId396" Type="http://schemas.openxmlformats.org/officeDocument/2006/relationships/hyperlink" Target="https://www.sec.gov/Archives/edgar/data/1791625/000166516020000054/xslC_X01/primary_doc.xml" TargetMode="External"/><Relationship Id="rId561" Type="http://schemas.openxmlformats.org/officeDocument/2006/relationships/hyperlink" Target="https://www.startengine.com/chicastacos" TargetMode="External"/><Relationship Id="rId214" Type="http://schemas.openxmlformats.org/officeDocument/2006/relationships/hyperlink" Target="http://skinz.gg/" TargetMode="External"/><Relationship Id="rId256" Type="http://schemas.openxmlformats.org/officeDocument/2006/relationships/hyperlink" Target="https://www.sec.gov/Archives/edgar/data/1771429/000167025419000123/xslC_X01/primary_doc.xml" TargetMode="External"/><Relationship Id="rId298" Type="http://schemas.openxmlformats.org/officeDocument/2006/relationships/hyperlink" Target="https://www.sec.gov/Archives/edgar/data/1805525/000180552520000002/xslC_X01/primary_doc.xml" TargetMode="External"/><Relationship Id="rId421" Type="http://schemas.openxmlformats.org/officeDocument/2006/relationships/hyperlink" Target="https://wunderfund.co/projects/choicetrade/" TargetMode="External"/><Relationship Id="rId463" Type="http://schemas.openxmlformats.org/officeDocument/2006/relationships/hyperlink" Target="https://wefunder.com/skillsoniq" TargetMode="External"/><Relationship Id="rId519" Type="http://schemas.openxmlformats.org/officeDocument/2006/relationships/hyperlink" Target="https://wefunder.com/mammalz" TargetMode="External"/><Relationship Id="rId116" Type="http://schemas.openxmlformats.org/officeDocument/2006/relationships/hyperlink" Target="https://www.razitall.com/pitch/revolving-tread-omnidirectional-treadmill-for-vr" TargetMode="External"/><Relationship Id="rId158" Type="http://schemas.openxmlformats.org/officeDocument/2006/relationships/hyperlink" Target="https://app.microventures.com/crowdfunding/thematic" TargetMode="External"/><Relationship Id="rId323" Type="http://schemas.openxmlformats.org/officeDocument/2006/relationships/hyperlink" Target="https://www.mrcrowd.com/company/CP" TargetMode="External"/><Relationship Id="rId530" Type="http://schemas.openxmlformats.org/officeDocument/2006/relationships/hyperlink" Target="https://www.sec.gov/Archives/edgar/data/1801449/000166516020000075/xslC_X01/primary_doc.xml" TargetMode="External"/><Relationship Id="rId20" Type="http://schemas.openxmlformats.org/officeDocument/2006/relationships/hyperlink" Target="https://www.sec.gov/Archives/edgar/data/1808106/000166516020000332/xslC_X01/primary_doc.xml" TargetMode="External"/><Relationship Id="rId62" Type="http://schemas.openxmlformats.org/officeDocument/2006/relationships/hyperlink" Target="https://wefunder.com/firepie" TargetMode="External"/><Relationship Id="rId365" Type="http://schemas.openxmlformats.org/officeDocument/2006/relationships/hyperlink" Target="https://www.startengine.com/dapper-boi" TargetMode="External"/><Relationship Id="rId572" Type="http://schemas.openxmlformats.org/officeDocument/2006/relationships/hyperlink" Target="https://www.sec.gov/Archives/edgar/data/1748253/000166610219000029/xslC_X01/primary_doc.xml" TargetMode="External"/><Relationship Id="rId225" Type="http://schemas.openxmlformats.org/officeDocument/2006/relationships/hyperlink" Target="https://www.sec.gov/Archives/edgar/data/1802761/000167025420000116/xslC_X01/primary_doc.xml" TargetMode="External"/><Relationship Id="rId267" Type="http://schemas.openxmlformats.org/officeDocument/2006/relationships/hyperlink" Target="https://www.razitall.com/pitch/an-online-ed-tech-industry-app-through-a-call" TargetMode="External"/><Relationship Id="rId432" Type="http://schemas.openxmlformats.org/officeDocument/2006/relationships/hyperlink" Target="https://www.sec.gov/Archives/edgar/data/1794562/000178043920000007/xslC_X01/primary_doc.xml" TargetMode="External"/><Relationship Id="rId474" Type="http://schemas.openxmlformats.org/officeDocument/2006/relationships/hyperlink" Target="https://www.sec.gov/Archives/edgar/data/1769091/000176909119000003/xslC_X01/primary_doc.xml" TargetMode="External"/><Relationship Id="rId127" Type="http://schemas.openxmlformats.org/officeDocument/2006/relationships/hyperlink" Target="https://www.sec.gov/Archives/edgar/data/1783015/000178301519000001/xslC_X01/primary_doc.xml" TargetMode="External"/><Relationship Id="rId31" Type="http://schemas.openxmlformats.org/officeDocument/2006/relationships/hyperlink" Target="https://wefunder.com/keyno.inc" TargetMode="External"/><Relationship Id="rId73" Type="http://schemas.openxmlformats.org/officeDocument/2006/relationships/hyperlink" Target="https://www.sec.gov/Archives/edgar/data/1776308/000167025420000084/xslC_X01/primary_doc.xml" TargetMode="External"/><Relationship Id="rId169" Type="http://schemas.openxmlformats.org/officeDocument/2006/relationships/hyperlink" Target="https://www.sec.gov/Archives/edgar/data/1629933/000167025419000557/xslC_X01/primary_doc.xml" TargetMode="External"/><Relationship Id="rId334" Type="http://schemas.openxmlformats.org/officeDocument/2006/relationships/hyperlink" Target="https://www.sec.gov/Archives/edgar/data/1775538/000166516020000105/xslC_X01/primary_doc.xml" TargetMode="External"/><Relationship Id="rId376" Type="http://schemas.openxmlformats.org/officeDocument/2006/relationships/hyperlink" Target="https://www.sec.gov/Archives/edgar/data/1699476/000166516020000044/xslC_X01/primary_doc.xml" TargetMode="External"/><Relationship Id="rId541" Type="http://schemas.openxmlformats.org/officeDocument/2006/relationships/hyperlink" Target="https://www.sec.gov/Archives/edgar/data/1800456/000167025420000050/xslC_X01/primary_doc.xml" TargetMode="External"/><Relationship Id="rId583" Type="http://schemas.openxmlformats.org/officeDocument/2006/relationships/hyperlink" Target="https://www.startengine.com/geoship" TargetMode="External"/><Relationship Id="rId4" Type="http://schemas.openxmlformats.org/officeDocument/2006/relationships/hyperlink" Target="https://disclosurequest.com/form/fan-owned-club-inc./0001670254-20-000237/?returnURL=" TargetMode="External"/><Relationship Id="rId180" Type="http://schemas.openxmlformats.org/officeDocument/2006/relationships/hyperlink" Target="https://republic.co/delee" TargetMode="External"/><Relationship Id="rId236" Type="http://schemas.openxmlformats.org/officeDocument/2006/relationships/hyperlink" Target="https://www.sec.gov/Archives/edgar/data/1690474/000169047420000002/xslC_X01/primary_doc.xml" TargetMode="External"/><Relationship Id="rId278" Type="http://schemas.openxmlformats.org/officeDocument/2006/relationships/hyperlink" Target="https://www.sec.gov/Archives/edgar/data/1478263/000166516020000028/xslC_X01/primary_doc.xml" TargetMode="External"/><Relationship Id="rId401" Type="http://schemas.openxmlformats.org/officeDocument/2006/relationships/hyperlink" Target="https://republic.co/ember-fund" TargetMode="External"/><Relationship Id="rId443" Type="http://schemas.openxmlformats.org/officeDocument/2006/relationships/hyperlink" Target="https://www.startengine.com/biocurity-pharmaceuticals-inc" TargetMode="External"/><Relationship Id="rId303" Type="http://schemas.openxmlformats.org/officeDocument/2006/relationships/hyperlink" Target="https://wefunder.com/pippysips" TargetMode="External"/><Relationship Id="rId485" Type="http://schemas.openxmlformats.org/officeDocument/2006/relationships/hyperlink" Target="https://wefunder.com/staycool" TargetMode="External"/><Relationship Id="rId42" Type="http://schemas.openxmlformats.org/officeDocument/2006/relationships/hyperlink" Target="https://disclosurequest.com/form/palouse-ag-drone-services-llc/0001668287-18-000070/?returnURL=" TargetMode="External"/><Relationship Id="rId84" Type="http://schemas.openxmlformats.org/officeDocument/2006/relationships/hyperlink" Target="https://wefunder.com/sidehustle.app" TargetMode="External"/><Relationship Id="rId138" Type="http://schemas.openxmlformats.org/officeDocument/2006/relationships/hyperlink" Target="https://wefunder.com/tinybchocolate" TargetMode="External"/><Relationship Id="rId345" Type="http://schemas.openxmlformats.org/officeDocument/2006/relationships/hyperlink" Target="https://www.mrcrowd.com/company/SB" TargetMode="External"/><Relationship Id="rId387" Type="http://schemas.openxmlformats.org/officeDocument/2006/relationships/hyperlink" Target="https://www.startengine.com/called-higher-studios" TargetMode="External"/><Relationship Id="rId510" Type="http://schemas.openxmlformats.org/officeDocument/2006/relationships/hyperlink" Target="https://www.sec.gov/Archives/edgar/data/1707359/000167025420000048/xslC_X01/primary_doc.xml" TargetMode="External"/><Relationship Id="rId552" Type="http://schemas.openxmlformats.org/officeDocument/2006/relationships/hyperlink" Target="https://www.sec.gov/Archives/edgar/data/1802762/000166919120000045/xslC_X01/primary_doc.xml" TargetMode="External"/><Relationship Id="rId191" Type="http://schemas.openxmlformats.org/officeDocument/2006/relationships/hyperlink" Target="https://republic.co/genobank-io" TargetMode="External"/><Relationship Id="rId205" Type="http://schemas.openxmlformats.org/officeDocument/2006/relationships/hyperlink" Target="https://www.sec.gov/Archives/edgar/data/1801721/000180172120000001/xslC_X01/primary_doc.xml" TargetMode="External"/><Relationship Id="rId247" Type="http://schemas.openxmlformats.org/officeDocument/2006/relationships/hyperlink" Target="https://fundanna.com/equity/offer-summary/QwikLeaf" TargetMode="External"/><Relationship Id="rId412" Type="http://schemas.openxmlformats.org/officeDocument/2006/relationships/hyperlink" Target="https://www.sec.gov/Archives/edgar/data/1764730/000173069519000004/xslC_X01/primary_doc.xml" TargetMode="External"/><Relationship Id="rId107" Type="http://schemas.openxmlformats.org/officeDocument/2006/relationships/hyperlink" Target="https://www.sec.gov/cgi-bin/browse-edgar?CIK=0001774152&amp;action=getcompany" TargetMode="External"/><Relationship Id="rId289" Type="http://schemas.openxmlformats.org/officeDocument/2006/relationships/hyperlink" Target="https://www.seedinvest.com/politiscope/seed/highlights" TargetMode="External"/><Relationship Id="rId454" Type="http://schemas.openxmlformats.org/officeDocument/2006/relationships/hyperlink" Target="https://www.sec.gov/Archives/edgar/data/1786194/000166516019001253/xslC_X01/primary_doc.xml" TargetMode="External"/><Relationship Id="rId496" Type="http://schemas.openxmlformats.org/officeDocument/2006/relationships/hyperlink" Target="https://www.sec.gov/Archives/edgar/data/1795240/000167025420000021/xslC_X01/primary_doc.xml" TargetMode="External"/><Relationship Id="rId11" Type="http://schemas.openxmlformats.org/officeDocument/2006/relationships/hyperlink" Target="https://www.nextseed.com/offerings/authentically-american" TargetMode="External"/><Relationship Id="rId53" Type="http://schemas.openxmlformats.org/officeDocument/2006/relationships/hyperlink" Target="https://netcapital.com/companies/dome-audio" TargetMode="External"/><Relationship Id="rId149" Type="http://schemas.openxmlformats.org/officeDocument/2006/relationships/hyperlink" Target="https://www.sec.gov/Archives/edgar/data/1724320/000172432019000002/xslC_X01/primary_doc.xml" TargetMode="External"/><Relationship Id="rId314" Type="http://schemas.openxmlformats.org/officeDocument/2006/relationships/hyperlink" Target="https://www.sec.gov/Archives/edgar/data/1733206/000166516020000016/xslC_X01/primary_doc.xml" TargetMode="External"/><Relationship Id="rId356" Type="http://schemas.openxmlformats.org/officeDocument/2006/relationships/hyperlink" Target="https://www.sec.gov/Archives/edgar/data/1782777/000178277719000002/xslC_X01/primary_doc.xml" TargetMode="External"/><Relationship Id="rId398" Type="http://schemas.openxmlformats.org/officeDocument/2006/relationships/hyperlink" Target="https://www.sec.gov/Archives/edgar/data/1792706/000166516020000143/xslC_X01/primary_doc.xml" TargetMode="External"/><Relationship Id="rId521" Type="http://schemas.openxmlformats.org/officeDocument/2006/relationships/hyperlink" Target="https://wefunder.com/eatpropergood" TargetMode="External"/><Relationship Id="rId563" Type="http://schemas.openxmlformats.org/officeDocument/2006/relationships/hyperlink" Target="https://www.startengine.com/mamiespies" TargetMode="External"/><Relationship Id="rId95" Type="http://schemas.openxmlformats.org/officeDocument/2006/relationships/hyperlink" Target="https://www.sec.gov/Archives/edgar/data/1738026/000173802620000002/xslC_X01/primary_doc.xml" TargetMode="External"/><Relationship Id="rId160" Type="http://schemas.openxmlformats.org/officeDocument/2006/relationships/hyperlink" Target="https://republic.co/rehabpath" TargetMode="External"/><Relationship Id="rId216" Type="http://schemas.openxmlformats.org/officeDocument/2006/relationships/hyperlink" Target="https://www.sec.gov/Archives/edgar/data/1797565/000179756520000001/xslC_X01/primary_doc.xml" TargetMode="External"/><Relationship Id="rId423" Type="http://schemas.openxmlformats.org/officeDocument/2006/relationships/hyperlink" Target="https://www.razitall.com/pitch/journify-wellbeing-coaching-burnout-prevention" TargetMode="External"/><Relationship Id="rId258" Type="http://schemas.openxmlformats.org/officeDocument/2006/relationships/hyperlink" Target="https://www.sec.gov/Archives/edgar/data/1771389/000166828719000009/xslC_X01/primary_doc.xml" TargetMode="External"/><Relationship Id="rId465" Type="http://schemas.openxmlformats.org/officeDocument/2006/relationships/hyperlink" Target="https://www.startengine.com/rumblemotors" TargetMode="External"/><Relationship Id="rId22" Type="http://schemas.openxmlformats.org/officeDocument/2006/relationships/hyperlink" Target="https://www.sec.gov/Archives/edgar/data/1744408/000166516020000328/xslC_X01/primary_doc.xml" TargetMode="External"/><Relationship Id="rId64" Type="http://schemas.openxmlformats.org/officeDocument/2006/relationships/hyperlink" Target="https://www.startengine.com/r3printinginc" TargetMode="External"/><Relationship Id="rId118" Type="http://schemas.openxmlformats.org/officeDocument/2006/relationships/hyperlink" Target="https://fundanna.com/equity/offer-summary/GreenGrowth" TargetMode="External"/><Relationship Id="rId325" Type="http://schemas.openxmlformats.org/officeDocument/2006/relationships/hyperlink" Target="https://www.razitall.com/pitch/help-enable-electric-vehicle-road-travel-in-the-us" TargetMode="External"/><Relationship Id="rId367" Type="http://schemas.openxmlformats.org/officeDocument/2006/relationships/hyperlink" Target="https://www.startengine.com/clearwaterdistilling" TargetMode="External"/><Relationship Id="rId532" Type="http://schemas.openxmlformats.org/officeDocument/2006/relationships/hyperlink" Target="https://www.sec.gov/Archives/edgar/data/1801855/000166516020000071/xslC_X01/primary_doc.xml" TargetMode="External"/><Relationship Id="rId574" Type="http://schemas.openxmlformats.org/officeDocument/2006/relationships/hyperlink" Target="https://www.sec.gov/Archives/edgar/data/1758447/000166610220000001/xslC_X01/primary_doc.xml" TargetMode="External"/><Relationship Id="rId171" Type="http://schemas.openxmlformats.org/officeDocument/2006/relationships/hyperlink" Target="https://www.sec.gov/Archives/edgar/data/1709539/000167025420000070/xslC_X01/primary_doc.xml" TargetMode="External"/><Relationship Id="rId227" Type="http://schemas.openxmlformats.org/officeDocument/2006/relationships/hyperlink" Target="https://buytheblock.com/campaign/melanoid-exchange-is-offering-the-crowd-an-opportunity-to-invest-in-a-mobile-ecommercebooking-platform-dedicated-to-connecting-entrepreneurs-of-color-with-the-world" TargetMode="External"/><Relationship Id="rId269" Type="http://schemas.openxmlformats.org/officeDocument/2006/relationships/hyperlink" Target="https://www.startengine.com/nira-skin" TargetMode="External"/><Relationship Id="rId434" Type="http://schemas.openxmlformats.org/officeDocument/2006/relationships/hyperlink" Target="https://www.sec.gov/Archives/edgar/data/1787976/000178797619000007/xslC_X01/primary_doc.xml" TargetMode="External"/><Relationship Id="rId476" Type="http://schemas.openxmlformats.org/officeDocument/2006/relationships/hyperlink" Target="https://www.sec.gov/Archives/edgar/data/1691657/000169165719000001/xslC_X01/primary_doc.xml" TargetMode="External"/><Relationship Id="rId33" Type="http://schemas.openxmlformats.org/officeDocument/2006/relationships/hyperlink" Target="https://wefunder.com/magnet.analytics" TargetMode="External"/><Relationship Id="rId129" Type="http://schemas.openxmlformats.org/officeDocument/2006/relationships/hyperlink" Target="https://www.sec.gov/Archives/edgar/data/1786413/000166828719000041/xslC_X01/primary_doc.xml" TargetMode="External"/><Relationship Id="rId280" Type="http://schemas.openxmlformats.org/officeDocument/2006/relationships/hyperlink" Target="https://disclosurequest.com/form/we-are-kula-llc/0001669191-20-000053/?returnURL=" TargetMode="External"/><Relationship Id="rId336" Type="http://schemas.openxmlformats.org/officeDocument/2006/relationships/hyperlink" Target="https://www.sec.gov/Archives/edgar/data/1777011/000166516020000152/xslC_X01/primary_doc.xml" TargetMode="External"/><Relationship Id="rId501" Type="http://schemas.openxmlformats.org/officeDocument/2006/relationships/hyperlink" Target="https://republic.co/plei" TargetMode="External"/><Relationship Id="rId543" Type="http://schemas.openxmlformats.org/officeDocument/2006/relationships/hyperlink" Target="https://www.nextseed.com/offerings/zanbazan" TargetMode="External"/><Relationship Id="rId75" Type="http://schemas.openxmlformats.org/officeDocument/2006/relationships/hyperlink" Target="https://www.sec.gov/Archives/edgar/data/1799584/000179958420000003/xslC_X01/primary_doc.xml" TargetMode="External"/><Relationship Id="rId140" Type="http://schemas.openxmlformats.org/officeDocument/2006/relationships/hyperlink" Target="https://wefunder.com/colossal.inc" TargetMode="External"/><Relationship Id="rId182" Type="http://schemas.openxmlformats.org/officeDocument/2006/relationships/hyperlink" Target="https://wefunder.com/billionvegans" TargetMode="External"/><Relationship Id="rId378" Type="http://schemas.openxmlformats.org/officeDocument/2006/relationships/hyperlink" Target="https://www.sec.gov/Archives/edgar/data/1719648/000167025419000591/xslC_X01/primary_doc.xml" TargetMode="External"/><Relationship Id="rId403" Type="http://schemas.openxmlformats.org/officeDocument/2006/relationships/hyperlink" Target="https://republic.co/provenance" TargetMode="External"/><Relationship Id="rId585" Type="http://schemas.openxmlformats.org/officeDocument/2006/relationships/hyperlink" Target="https://www.startengine.com/liquidpiston" TargetMode="External"/><Relationship Id="rId6" Type="http://schemas.openxmlformats.org/officeDocument/2006/relationships/hyperlink" Target="https://www.sec.gov/Archives/edgar/data/1810373/000166516020000394/xslC_X01/primary_doc.xml" TargetMode="External"/><Relationship Id="rId238" Type="http://schemas.openxmlformats.org/officeDocument/2006/relationships/hyperlink" Target="https://www.sec.gov/Archives/edgar/data/1749594/000174959420000001/xslC_X01/primary_doc.xml" TargetMode="External"/><Relationship Id="rId445" Type="http://schemas.openxmlformats.org/officeDocument/2006/relationships/hyperlink" Target="https://republic.co/sunu" TargetMode="External"/><Relationship Id="rId487" Type="http://schemas.openxmlformats.org/officeDocument/2006/relationships/hyperlink" Target="https://www.mrcrowd.com/company/SAB" TargetMode="External"/><Relationship Id="rId291" Type="http://schemas.openxmlformats.org/officeDocument/2006/relationships/hyperlink" Target="https://www.startengine.com/tuffypacks" TargetMode="External"/><Relationship Id="rId305" Type="http://schemas.openxmlformats.org/officeDocument/2006/relationships/hyperlink" Target="https://wefunder.com/mindcurrent" TargetMode="External"/><Relationship Id="rId347" Type="http://schemas.openxmlformats.org/officeDocument/2006/relationships/hyperlink" Target="https://netcapital.com/companies/selenbio" TargetMode="External"/><Relationship Id="rId512" Type="http://schemas.openxmlformats.org/officeDocument/2006/relationships/hyperlink" Target="https://www.sec.gov/Archives/edgar/data/1798296/000178043920000003/xslC_X01/primary_doc.xml" TargetMode="External"/><Relationship Id="rId44" Type="http://schemas.openxmlformats.org/officeDocument/2006/relationships/hyperlink" Target="https://www.sec.gov/Archives/edgar/data/1765620/000166516019000777/xslC_X01/primary_doc.xml" TargetMode="External"/><Relationship Id="rId86" Type="http://schemas.openxmlformats.org/officeDocument/2006/relationships/hyperlink" Target="https://wefunder.com/kazoo" TargetMode="External"/><Relationship Id="rId151" Type="http://schemas.openxmlformats.org/officeDocument/2006/relationships/hyperlink" Target="https://www.sec.gov/Archives/edgar/data/1687316/000147793220001300/xsl1-A_X01/primary_doc.xml" TargetMode="External"/><Relationship Id="rId389" Type="http://schemas.openxmlformats.org/officeDocument/2006/relationships/hyperlink" Target="https://www.startengine.com/currency-tracking-technologies-llc" TargetMode="External"/><Relationship Id="rId554" Type="http://schemas.openxmlformats.org/officeDocument/2006/relationships/hyperlink" Target="https://www.sec.gov/Archives/edgar/data/1585681/000166516020000109/xslC_X01/primary_doc.xml" TargetMode="External"/><Relationship Id="rId193" Type="http://schemas.openxmlformats.org/officeDocument/2006/relationships/hyperlink" Target="http://genobank.io/" TargetMode="External"/><Relationship Id="rId207" Type="http://schemas.openxmlformats.org/officeDocument/2006/relationships/hyperlink" Target="https://www.seedinvest.com/mightyquinns/series.b" TargetMode="External"/><Relationship Id="rId249" Type="http://schemas.openxmlformats.org/officeDocument/2006/relationships/hyperlink" Target="https://www.startengine.com/waterrr-inc" TargetMode="External"/><Relationship Id="rId414" Type="http://schemas.openxmlformats.org/officeDocument/2006/relationships/hyperlink" Target="https://www.sec.gov/Archives/edgar/data/1788672/000167025419000635/xslC_X01/primary_doc.xml" TargetMode="External"/><Relationship Id="rId456" Type="http://schemas.openxmlformats.org/officeDocument/2006/relationships/hyperlink" Target="https://www.sec.gov/Archives/edgar/data/1790595/000166516020000242/xslC_X01/primary_doc.xml" TargetMode="External"/><Relationship Id="rId498" Type="http://schemas.openxmlformats.org/officeDocument/2006/relationships/hyperlink" Target="https://www.sec.gov/Archives/edgar/data/1763323/000166828720000003/xslC_X01/primary_doc.xml" TargetMode="External"/><Relationship Id="rId13" Type="http://schemas.openxmlformats.org/officeDocument/2006/relationships/hyperlink" Target="https://www.seedinvest.com/ardvrk.technologies/seed" TargetMode="External"/><Relationship Id="rId109" Type="http://schemas.openxmlformats.org/officeDocument/2006/relationships/hyperlink" Target="https://www.sec.gov/Archives/edgar/data/1725567/000166919119000295/xslC_X01/primary_doc.xml" TargetMode="External"/><Relationship Id="rId260" Type="http://schemas.openxmlformats.org/officeDocument/2006/relationships/hyperlink" Target="https://www.sec.gov/Archives/edgar/data/1772701/000166828719000011/xslC_X01/primary_doc.xml" TargetMode="External"/><Relationship Id="rId316" Type="http://schemas.openxmlformats.org/officeDocument/2006/relationships/hyperlink" Target="https://www.sec.gov/Archives/edgar/data/1772451/000166828719000012/xslC_X01/primary_doc.xml" TargetMode="External"/><Relationship Id="rId523" Type="http://schemas.openxmlformats.org/officeDocument/2006/relationships/hyperlink" Target="https://republic.co/fashwire" TargetMode="External"/><Relationship Id="rId55" Type="http://schemas.openxmlformats.org/officeDocument/2006/relationships/hyperlink" Target="https://us.trucrowd.com/equity/offer-summary/kulaBrands" TargetMode="External"/><Relationship Id="rId97" Type="http://schemas.openxmlformats.org/officeDocument/2006/relationships/hyperlink" Target="https://www.sec.gov/Archives/edgar/data/1786855/000166919120000144/xslC_X01/primary_doc.xml" TargetMode="External"/><Relationship Id="rId120" Type="http://schemas.openxmlformats.org/officeDocument/2006/relationships/hyperlink" Target="https://www.razitall.com/pitch/every-dog-s-neck-deserves-hemp-gear-from-earthdog" TargetMode="External"/><Relationship Id="rId358" Type="http://schemas.openxmlformats.org/officeDocument/2006/relationships/hyperlink" Target="https://www.sec.gov/Archives/edgar/data/1787792/000166516020000009/xslC_X01/primary_doc.xml" TargetMode="External"/><Relationship Id="rId565" Type="http://schemas.openxmlformats.org/officeDocument/2006/relationships/hyperlink" Target="https://www.startengine.com/climatecase" TargetMode="External"/><Relationship Id="rId162" Type="http://schemas.openxmlformats.org/officeDocument/2006/relationships/hyperlink" Target="https://www.startengine.com/gradyscoldbrew" TargetMode="External"/><Relationship Id="rId218" Type="http://schemas.openxmlformats.org/officeDocument/2006/relationships/hyperlink" Target="https://www.sec.gov/Archives/edgar/data/1800212/000167025420000016/xslC_X01/primary_doc.xml" TargetMode="External"/><Relationship Id="rId425" Type="http://schemas.openxmlformats.org/officeDocument/2006/relationships/hyperlink" Target="https://netcapital.com/companies/stemsation" TargetMode="External"/><Relationship Id="rId467" Type="http://schemas.openxmlformats.org/officeDocument/2006/relationships/hyperlink" Target="https://www.startengine.com/primelightworks" TargetMode="External"/><Relationship Id="rId271" Type="http://schemas.openxmlformats.org/officeDocument/2006/relationships/hyperlink" Target="https://republic.co/70-million-jobs" TargetMode="External"/><Relationship Id="rId24" Type="http://schemas.openxmlformats.org/officeDocument/2006/relationships/hyperlink" Target="https://www.sec.gov/Archives/edgar/data/1804161/000180416120000001/xslC_X01/primary_doc.xml" TargetMode="External"/><Relationship Id="rId66" Type="http://schemas.openxmlformats.org/officeDocument/2006/relationships/hyperlink" Target="https://app.microventures.com/crowdfunding/a-cajun-life" TargetMode="External"/><Relationship Id="rId131" Type="http://schemas.openxmlformats.org/officeDocument/2006/relationships/hyperlink" Target="https://www.sec.gov/Archives/edgar/data/1739088/000166828718000031/xslC_X01/primary_doc.xml" TargetMode="External"/><Relationship Id="rId327" Type="http://schemas.openxmlformats.org/officeDocument/2006/relationships/hyperlink" Target="https://crowdsourcefunded.com/offerings/13/cycles/13" TargetMode="External"/><Relationship Id="rId369" Type="http://schemas.openxmlformats.org/officeDocument/2006/relationships/hyperlink" Target="https://www.startengine.com/gosuninc" TargetMode="External"/><Relationship Id="rId534" Type="http://schemas.openxmlformats.org/officeDocument/2006/relationships/hyperlink" Target="https://www.sec.gov/Archives/edgar/data/1799227/000166516020000079/xslC_X01/primary_doc.xml" TargetMode="External"/><Relationship Id="rId576" Type="http://schemas.openxmlformats.org/officeDocument/2006/relationships/hyperlink" Target="https://www.sec.gov/Archives/edgar/data/1742800/000166828719000051/xslC_X01/primary_doc.xml" TargetMode="External"/><Relationship Id="rId173" Type="http://schemas.openxmlformats.org/officeDocument/2006/relationships/hyperlink" Target="https://www.sec.gov/Archives/edgar/data/1702371/000170237119000002/xslC_X01/primary_doc.xml" TargetMode="External"/><Relationship Id="rId229" Type="http://schemas.openxmlformats.org/officeDocument/2006/relationships/hyperlink" Target="https://buytheblock.com/campaign/connecting-farmers-to-people-reconnecting-people-to-real-food-1" TargetMode="External"/><Relationship Id="rId380" Type="http://schemas.openxmlformats.org/officeDocument/2006/relationships/hyperlink" Target="https://www.sec.gov/Archives/edgar/data/1791992/000166516020000151/xslC_X01/primary_doc.xml" TargetMode="External"/><Relationship Id="rId436" Type="http://schemas.openxmlformats.org/officeDocument/2006/relationships/hyperlink" Target="https://www.sec.gov/Archives/edgar/data/1791378/000167025419000617/xslC_X01/primary_doc.xml" TargetMode="External"/><Relationship Id="rId240" Type="http://schemas.openxmlformats.org/officeDocument/2006/relationships/hyperlink" Target="https://www.sec.gov/Archives/edgar/data/1793079/000179307920000001/xslC_X01/primary_doc.xml" TargetMode="External"/><Relationship Id="rId478" Type="http://schemas.openxmlformats.org/officeDocument/2006/relationships/hyperlink" Target="https://republic.co/hellowoofy" TargetMode="External"/><Relationship Id="rId35" Type="http://schemas.openxmlformats.org/officeDocument/2006/relationships/hyperlink" Target="https://www.seedinvest.com/cellarstash/series.a/highlights" TargetMode="External"/><Relationship Id="rId77" Type="http://schemas.openxmlformats.org/officeDocument/2006/relationships/hyperlink" Target="https://www.sec.gov/Archives/edgar/data/1708246/000170824620000001/xslC_X01/primary_doc.xml" TargetMode="External"/><Relationship Id="rId100" Type="http://schemas.openxmlformats.org/officeDocument/2006/relationships/hyperlink" Target="https://republic.co/cricclubs" TargetMode="External"/><Relationship Id="rId282" Type="http://schemas.openxmlformats.org/officeDocument/2006/relationships/hyperlink" Target="https://www.sec.gov/Archives/edgar/data/1554477/000155447720000002/xslC_X01/primary_doc.xml" TargetMode="External"/><Relationship Id="rId338" Type="http://schemas.openxmlformats.org/officeDocument/2006/relationships/hyperlink" Target="https://www.sec.gov/Archives/edgar/data/1784186/000167025419000508/xslC_X01/primary_doc.xml" TargetMode="External"/><Relationship Id="rId503" Type="http://schemas.openxmlformats.org/officeDocument/2006/relationships/hyperlink" Target="https://republic.co/a-boring-life" TargetMode="External"/><Relationship Id="rId545" Type="http://schemas.openxmlformats.org/officeDocument/2006/relationships/hyperlink" Target="https://www.startengine.com/pienergy" TargetMode="External"/><Relationship Id="rId587" Type="http://schemas.openxmlformats.org/officeDocument/2006/relationships/hyperlink" Target="https://app.microventures.com/crowdfunding/oracle-health" TargetMode="External"/><Relationship Id="rId8" Type="http://schemas.openxmlformats.org/officeDocument/2006/relationships/hyperlink" Target="https://www.sec.gov/Archives/edgar/data/1805056/000180505620000001/xslC_X01/primary_doc.xml" TargetMode="External"/><Relationship Id="rId142" Type="http://schemas.openxmlformats.org/officeDocument/2006/relationships/hyperlink" Target="https://wefunder.com/promsocial" TargetMode="External"/><Relationship Id="rId184" Type="http://schemas.openxmlformats.org/officeDocument/2006/relationships/hyperlink" Target="https://republic.co/story2" TargetMode="External"/><Relationship Id="rId391" Type="http://schemas.openxmlformats.org/officeDocument/2006/relationships/hyperlink" Target="https://www.startengine.com/rhino-hide-inc" TargetMode="External"/><Relationship Id="rId405" Type="http://schemas.openxmlformats.org/officeDocument/2006/relationships/hyperlink" Target="https://republic.co/wandering-barman" TargetMode="External"/><Relationship Id="rId447" Type="http://schemas.openxmlformats.org/officeDocument/2006/relationships/hyperlink" Target="https://www.startengine.com/skunk-brothers" TargetMode="External"/><Relationship Id="rId251" Type="http://schemas.openxmlformats.org/officeDocument/2006/relationships/hyperlink" Target="https://www.startengine.com/81-c" TargetMode="External"/><Relationship Id="rId489" Type="http://schemas.openxmlformats.org/officeDocument/2006/relationships/hyperlink" Target="https://www.mrcrowd.com/company/CS" TargetMode="External"/><Relationship Id="rId46" Type="http://schemas.openxmlformats.org/officeDocument/2006/relationships/hyperlink" Target="https://www.sec.gov/Archives/edgar/data/1777377/000166516019000782/xslC_X01/primary_doc.xml" TargetMode="External"/><Relationship Id="rId293" Type="http://schemas.openxmlformats.org/officeDocument/2006/relationships/hyperlink" Target="https://fundopolis.com/raisedetails?id=4977250b-c81b-4947-a175-c0b0b037f097" TargetMode="External"/><Relationship Id="rId307" Type="http://schemas.openxmlformats.org/officeDocument/2006/relationships/hyperlink" Target="https://wefunder.com/fundcurastory" TargetMode="External"/><Relationship Id="rId349" Type="http://schemas.openxmlformats.org/officeDocument/2006/relationships/hyperlink" Target="https://republic.co/avenify" TargetMode="External"/><Relationship Id="rId514" Type="http://schemas.openxmlformats.org/officeDocument/2006/relationships/hyperlink" Target="https://www.sec.gov/Archives/edgar/data/1737259/000178043920000001/xslC_X01/primary_doc.xml" TargetMode="External"/><Relationship Id="rId556" Type="http://schemas.openxmlformats.org/officeDocument/2006/relationships/hyperlink" Target="https://www.sec.gov/Archives/edgar/data/1800755/000166516020000114/xslC_X01/primary_doc.xml" TargetMode="External"/><Relationship Id="rId88" Type="http://schemas.openxmlformats.org/officeDocument/2006/relationships/hyperlink" Target="https://wefunder.com/next.door.photos" TargetMode="External"/><Relationship Id="rId111" Type="http://schemas.openxmlformats.org/officeDocument/2006/relationships/hyperlink" Target="https://www.sec.gov/Archives/edgar/data/1785391/000178539119000001/xslC_X01/primary_doc.xml" TargetMode="External"/><Relationship Id="rId153" Type="http://schemas.openxmlformats.org/officeDocument/2006/relationships/hyperlink" Target="https://www.sec.gov/Archives/edgar/data/1791397/000167025419000652/xslC_X01/primary_doc.xml" TargetMode="External"/><Relationship Id="rId195" Type="http://schemas.openxmlformats.org/officeDocument/2006/relationships/hyperlink" Target="https://www.sec.gov/Archives/edgar/data/1799231/000179923120000001/xslC_X01/primary_doc.xml" TargetMode="External"/><Relationship Id="rId209" Type="http://schemas.openxmlformats.org/officeDocument/2006/relationships/hyperlink" Target="https://republic.co/sienna-sauce" TargetMode="External"/><Relationship Id="rId360" Type="http://schemas.openxmlformats.org/officeDocument/2006/relationships/hyperlink" Target="https://www.sec.gov/Archives/edgar/data/1706765/000167025419000538/xslC_X01/primary_doc.xml" TargetMode="External"/><Relationship Id="rId416" Type="http://schemas.openxmlformats.org/officeDocument/2006/relationships/hyperlink" Target="https://www.sec.gov/Archives/edgar/data/1793349/000179334920000001/xslC_X01/primary_doc.xml" TargetMode="External"/><Relationship Id="rId220" Type="http://schemas.openxmlformats.org/officeDocument/2006/relationships/hyperlink" Target="https://www.sec.gov/Archives/edgar/data/1674612/000166919120000078/xslC_X01/primary_doc.xml" TargetMode="External"/><Relationship Id="rId458" Type="http://schemas.openxmlformats.org/officeDocument/2006/relationships/hyperlink" Target="https://www.startengine.com/commerceai" TargetMode="External"/><Relationship Id="rId15" Type="http://schemas.openxmlformats.org/officeDocument/2006/relationships/hyperlink" Target="https://republic.co/buzzn" TargetMode="External"/><Relationship Id="rId57" Type="http://schemas.openxmlformats.org/officeDocument/2006/relationships/hyperlink" Target="https://republic.co/axle-ai" TargetMode="External"/><Relationship Id="rId262" Type="http://schemas.openxmlformats.org/officeDocument/2006/relationships/hyperlink" Target="https://www.sec.gov/Archives/edgar/data/1796364/000167025419000730/xslC_X01/primary_doc.xml" TargetMode="External"/><Relationship Id="rId318" Type="http://schemas.openxmlformats.org/officeDocument/2006/relationships/hyperlink" Target="https://www.sec.gov/Archives/edgar/data/1767762/000176776219000001/xslC_X01/primary_doc.xml" TargetMode="External"/><Relationship Id="rId525" Type="http://schemas.openxmlformats.org/officeDocument/2006/relationships/hyperlink" Target="https://republic.co/dispatch-goods" TargetMode="External"/><Relationship Id="rId567" Type="http://schemas.openxmlformats.org/officeDocument/2006/relationships/hyperlink" Target="https://wefunder.com/fuchsia.shoes" TargetMode="External"/><Relationship Id="rId99" Type="http://schemas.openxmlformats.org/officeDocument/2006/relationships/hyperlink" Target="https://www.sec.gov/Archives/edgar/data/1807984/000180798420000003/xslC_X01/primary_doc.xml" TargetMode="External"/><Relationship Id="rId122" Type="http://schemas.openxmlformats.org/officeDocument/2006/relationships/hyperlink" Target="https://www.razitall.com/pitch/transforming-adult-literacy-through-pop-music" TargetMode="External"/><Relationship Id="rId164" Type="http://schemas.openxmlformats.org/officeDocument/2006/relationships/hyperlink" Target="https://www.startengine.com/phormed" TargetMode="External"/><Relationship Id="rId371" Type="http://schemas.openxmlformats.org/officeDocument/2006/relationships/hyperlink" Target="https://us.trucrowd.com/equity/offer-summary/Flowh" TargetMode="External"/><Relationship Id="rId427" Type="http://schemas.openxmlformats.org/officeDocument/2006/relationships/hyperlink" Target="https://netcapital.com/companies/attorney-et-al" TargetMode="External"/><Relationship Id="rId469" Type="http://schemas.openxmlformats.org/officeDocument/2006/relationships/hyperlink" Target="https://www.startengine.com/companioncbd" TargetMode="External"/><Relationship Id="rId26" Type="http://schemas.openxmlformats.org/officeDocument/2006/relationships/hyperlink" Target="https://www.sec.gov/Archives/edgar/data/1807583/000167025420000215/xslC_X01/primary_doc.xml" TargetMode="External"/><Relationship Id="rId231" Type="http://schemas.openxmlformats.org/officeDocument/2006/relationships/hyperlink" Target="https://netcapital.com/companies/yahyn" TargetMode="External"/><Relationship Id="rId273" Type="http://schemas.openxmlformats.org/officeDocument/2006/relationships/hyperlink" Target="https://republic.co/natural-selection" TargetMode="External"/><Relationship Id="rId329" Type="http://schemas.openxmlformats.org/officeDocument/2006/relationships/hyperlink" Target="https://www.startengine.com/sanmelix" TargetMode="External"/><Relationship Id="rId480" Type="http://schemas.openxmlformats.org/officeDocument/2006/relationships/hyperlink" Target="http://hellowoofy.com/" TargetMode="External"/><Relationship Id="rId536" Type="http://schemas.openxmlformats.org/officeDocument/2006/relationships/hyperlink" Target="https://www.sec.gov/Archives/edgar/data/1801610/000180161020000002/xslC_X01/primary_doc.xml" TargetMode="External"/><Relationship Id="rId68" Type="http://schemas.openxmlformats.org/officeDocument/2006/relationships/hyperlink" Target="https://www.startengine.com/penny-luck" TargetMode="External"/><Relationship Id="rId133" Type="http://schemas.openxmlformats.org/officeDocument/2006/relationships/hyperlink" Target="https://www.sec.gov/Archives/edgar/data/1685241/000167025419000443/xslC_X01/primary_doc.xml" TargetMode="External"/><Relationship Id="rId175" Type="http://schemas.openxmlformats.org/officeDocument/2006/relationships/hyperlink" Target="https://www.sec.gov/Archives/edgar/data/1792907/000167025419000675/xslC_X01/primary_doc.xml" TargetMode="External"/><Relationship Id="rId340" Type="http://schemas.openxmlformats.org/officeDocument/2006/relationships/hyperlink" Target="https://www.sec.gov/Archives/edgar/data/1777204/000177720419000008/xslC_X01/primary_doc.xml" TargetMode="External"/><Relationship Id="rId578" Type="http://schemas.openxmlformats.org/officeDocument/2006/relationships/hyperlink" Target="https://www.sec.gov/Archives/edgar/data/1740066/000166828719000036/xslC_X01/primary_doc.xml" TargetMode="External"/><Relationship Id="rId200" Type="http://schemas.openxmlformats.org/officeDocument/2006/relationships/hyperlink" Target="https://wefunder.com/sunstate.laboratories" TargetMode="External"/><Relationship Id="rId382" Type="http://schemas.openxmlformats.org/officeDocument/2006/relationships/hyperlink" Target="https://www.sec.gov/Archives/edgar/data/1792013/000179201319000001/xslC_X01/primary_doc.xml" TargetMode="External"/><Relationship Id="rId438" Type="http://schemas.openxmlformats.org/officeDocument/2006/relationships/hyperlink" Target="https://www.sec.gov/Archives/edgar/data/1794484/000179448420000001/xslC_X01/primary_doc.xml" TargetMode="External"/><Relationship Id="rId242" Type="http://schemas.openxmlformats.org/officeDocument/2006/relationships/hyperlink" Target="https://www.sec.gov/Archives/edgar/data/1761248/000166516020000187/xslC_X01/primary_doc.xml" TargetMode="External"/><Relationship Id="rId284" Type="http://schemas.openxmlformats.org/officeDocument/2006/relationships/hyperlink" Target="https://www.sec.gov/Archives/edgar/data/1677789/000166516020000134/xslC_X01/primary_doc.xml" TargetMode="External"/><Relationship Id="rId491" Type="http://schemas.openxmlformats.org/officeDocument/2006/relationships/hyperlink" Target="https://republic.co/acciyo" TargetMode="External"/><Relationship Id="rId505" Type="http://schemas.openxmlformats.org/officeDocument/2006/relationships/hyperlink" Target="https://app.microventures.com/crowdfunding/canntrade" TargetMode="External"/><Relationship Id="rId37" Type="http://schemas.openxmlformats.org/officeDocument/2006/relationships/hyperlink" Target="https://www.startengine.com/storen-technologies" TargetMode="External"/><Relationship Id="rId79" Type="http://schemas.openxmlformats.org/officeDocument/2006/relationships/hyperlink" Target="https://www.sec.gov/Archives/edgar/data/1806364/000167025420000189/xslC_X01/primary_doc.xml" TargetMode="External"/><Relationship Id="rId102" Type="http://schemas.openxmlformats.org/officeDocument/2006/relationships/hyperlink" Target="https://wefunder.com/indy.brand" TargetMode="External"/><Relationship Id="rId144" Type="http://schemas.openxmlformats.org/officeDocument/2006/relationships/hyperlink" Target="https://www.razitall.com/pitch/patented-see-me-live-video-platform-prelaunch" TargetMode="External"/><Relationship Id="rId547" Type="http://schemas.openxmlformats.org/officeDocument/2006/relationships/hyperlink" Target="https://wefunder.com/delsure.health.insurance" TargetMode="External"/><Relationship Id="rId589" Type="http://schemas.openxmlformats.org/officeDocument/2006/relationships/drawing" Target="../drawings/drawing1.xml"/><Relationship Id="rId90" Type="http://schemas.openxmlformats.org/officeDocument/2006/relationships/hyperlink" Target="https://www.startengine.com/clear-genius" TargetMode="External"/><Relationship Id="rId186" Type="http://schemas.openxmlformats.org/officeDocument/2006/relationships/hyperlink" Target="https://www.startengine.com/akibah-health" TargetMode="External"/><Relationship Id="rId351" Type="http://schemas.openxmlformats.org/officeDocument/2006/relationships/hyperlink" Target="https://www.razitall.com/pitch/chinese-global-real-estate-investments" TargetMode="External"/><Relationship Id="rId393" Type="http://schemas.openxmlformats.org/officeDocument/2006/relationships/hyperlink" Target="https://www.startengine.com/megalopolis-city-of-collectibles" TargetMode="External"/><Relationship Id="rId407" Type="http://schemas.openxmlformats.org/officeDocument/2006/relationships/hyperlink" Target="https://fundopolis.com/raisedetails?id=9cb5cc21-8150-4f49-b910-ddd18591159e" TargetMode="External"/><Relationship Id="rId449" Type="http://schemas.openxmlformats.org/officeDocument/2006/relationships/hyperlink" Target="https://www.startengine.com/airemos" TargetMode="External"/><Relationship Id="rId211" Type="http://schemas.openxmlformats.org/officeDocument/2006/relationships/hyperlink" Target="http://skinz.gg/" TargetMode="External"/><Relationship Id="rId253" Type="http://schemas.openxmlformats.org/officeDocument/2006/relationships/hyperlink" Target="https://www.startengine.com/trella" TargetMode="External"/><Relationship Id="rId295" Type="http://schemas.openxmlformats.org/officeDocument/2006/relationships/hyperlink" Target="https://www.seedinvest.com/fluux/pre.seed/highlights" TargetMode="External"/><Relationship Id="rId309" Type="http://schemas.openxmlformats.org/officeDocument/2006/relationships/hyperlink" Target="https://netcapital.com/companies/ask" TargetMode="External"/><Relationship Id="rId460" Type="http://schemas.openxmlformats.org/officeDocument/2006/relationships/hyperlink" Target="http://commerce.ai/" TargetMode="External"/><Relationship Id="rId516" Type="http://schemas.openxmlformats.org/officeDocument/2006/relationships/hyperlink" Target="https://www.sec.gov/Archives/edgar/data/1796532/000179653220000002/xslC_X01/primary_doc.xml" TargetMode="External"/><Relationship Id="rId48" Type="http://schemas.openxmlformats.org/officeDocument/2006/relationships/hyperlink" Target="https://www.sec.gov/Archives/edgar/data/1654124/000166516019000786/xslC_X01/primary_doc.xml" TargetMode="External"/><Relationship Id="rId113" Type="http://schemas.openxmlformats.org/officeDocument/2006/relationships/hyperlink" Target="https://www.sec.gov/Archives/edgar/data/1786471/000167025419000484/xslC_X01/primary_doc.xml" TargetMode="External"/><Relationship Id="rId320" Type="http://schemas.openxmlformats.org/officeDocument/2006/relationships/hyperlink" Target="https://www.sec.gov/Archives/edgar/data/1773714/000177371420000001/xslC_X01/primary_doc.xml" TargetMode="External"/><Relationship Id="rId558" Type="http://schemas.openxmlformats.org/officeDocument/2006/relationships/hyperlink" Target="https://www.sec.gov/Archives/edgar/data/1800826/000167025420000107/xslC_X01/primary_doc.xml" TargetMode="External"/><Relationship Id="rId155" Type="http://schemas.openxmlformats.org/officeDocument/2006/relationships/hyperlink" Target="https://www.sec.gov/Archives/edgar/data/1791127/000166516019001157/xslC_X01/primary_doc.xml" TargetMode="External"/><Relationship Id="rId197" Type="http://schemas.openxmlformats.org/officeDocument/2006/relationships/hyperlink" Target="https://www.sec.gov/Archives/edgar/data/1779318/000177931820000002/xslC_X01/primary_doc.xml" TargetMode="External"/><Relationship Id="rId362" Type="http://schemas.openxmlformats.org/officeDocument/2006/relationships/hyperlink" Target="https://www.sec.gov/Archives/edgar/data/1787343/000167025419000530/xslC_X01/primary_doc.xml" TargetMode="External"/><Relationship Id="rId418" Type="http://schemas.openxmlformats.org/officeDocument/2006/relationships/hyperlink" Target="https://www.sec.gov/Archives/edgar/data/1789840/000167025419000610/xslC_X01/primary_doc.xml" TargetMode="External"/><Relationship Id="rId222" Type="http://schemas.openxmlformats.org/officeDocument/2006/relationships/hyperlink" Target="https://www.sec.gov/Archives/edgar/data/1800753/000166516020000164/xslC_X01/primary_doc.xml" TargetMode="External"/><Relationship Id="rId264" Type="http://schemas.openxmlformats.org/officeDocument/2006/relationships/hyperlink" Target="https://www.sec.gov/Archives/edgar/data/1707572/000167025419000728/xslC_X01/primary_doc.xml" TargetMode="External"/><Relationship Id="rId471" Type="http://schemas.openxmlformats.org/officeDocument/2006/relationships/hyperlink" Target="https://republic.co/juna" TargetMode="External"/><Relationship Id="rId17" Type="http://schemas.openxmlformats.org/officeDocument/2006/relationships/hyperlink" Target="https://republic.co/pathbooks" TargetMode="External"/><Relationship Id="rId59" Type="http://schemas.openxmlformats.org/officeDocument/2006/relationships/hyperlink" Target="http://axle.ai/" TargetMode="External"/><Relationship Id="rId124" Type="http://schemas.openxmlformats.org/officeDocument/2006/relationships/hyperlink" Target="https://www.razitall.com/pitch/the-new-ice-age-borealis-rare-iceberg-beer" TargetMode="External"/><Relationship Id="rId527" Type="http://schemas.openxmlformats.org/officeDocument/2006/relationships/hyperlink" Target="https://www.startengine.com/sondors-electric-car-company" TargetMode="External"/><Relationship Id="rId569" Type="http://schemas.openxmlformats.org/officeDocument/2006/relationships/hyperlink" Target="https://www.mrcrowd.com/company/TAC" TargetMode="External"/><Relationship Id="rId70" Type="http://schemas.openxmlformats.org/officeDocument/2006/relationships/hyperlink" Target="https://www.startengine.com/younggodbrands" TargetMode="External"/><Relationship Id="rId166" Type="http://schemas.openxmlformats.org/officeDocument/2006/relationships/hyperlink" Target="https://us.trucrowd.com/equity/offer-summary/StartEngine2" TargetMode="External"/><Relationship Id="rId331" Type="http://schemas.openxmlformats.org/officeDocument/2006/relationships/hyperlink" Target="https://fundanna.com/equity/offer-summary/LEAFandASH" TargetMode="External"/><Relationship Id="rId373" Type="http://schemas.openxmlformats.org/officeDocument/2006/relationships/hyperlink" Target="https://www.mrcrowd.com/company/CEO" TargetMode="External"/><Relationship Id="rId429" Type="http://schemas.openxmlformats.org/officeDocument/2006/relationships/hyperlink" Target="https://fundopolis.com/raisedetails?id=aa091a32-310e-4491-9f4f-ca7a340b643a" TargetMode="External"/><Relationship Id="rId580" Type="http://schemas.openxmlformats.org/officeDocument/2006/relationships/hyperlink" Target="https://www.sec.gov/Archives/edgar/data/1796828/000179682820000002/xslC_X01/primary_doc.xml" TargetMode="External"/><Relationship Id="rId1" Type="http://schemas.openxmlformats.org/officeDocument/2006/relationships/hyperlink" Target="https://netcapital.com/companies/kingscrowd" TargetMode="External"/><Relationship Id="rId233" Type="http://schemas.openxmlformats.org/officeDocument/2006/relationships/hyperlink" Target="https://republic.co/teooh" TargetMode="External"/><Relationship Id="rId440" Type="http://schemas.openxmlformats.org/officeDocument/2006/relationships/hyperlink" Target="https://www.sec.gov/Archives/edgar/data/1791125/000166516020000246/xslC_X01/primary_doc.xml" TargetMode="External"/><Relationship Id="rId28" Type="http://schemas.openxmlformats.org/officeDocument/2006/relationships/hyperlink" Target="https://www.sec.gov/Archives/edgar/data/1805018/000180501820000007/xslC_X01/primary_doc.xml" TargetMode="External"/><Relationship Id="rId275" Type="http://schemas.openxmlformats.org/officeDocument/2006/relationships/hyperlink" Target="https://netcapital.com/companies/shockwave-motors" TargetMode="External"/><Relationship Id="rId300" Type="http://schemas.openxmlformats.org/officeDocument/2006/relationships/hyperlink" Target="https://www.sec.gov/Archives/edgar/data/1805743/000180574320000002/xslC_X01/primary_doc.xml" TargetMode="External"/><Relationship Id="rId482" Type="http://schemas.openxmlformats.org/officeDocument/2006/relationships/hyperlink" Target="https://www.sec.gov/Archives/edgar/data/1788682/000167025419000710/xslC_X01/primary_doc.xml" TargetMode="External"/><Relationship Id="rId538" Type="http://schemas.openxmlformats.org/officeDocument/2006/relationships/hyperlink" Target="https://www.sec.gov/Archives/edgar/data/1796093/000167025420000014/xslC_X01/primary_doc.xml" TargetMode="External"/><Relationship Id="rId81" Type="http://schemas.openxmlformats.org/officeDocument/2006/relationships/hyperlink" Target="https://www.sec.gov/Archives/edgar/data/1803906/000166919120000138/xslC_X01/primary_doc.xml" TargetMode="External"/><Relationship Id="rId135" Type="http://schemas.openxmlformats.org/officeDocument/2006/relationships/hyperlink" Target="https://www.sec.gov/Archives/edgar/data/1725162/000167025419000492/xslC_X01/primary_doc.xml" TargetMode="External"/><Relationship Id="rId177" Type="http://schemas.openxmlformats.org/officeDocument/2006/relationships/hyperlink" Target="https://www.sec.gov/Archives/edgar/data/1722969/000166516019001173/xslC_X01/primary_doc.xml" TargetMode="External"/><Relationship Id="rId342" Type="http://schemas.openxmlformats.org/officeDocument/2006/relationships/hyperlink" Target="https://www.sec.gov/Archives/edgar/data/1762281/000166828719000056/xslC_X01/primary_doc.xml" TargetMode="External"/><Relationship Id="rId384" Type="http://schemas.openxmlformats.org/officeDocument/2006/relationships/hyperlink" Target="https://www.sec.gov/Archives/edgar/data/1791721/000166516020000052/xslC_X01/primary_doc.xml" TargetMode="External"/><Relationship Id="rId591" Type="http://schemas.openxmlformats.org/officeDocument/2006/relationships/comments" Target="../comments1.xml"/><Relationship Id="rId202" Type="http://schemas.openxmlformats.org/officeDocument/2006/relationships/hyperlink" Target="https://equifundcfp.com/illusio/" TargetMode="External"/><Relationship Id="rId244" Type="http://schemas.openxmlformats.org/officeDocument/2006/relationships/hyperlink" Target="https://www.sec.gov/Archives/edgar/data/1758617/000166516019001233/xslC_X01/primary_doc.xml" TargetMode="External"/><Relationship Id="rId39" Type="http://schemas.openxmlformats.org/officeDocument/2006/relationships/hyperlink" Target="https://us.trucrowd.com/equity/offer-summary/WeedsNeverSleep" TargetMode="External"/><Relationship Id="rId286" Type="http://schemas.openxmlformats.org/officeDocument/2006/relationships/hyperlink" Target="https://www.sec.gov/Archives/edgar/data/1788193/000167025420000074/xslC_X01/primary_doc.xml" TargetMode="External"/><Relationship Id="rId451" Type="http://schemas.openxmlformats.org/officeDocument/2006/relationships/hyperlink" Target="https://wefunder.com/cloudastructure" TargetMode="External"/><Relationship Id="rId493" Type="http://schemas.openxmlformats.org/officeDocument/2006/relationships/hyperlink" Target="https://wefunder.com/amplified.ale.works" TargetMode="External"/><Relationship Id="rId507" Type="http://schemas.openxmlformats.org/officeDocument/2006/relationships/hyperlink" Target="https://www.startengine.com/the-fantasy-network" TargetMode="External"/><Relationship Id="rId549" Type="http://schemas.openxmlformats.org/officeDocument/2006/relationships/hyperlink" Target="https://wefunder.com/everydae" TargetMode="External"/><Relationship Id="rId50" Type="http://schemas.openxmlformats.org/officeDocument/2006/relationships/hyperlink" Target="https://www.sec.gov/Archives/edgar/data/1782663/000166919119000236/xslC_X01/primary_doc.xml" TargetMode="External"/><Relationship Id="rId104" Type="http://schemas.openxmlformats.org/officeDocument/2006/relationships/hyperlink" Target="https://www.startengine.com/popcom" TargetMode="External"/><Relationship Id="rId146" Type="http://schemas.openxmlformats.org/officeDocument/2006/relationships/hyperlink" Target="https://republic.co/upshift" TargetMode="External"/><Relationship Id="rId188" Type="http://schemas.openxmlformats.org/officeDocument/2006/relationships/hyperlink" Target="https://wefunder.com/robovet" TargetMode="External"/><Relationship Id="rId311" Type="http://schemas.openxmlformats.org/officeDocument/2006/relationships/hyperlink" Target="https://republic.co/event-hollow" TargetMode="External"/><Relationship Id="rId353" Type="http://schemas.openxmlformats.org/officeDocument/2006/relationships/hyperlink" Target="https://wefunder.com/sunvessel" TargetMode="External"/><Relationship Id="rId395" Type="http://schemas.openxmlformats.org/officeDocument/2006/relationships/hyperlink" Target="https://www.startengine.com/elevate-nutrition" TargetMode="External"/><Relationship Id="rId409" Type="http://schemas.openxmlformats.org/officeDocument/2006/relationships/hyperlink" Target="https://republic.co/ternio" TargetMode="External"/><Relationship Id="rId560" Type="http://schemas.openxmlformats.org/officeDocument/2006/relationships/hyperlink" Target="https://www.sec.gov/Archives/edgar/data/1803721/000180372120000002/xslC_X01/primary_doc.xml" TargetMode="External"/><Relationship Id="rId92" Type="http://schemas.openxmlformats.org/officeDocument/2006/relationships/hyperlink" Target="https://netcapital.com/companies/infinovate" TargetMode="External"/><Relationship Id="rId213" Type="http://schemas.openxmlformats.org/officeDocument/2006/relationships/hyperlink" Target="https://www.sec.gov/Archives/edgar/data/1795715/000166516020000155/xslC_X01/primary_doc.xml" TargetMode="External"/><Relationship Id="rId420" Type="http://schemas.openxmlformats.org/officeDocument/2006/relationships/hyperlink" Target="https://www.sec.gov/Archives/edgar/data/1776303/000167025419000633/xslC_X01/primary_doc.xml" TargetMode="External"/><Relationship Id="rId255" Type="http://schemas.openxmlformats.org/officeDocument/2006/relationships/hyperlink" Target="https://wefunder.com/como.audio" TargetMode="External"/><Relationship Id="rId297" Type="http://schemas.openxmlformats.org/officeDocument/2006/relationships/hyperlink" Target="https://app.microventures.com/crowdfunding/kapitalwise" TargetMode="External"/><Relationship Id="rId462" Type="http://schemas.openxmlformats.org/officeDocument/2006/relationships/hyperlink" Target="https://www.sec.gov/Archives/edgar/data/1793635/000166516020000241/xslC_X01/primary_doc.xml" TargetMode="External"/><Relationship Id="rId518" Type="http://schemas.openxmlformats.org/officeDocument/2006/relationships/hyperlink" Target="https://www.sec.gov/Archives/edgar/data/1794083/000166516020000065/xslC_X01/primary_doc.xml" TargetMode="External"/><Relationship Id="rId115" Type="http://schemas.openxmlformats.org/officeDocument/2006/relationships/hyperlink" Target="https://www.sec.gov/Archives/edgar/data/1689304/000167025419000488/xslC_X01/primary_doc.xml" TargetMode="External"/><Relationship Id="rId157" Type="http://schemas.openxmlformats.org/officeDocument/2006/relationships/hyperlink" Target="https://www.sec.gov/Archives/edgar/data/1792508/000179250819000001/xslC_X01/primary_doc.xml" TargetMode="External"/><Relationship Id="rId322" Type="http://schemas.openxmlformats.org/officeDocument/2006/relationships/hyperlink" Target="https://www.sec.gov/Archives/edgar/data/1775091/000177509120000001/xslC_X01/primary_doc.xml" TargetMode="External"/><Relationship Id="rId364" Type="http://schemas.openxmlformats.org/officeDocument/2006/relationships/hyperlink" Target="https://www.sec.gov/Archives/edgar/data/1784430/000166516020000130/xslC_X01/primary_doc.xml" TargetMode="External"/><Relationship Id="rId61" Type="http://schemas.openxmlformats.org/officeDocument/2006/relationships/hyperlink" Target="https://www.sec.gov/Archives/edgar/data/1806624/000166516020000225/xslC_X01/primary_doc.xml" TargetMode="External"/><Relationship Id="rId199" Type="http://schemas.openxmlformats.org/officeDocument/2006/relationships/hyperlink" Target="https://www.sec.gov/Archives/edgar/data/1702255/000166516020000149/xslC_X01/primary_doc.xml" TargetMode="External"/><Relationship Id="rId571" Type="http://schemas.openxmlformats.org/officeDocument/2006/relationships/hyperlink" Target="https://www.mrcrowd.com/company/VBR" TargetMode="External"/><Relationship Id="rId19" Type="http://schemas.openxmlformats.org/officeDocument/2006/relationships/hyperlink" Target="https://www.startengine.com/evolveher" TargetMode="External"/><Relationship Id="rId224" Type="http://schemas.openxmlformats.org/officeDocument/2006/relationships/hyperlink" Target="https://www.sec.gov/Archives/edgar/data/1783128/000166516020000167/xslC_X01/primary_doc.xml" TargetMode="External"/><Relationship Id="rId266" Type="http://schemas.openxmlformats.org/officeDocument/2006/relationships/hyperlink" Target="https://www.sec.gov/Archives/edgar/data/1783627/000167025419000534/xslC_X01/primary_doc.xml" TargetMode="External"/><Relationship Id="rId431" Type="http://schemas.openxmlformats.org/officeDocument/2006/relationships/hyperlink" Target="https://fundopolis.com/raisedetails?id=44bcab46-eae2-4662-acd1-f01b84d958ff" TargetMode="External"/><Relationship Id="rId473" Type="http://schemas.openxmlformats.org/officeDocument/2006/relationships/hyperlink" Target="https://republic.co/rocket-dollar" TargetMode="External"/><Relationship Id="rId529" Type="http://schemas.openxmlformats.org/officeDocument/2006/relationships/hyperlink" Target="https://www.startengine.com/soko" TargetMode="External"/><Relationship Id="rId30" Type="http://schemas.openxmlformats.org/officeDocument/2006/relationships/hyperlink" Target="https://www.sec.gov/Archives/edgar/data/1796790/000179679020000001/xslC_X01/primary_doc.xml" TargetMode="External"/><Relationship Id="rId126" Type="http://schemas.openxmlformats.org/officeDocument/2006/relationships/hyperlink" Target="https://republic.co/soar-robotics" TargetMode="External"/><Relationship Id="rId168" Type="http://schemas.openxmlformats.org/officeDocument/2006/relationships/hyperlink" Target="https://wefunder.com/dented.brick.distillery" TargetMode="External"/><Relationship Id="rId333" Type="http://schemas.openxmlformats.org/officeDocument/2006/relationships/hyperlink" Target="https://www.startengine.com/liberty-plugins-inc" TargetMode="External"/><Relationship Id="rId540" Type="http://schemas.openxmlformats.org/officeDocument/2006/relationships/hyperlink" Target="https://wefunder.com/soar" TargetMode="External"/><Relationship Id="rId72" Type="http://schemas.openxmlformats.org/officeDocument/2006/relationships/hyperlink" Target="https://wefunder.com/lifograph" TargetMode="External"/><Relationship Id="rId375" Type="http://schemas.openxmlformats.org/officeDocument/2006/relationships/hyperlink" Target="https://www.startengine.com/plantsnap-inc" TargetMode="External"/><Relationship Id="rId582" Type="http://schemas.openxmlformats.org/officeDocument/2006/relationships/hyperlink" Target="https://www.sec.gov/Archives/edgar/data/1780452/000178045220000001/xslC_X01/primary_doc.xml" TargetMode="External"/><Relationship Id="rId3" Type="http://schemas.openxmlformats.org/officeDocument/2006/relationships/hyperlink" Target="https://wefunder.com/fan.owned.club" TargetMode="External"/><Relationship Id="rId235" Type="http://schemas.openxmlformats.org/officeDocument/2006/relationships/hyperlink" Target="https://republic.co/blue" TargetMode="External"/><Relationship Id="rId277" Type="http://schemas.openxmlformats.org/officeDocument/2006/relationships/hyperlink" Target="https://www.startengine.com/elliptigo-2" TargetMode="External"/><Relationship Id="rId400" Type="http://schemas.openxmlformats.org/officeDocument/2006/relationships/hyperlink" Target="https://www.sec.gov/Archives/edgar/data/1790042/000179004220000002/xslC_X01/primary_doc.xml" TargetMode="External"/><Relationship Id="rId442" Type="http://schemas.openxmlformats.org/officeDocument/2006/relationships/hyperlink" Target="https://www.sec.gov/Archives/edgar/data/1638850/000166516020000244/xslC_X01/primary_doc.xml" TargetMode="External"/><Relationship Id="rId484" Type="http://schemas.openxmlformats.org/officeDocument/2006/relationships/hyperlink" Target="https://www.sec.gov/Archives/edgar/data/1796295/000179629520000003/xslC_X01/primary_doc.xml" TargetMode="External"/><Relationship Id="rId137" Type="http://schemas.openxmlformats.org/officeDocument/2006/relationships/hyperlink" Target="https://www.sec.gov/Archives/edgar/data/1783629/000167025419000432/xslC_X01/primary_doc.xml" TargetMode="External"/><Relationship Id="rId302" Type="http://schemas.openxmlformats.org/officeDocument/2006/relationships/hyperlink" Target="https://www.sec.gov/Archives/edgar/data/1800214/000167025420000174/xslC_X01/primary_doc.xml" TargetMode="External"/><Relationship Id="rId344" Type="http://schemas.openxmlformats.org/officeDocument/2006/relationships/hyperlink" Target="https://www.sec.gov/Archives/edgar/data/1785176/000178517619000002/xslC_X01/primary_doc.xml" TargetMode="External"/><Relationship Id="rId41" Type="http://schemas.openxmlformats.org/officeDocument/2006/relationships/hyperlink" Target="https://www.razitall.com/pitch/the-ag-drone-an-eye-in-the-sky-for-farmers" TargetMode="External"/><Relationship Id="rId83" Type="http://schemas.openxmlformats.org/officeDocument/2006/relationships/hyperlink" Target="https://www.sec.gov/Archives/edgar/data/1759403/000121390020007152/xslC_X01/primary_doc.xml" TargetMode="External"/><Relationship Id="rId179" Type="http://schemas.openxmlformats.org/officeDocument/2006/relationships/hyperlink" Target="https://www.sec.gov/Archives/edgar/data/1788204/000167025419000640/xslC_X01/primary_doc.xml" TargetMode="External"/><Relationship Id="rId386" Type="http://schemas.openxmlformats.org/officeDocument/2006/relationships/hyperlink" Target="https://www.sec.gov/Archives/edgar/data/1716903/000166516020000055/xslC_X01/primary_doc.xml" TargetMode="External"/><Relationship Id="rId551" Type="http://schemas.openxmlformats.org/officeDocument/2006/relationships/hyperlink" Target="https://netcapital.com/companies/deuce-drone" TargetMode="External"/><Relationship Id="rId190" Type="http://schemas.openxmlformats.org/officeDocument/2006/relationships/hyperlink" Target="http://genobank.io/" TargetMode="External"/><Relationship Id="rId204" Type="http://schemas.openxmlformats.org/officeDocument/2006/relationships/hyperlink" Target="https://app.microventures.com/crowdfunding/roula" TargetMode="External"/><Relationship Id="rId246" Type="http://schemas.openxmlformats.org/officeDocument/2006/relationships/hyperlink" Target="https://www.sec.gov/Archives/edgar/data/1762827/000166516020000129/xslC_X01/primary_doc.xml" TargetMode="External"/><Relationship Id="rId288" Type="http://schemas.openxmlformats.org/officeDocument/2006/relationships/hyperlink" Target="https://www.sec.gov/Archives/edgar/data/1713366/000167025419000673/xslC_X01/primary_doc.xml" TargetMode="External"/><Relationship Id="rId411" Type="http://schemas.openxmlformats.org/officeDocument/2006/relationships/hyperlink" Target="https://republic.co/sweetberry" TargetMode="External"/><Relationship Id="rId453" Type="http://schemas.openxmlformats.org/officeDocument/2006/relationships/hyperlink" Target="https://www.startengine.com/sittight-inc" TargetMode="External"/><Relationship Id="rId509" Type="http://schemas.openxmlformats.org/officeDocument/2006/relationships/hyperlink" Target="https://wefunder.com/neurohacker" TargetMode="External"/><Relationship Id="rId106" Type="http://schemas.openxmlformats.org/officeDocument/2006/relationships/hyperlink" Target="https://republic.co/dorahacks" TargetMode="External"/><Relationship Id="rId313" Type="http://schemas.openxmlformats.org/officeDocument/2006/relationships/hyperlink" Target="https://www.startengine.com/eclipsedx" TargetMode="External"/><Relationship Id="rId495" Type="http://schemas.openxmlformats.org/officeDocument/2006/relationships/hyperlink" Target="https://wefunder.com/eliteamateurfightleague" TargetMode="External"/><Relationship Id="rId10" Type="http://schemas.openxmlformats.org/officeDocument/2006/relationships/hyperlink" Target="https://www.sec.gov/Archives/edgar/data/1808208/000166516020000371/xslC_X01/primary_doc.xml" TargetMode="External"/><Relationship Id="rId52" Type="http://schemas.openxmlformats.org/officeDocument/2006/relationships/hyperlink" Target="https://www.startengine.com/thalia" TargetMode="External"/><Relationship Id="rId94" Type="http://schemas.openxmlformats.org/officeDocument/2006/relationships/hyperlink" Target="https://republic.co/reflex-protect" TargetMode="External"/><Relationship Id="rId148" Type="http://schemas.openxmlformats.org/officeDocument/2006/relationships/hyperlink" Target="https://republic.co/buff-bake" TargetMode="External"/><Relationship Id="rId355" Type="http://schemas.openxmlformats.org/officeDocument/2006/relationships/hyperlink" Target="https://republic.co/youcanevent" TargetMode="External"/><Relationship Id="rId397" Type="http://schemas.openxmlformats.org/officeDocument/2006/relationships/hyperlink" Target="https://www.startengine.com/smart-soda" TargetMode="External"/><Relationship Id="rId520" Type="http://schemas.openxmlformats.org/officeDocument/2006/relationships/hyperlink" Target="https://www.sec.gov/Archives/edgar/data/1800216/000167025420000026/xslC_X01/primary_doc.xml" TargetMode="External"/><Relationship Id="rId562" Type="http://schemas.openxmlformats.org/officeDocument/2006/relationships/hyperlink" Target="https://www.sec.gov/Archives/edgar/data/1803728/000166516020000195/xslC_X01/primary_doc.xml" TargetMode="External"/><Relationship Id="rId215" Type="http://schemas.openxmlformats.org/officeDocument/2006/relationships/hyperlink" Target="https://equifundcfp.com/biopact-ct/" TargetMode="External"/><Relationship Id="rId257" Type="http://schemas.openxmlformats.org/officeDocument/2006/relationships/hyperlink" Target="https://www.razitall.com/pitch/life-after-heart-transplant-a-documentary" TargetMode="External"/><Relationship Id="rId422" Type="http://schemas.openxmlformats.org/officeDocument/2006/relationships/hyperlink" Target="https://www.sec.gov/Archives/edgar/data/1654300/000165430020000002/xslC_X01/primary_doc.xml" TargetMode="External"/><Relationship Id="rId464" Type="http://schemas.openxmlformats.org/officeDocument/2006/relationships/hyperlink" Target="https://www.sec.gov/Archives/edgar/data/1794075/000167025419000700/xslC_X01/primary_doc.xml" TargetMode="External"/><Relationship Id="rId299" Type="http://schemas.openxmlformats.org/officeDocument/2006/relationships/hyperlink" Target="https://app.microventures.com/crowdfunding/goodwolf" TargetMode="External"/><Relationship Id="rId63" Type="http://schemas.openxmlformats.org/officeDocument/2006/relationships/hyperlink" Target="https://www.sec.gov/Archives/edgar/data/1802409/000167025420000099/xslC_X01/primary_doc.xml" TargetMode="External"/><Relationship Id="rId159" Type="http://schemas.openxmlformats.org/officeDocument/2006/relationships/hyperlink" Target="https://www.sec.gov/Archives/edgar/data/1730486/000173048619000001/xslC_X01/primary_doc.xml" TargetMode="External"/><Relationship Id="rId366" Type="http://schemas.openxmlformats.org/officeDocument/2006/relationships/hyperlink" Target="https://www.sec.gov/Archives/edgar/data/1782117/000166516020000196/xslC_X01/primary_doc.xml" TargetMode="External"/><Relationship Id="rId573" Type="http://schemas.openxmlformats.org/officeDocument/2006/relationships/hyperlink" Target="https://www.mrcrowd.com/company/SOC" TargetMode="External"/><Relationship Id="rId226" Type="http://schemas.openxmlformats.org/officeDocument/2006/relationships/hyperlink" Target="https://www.sec.gov/Archives/edgar/data/1802761/000167025420000116/xslC_X01/primary_doc.xml" TargetMode="External"/><Relationship Id="rId433" Type="http://schemas.openxmlformats.org/officeDocument/2006/relationships/hyperlink" Target="https://www.nextseed.com/offerings/blue-top" TargetMode="External"/><Relationship Id="rId74" Type="http://schemas.openxmlformats.org/officeDocument/2006/relationships/hyperlink" Target="https://republic.co/wearwell" TargetMode="External"/><Relationship Id="rId377" Type="http://schemas.openxmlformats.org/officeDocument/2006/relationships/hyperlink" Target="https://wefunder.com/freerolls.poker.clubs" TargetMode="External"/><Relationship Id="rId500" Type="http://schemas.openxmlformats.org/officeDocument/2006/relationships/hyperlink" Target="https://www.sec.gov/Archives/edgar/data/1792640/000179264020000003/xslC_X01/primary_doc.xml" TargetMode="External"/><Relationship Id="rId584" Type="http://schemas.openxmlformats.org/officeDocument/2006/relationships/hyperlink" Target="https://www.sec.gov/Archives/edgar/data/1626196/000166516020000157/xslC_X01/primary_doc.xml" TargetMode="External"/><Relationship Id="rId5" Type="http://schemas.openxmlformats.org/officeDocument/2006/relationships/hyperlink" Target="https://www.startengine.com/ryca" TargetMode="External"/><Relationship Id="rId237" Type="http://schemas.openxmlformats.org/officeDocument/2006/relationships/hyperlink" Target="https://republic.co/asarasi" TargetMode="External"/><Relationship Id="rId444" Type="http://schemas.openxmlformats.org/officeDocument/2006/relationships/hyperlink" Target="https://www.sec.gov/Archives/edgar/data/1639681/000166516020000237/xslC_X01/primary_doc.xml" TargetMode="External"/><Relationship Id="rId290" Type="http://schemas.openxmlformats.org/officeDocument/2006/relationships/hyperlink" Target="https://www.sec.gov/Archives/edgar/data/1722138/000172213820000001/xslC_X01/primary_doc.xml" TargetMode="External"/><Relationship Id="rId304" Type="http://schemas.openxmlformats.org/officeDocument/2006/relationships/hyperlink" Target="https://www.sec.gov/Archives/edgar/data/1791400/000167025419000627/xslC_X01/primary_doc.xml" TargetMode="External"/><Relationship Id="rId388" Type="http://schemas.openxmlformats.org/officeDocument/2006/relationships/hyperlink" Target="https://www.sec.gov/Archives/edgar/data/1786874/000166516020000063/xslC_X01/primary_doc.xml" TargetMode="External"/><Relationship Id="rId511" Type="http://schemas.openxmlformats.org/officeDocument/2006/relationships/hyperlink" Target="https://fundopolis.com/raisedetails?id=cbd77d5a-d358-47c1-ba0a-d9165d6cd793" TargetMode="External"/><Relationship Id="rId85" Type="http://schemas.openxmlformats.org/officeDocument/2006/relationships/hyperlink" Target="https://www.sec.gov/Archives/edgar/data/1789874/000167025420000184/xslC_X01/primary_doc.xml" TargetMode="External"/><Relationship Id="rId150" Type="http://schemas.openxmlformats.org/officeDocument/2006/relationships/hyperlink" Target="https://wefunder.com/worldtree" TargetMode="External"/><Relationship Id="rId248" Type="http://schemas.openxmlformats.org/officeDocument/2006/relationships/hyperlink" Target="https://www.sec.gov/Archives/edgar/data/1765252/000176525220000002/xslC_X01/primary_doc.xml" TargetMode="External"/><Relationship Id="rId455" Type="http://schemas.openxmlformats.org/officeDocument/2006/relationships/hyperlink" Target="https://www.startengine.com/paquitequila" TargetMode="External"/><Relationship Id="rId12" Type="http://schemas.openxmlformats.org/officeDocument/2006/relationships/hyperlink" Target="https://www.sec.gov/Archives/edgar/data/1713938/000171393820000001/xslC_X01/primary_doc.xml" TargetMode="External"/><Relationship Id="rId108" Type="http://schemas.openxmlformats.org/officeDocument/2006/relationships/hyperlink" Target="https://netcapital.com/companies/neurotez" TargetMode="External"/><Relationship Id="rId315" Type="http://schemas.openxmlformats.org/officeDocument/2006/relationships/hyperlink" Target="https://www.razitall.com/pitch/the-plugsby-house-a-creative-co-living-community" TargetMode="External"/><Relationship Id="rId522" Type="http://schemas.openxmlformats.org/officeDocument/2006/relationships/hyperlink" Target="https://www.sec.gov/Archives/edgar/data/1797607/000167025420000046/xslC_X01/primary_doc.xml" TargetMode="External"/><Relationship Id="rId96" Type="http://schemas.openxmlformats.org/officeDocument/2006/relationships/hyperlink" Target="https://netcapital.com/companies/college-coaching-network" TargetMode="External"/><Relationship Id="rId161" Type="http://schemas.openxmlformats.org/officeDocument/2006/relationships/hyperlink" Target="https://www.sec.gov/Archives/edgar/data/1791847/000179184719000001/xslC_X01/primary_doc.xml" TargetMode="External"/><Relationship Id="rId399" Type="http://schemas.openxmlformats.org/officeDocument/2006/relationships/hyperlink" Target="https://republic.co/the-lieu" TargetMode="External"/><Relationship Id="rId259" Type="http://schemas.openxmlformats.org/officeDocument/2006/relationships/hyperlink" Target="https://www.razitall.com/pitch/simpkins-electric-bicycles" TargetMode="External"/><Relationship Id="rId466" Type="http://schemas.openxmlformats.org/officeDocument/2006/relationships/hyperlink" Target="https://www.sec.gov/Archives/edgar/data/1797125/000166516020000254/xslC_X01/primary_doc.xml" TargetMode="External"/><Relationship Id="rId23" Type="http://schemas.openxmlformats.org/officeDocument/2006/relationships/hyperlink" Target="https://fundanna.com/equity/offer-summary/NewGreen" TargetMode="External"/><Relationship Id="rId119" Type="http://schemas.openxmlformats.org/officeDocument/2006/relationships/hyperlink" Target="https://www.sec.gov/Archives/edgar/data/1785164/000178516419000001/xslC_X01/primary_doc.xml" TargetMode="External"/><Relationship Id="rId326" Type="http://schemas.openxmlformats.org/officeDocument/2006/relationships/hyperlink" Target="https://www.sec.gov/Archives/edgar/data/1776148/000166828719000015/xslC_X01/primary_doc.xml" TargetMode="External"/><Relationship Id="rId533" Type="http://schemas.openxmlformats.org/officeDocument/2006/relationships/hyperlink" Target="https://www.startengine.com/yae-organics" TargetMode="External"/><Relationship Id="rId172" Type="http://schemas.openxmlformats.org/officeDocument/2006/relationships/hyperlink" Target="https://republic.co/hive" TargetMode="External"/><Relationship Id="rId477" Type="http://schemas.openxmlformats.org/officeDocument/2006/relationships/hyperlink" Target="http://hellowoofy.com/" TargetMode="External"/><Relationship Id="rId337" Type="http://schemas.openxmlformats.org/officeDocument/2006/relationships/hyperlink" Target="https://wefunder.com/boyishrecords" TargetMode="External"/><Relationship Id="rId34" Type="http://schemas.openxmlformats.org/officeDocument/2006/relationships/hyperlink" Target="https://www.sec.gov/Archives/edgar/data/1800203/000167025420000151/xslC_X01/primary_doc.xml" TargetMode="External"/><Relationship Id="rId544" Type="http://schemas.openxmlformats.org/officeDocument/2006/relationships/hyperlink" Target="https://www.sec.gov/Archives/edgar/data/1785626/000178562620000004/xslC_X01/primary_doc.xml" TargetMode="External"/><Relationship Id="rId183" Type="http://schemas.openxmlformats.org/officeDocument/2006/relationships/hyperlink" Target="https://www.sec.gov/Archives/edgar/data/1751794/000167025419000606/xslC_X01/primary_doc.xml" TargetMode="External"/><Relationship Id="rId390" Type="http://schemas.openxmlformats.org/officeDocument/2006/relationships/hyperlink" Target="https://www.sec.gov/Archives/edgar/data/1689361/000166516020000204/xslC_X01/primary_doc.xml" TargetMode="External"/><Relationship Id="rId404" Type="http://schemas.openxmlformats.org/officeDocument/2006/relationships/hyperlink" Target="https://www.sec.gov/Archives/edgar/data/1789369/000178936920000001/xslC_X01/primary_doc.xml" TargetMode="External"/><Relationship Id="rId250" Type="http://schemas.openxmlformats.org/officeDocument/2006/relationships/hyperlink" Target="https://www.sec.gov/Archives/edgar/data/1769308/000166516020000048/xslC_X01/primary_doc.xml" TargetMode="External"/><Relationship Id="rId488" Type="http://schemas.openxmlformats.org/officeDocument/2006/relationships/hyperlink" Target="https://www.sec.gov/Archives/edgar/data/1767636/000166610219000034/xslC_X01/primary_doc.xml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ec.gov/Archives/edgar/data/1787344/000167025419000501/xslC_X01/primary_doc.xml" TargetMode="External"/><Relationship Id="rId21" Type="http://schemas.openxmlformats.org/officeDocument/2006/relationships/hyperlink" Target="https://mainvest.com/businesses/aloha-tropical-bowls/overview" TargetMode="External"/><Relationship Id="rId42" Type="http://schemas.openxmlformats.org/officeDocument/2006/relationships/hyperlink" Target="https://www.sec.gov/Archives/edgar/data/1804624/000174605920000061/xslC_X01/primary_doc.xml" TargetMode="External"/><Relationship Id="rId47" Type="http://schemas.openxmlformats.org/officeDocument/2006/relationships/hyperlink" Target="https://mainvest.com/businesses/bullfinch-brewpub" TargetMode="External"/><Relationship Id="rId63" Type="http://schemas.openxmlformats.org/officeDocument/2006/relationships/hyperlink" Target="https://app.honeycombcredit.com/en/projects/11145-Porky-s-Bar--amp--Grill" TargetMode="External"/><Relationship Id="rId68" Type="http://schemas.openxmlformats.org/officeDocument/2006/relationships/hyperlink" Target="https://www.sec.gov/Archives/edgar/data/1801405/000166516020000061/xslC_X01/primary_doc.xml" TargetMode="External"/><Relationship Id="rId84" Type="http://schemas.openxmlformats.org/officeDocument/2006/relationships/hyperlink" Target="https://www.sec.gov/Archives/edgar/data/1807964/000174605920000100/xslC_X01/primary_doc.xml" TargetMode="External"/><Relationship Id="rId89" Type="http://schemas.openxmlformats.org/officeDocument/2006/relationships/hyperlink" Target="https://app.honeycombcredit.com/en/projects/11395-Stone-s-Throw-Hash" TargetMode="External"/><Relationship Id="rId16" Type="http://schemas.openxmlformats.org/officeDocument/2006/relationships/hyperlink" Target="https://www.sec.gov/Archives/edgar/data/1806194/000180619420000001/xslC_X01/primary_doc.xml" TargetMode="External"/><Relationship Id="rId11" Type="http://schemas.openxmlformats.org/officeDocument/2006/relationships/hyperlink" Target="https://app.honeycombcredit.com/en/projects/11415-Stroll-LLC" TargetMode="External"/><Relationship Id="rId32" Type="http://schemas.openxmlformats.org/officeDocument/2006/relationships/hyperlink" Target="https://www.sec.gov/Archives/edgar/data/1804109/000174605920000054/xslC_X01/primary_doc.xml" TargetMode="External"/><Relationship Id="rId37" Type="http://schemas.openxmlformats.org/officeDocument/2006/relationships/hyperlink" Target="https://mainvest.com/b/salem-gnu-kitchen-salem" TargetMode="External"/><Relationship Id="rId53" Type="http://schemas.openxmlformats.org/officeDocument/2006/relationships/hyperlink" Target="https://wefunder.com/skeptic.distillery" TargetMode="External"/><Relationship Id="rId58" Type="http://schemas.openxmlformats.org/officeDocument/2006/relationships/hyperlink" Target="https://www.sec.gov/Archives/edgar/data/1794407/000174605920000066/xslC_X01/primary_doc.xml" TargetMode="External"/><Relationship Id="rId74" Type="http://schemas.openxmlformats.org/officeDocument/2006/relationships/hyperlink" Target="https://www.sec.gov/Archives/edgar/data/1800828/000167025420000094/xslC_X01/primary_doc.xml" TargetMode="External"/><Relationship Id="rId79" Type="http://schemas.openxmlformats.org/officeDocument/2006/relationships/hyperlink" Target="https://app.honeycombcredit.com/en/projects/11227-The-Wine-Collective" TargetMode="External"/><Relationship Id="rId5" Type="http://schemas.openxmlformats.org/officeDocument/2006/relationships/hyperlink" Target="https://mainvest.com/b/crazy-good-kitchen" TargetMode="External"/><Relationship Id="rId90" Type="http://schemas.openxmlformats.org/officeDocument/2006/relationships/hyperlink" Target="https://disclosurequest.com/form/stones-throw-hash,-llc/0001807930-20-000001/?returnURL=" TargetMode="External"/><Relationship Id="rId95" Type="http://schemas.openxmlformats.org/officeDocument/2006/relationships/hyperlink" Target="https://app.honeycombcredit.com/en/projects/11378-Global-Wordsmiths" TargetMode="External"/><Relationship Id="rId22" Type="http://schemas.openxmlformats.org/officeDocument/2006/relationships/hyperlink" Target="https://www.sec.gov/Archives/edgar/data/1807625/000174605920000090/xslC_X01/primary_doc.xml" TargetMode="External"/><Relationship Id="rId27" Type="http://schemas.openxmlformats.org/officeDocument/2006/relationships/hyperlink" Target="https://mainvest.com/businesses/true-wines" TargetMode="External"/><Relationship Id="rId43" Type="http://schemas.openxmlformats.org/officeDocument/2006/relationships/hyperlink" Target="https://wefunder.com/biblesmugglersmovie" TargetMode="External"/><Relationship Id="rId48" Type="http://schemas.openxmlformats.org/officeDocument/2006/relationships/hyperlink" Target="https://www.sec.gov/Archives/edgar/data/1803205/000174605920000041/xslC_X01/primary_doc.xml" TargetMode="External"/><Relationship Id="rId64" Type="http://schemas.openxmlformats.org/officeDocument/2006/relationships/hyperlink" Target="https://www.sec.gov/Archives/edgar/data/1793868/000179386820000002/xslC_X01/primary_doc.xml" TargetMode="External"/><Relationship Id="rId69" Type="http://schemas.openxmlformats.org/officeDocument/2006/relationships/hyperlink" Target="https://mainvest.com/businesses/stoneman-brewery" TargetMode="External"/><Relationship Id="rId80" Type="http://schemas.openxmlformats.org/officeDocument/2006/relationships/hyperlink" Target="https://www.sec.gov/Archives/edgar/data/1798823/000179882320000002/xslC_X01/primary_doc.xml" TargetMode="External"/><Relationship Id="rId85" Type="http://schemas.openxmlformats.org/officeDocument/2006/relationships/hyperlink" Target="https://mainvest.com/b/antonioscupcakes" TargetMode="External"/><Relationship Id="rId3" Type="http://schemas.openxmlformats.org/officeDocument/2006/relationships/hyperlink" Target="https://mainvest.com/b/the-boogie-down-grind-the-bronx" TargetMode="External"/><Relationship Id="rId12" Type="http://schemas.openxmlformats.org/officeDocument/2006/relationships/hyperlink" Target="https://www.sec.gov/Archives/edgar/data/1810132/000181013220000002/xslC_X01/primary_doc.xml" TargetMode="External"/><Relationship Id="rId17" Type="http://schemas.openxmlformats.org/officeDocument/2006/relationships/hyperlink" Target="https://www.nextseed.com/offerings/xin-chao" TargetMode="External"/><Relationship Id="rId25" Type="http://schemas.openxmlformats.org/officeDocument/2006/relationships/hyperlink" Target="https://wefunder.com/celebratewithsarah" TargetMode="External"/><Relationship Id="rId33" Type="http://schemas.openxmlformats.org/officeDocument/2006/relationships/hyperlink" Target="https://www.nextseed.com/offerings/ronin-harrisburg" TargetMode="External"/><Relationship Id="rId38" Type="http://schemas.openxmlformats.org/officeDocument/2006/relationships/hyperlink" Target="https://www.sec.gov/Archives/edgar/data/1804466/000174605920000063/xslC_X01/primary_doc.xml" TargetMode="External"/><Relationship Id="rId46" Type="http://schemas.openxmlformats.org/officeDocument/2006/relationships/hyperlink" Target="https://www.sec.gov/Archives/edgar/data/1803385/000174605920000064/xslC_X01/primary_doc.xml" TargetMode="External"/><Relationship Id="rId59" Type="http://schemas.openxmlformats.org/officeDocument/2006/relationships/hyperlink" Target="https://wefunder.com/i.am.like.you.film.llc" TargetMode="External"/><Relationship Id="rId67" Type="http://schemas.openxmlformats.org/officeDocument/2006/relationships/hyperlink" Target="https://www.startengine.com/an-angry-boy" TargetMode="External"/><Relationship Id="rId20" Type="http://schemas.openxmlformats.org/officeDocument/2006/relationships/hyperlink" Target="https://www.sec.gov/Archives/edgar/data/1798432/000174605920000092/xslC_X01/primary_doc.xml" TargetMode="External"/><Relationship Id="rId41" Type="http://schemas.openxmlformats.org/officeDocument/2006/relationships/hyperlink" Target="https://mainvest.com/b/monkey-wrench-brewing-company-suwanee" TargetMode="External"/><Relationship Id="rId54" Type="http://schemas.openxmlformats.org/officeDocument/2006/relationships/hyperlink" Target="https://www.sec.gov/Archives/edgar/data/1788674/000167025420000069/xslC_X01/primary_doc.xml" TargetMode="External"/><Relationship Id="rId62" Type="http://schemas.openxmlformats.org/officeDocument/2006/relationships/hyperlink" Target="https://www.sec.gov/Archives/edgar/data/1783625/000174605920000033/xslC_X01/primary_doc.xml" TargetMode="External"/><Relationship Id="rId70" Type="http://schemas.openxmlformats.org/officeDocument/2006/relationships/hyperlink" Target="https://www.sec.gov/Archives/edgar/data/1801534/000174605920000029/xslC_X01/primary_doc.xml" TargetMode="External"/><Relationship Id="rId75" Type="http://schemas.openxmlformats.org/officeDocument/2006/relationships/hyperlink" Target="https://app.honeycombcredit.com/en/projects/11334-PointBreezeway-LLC" TargetMode="External"/><Relationship Id="rId83" Type="http://schemas.openxmlformats.org/officeDocument/2006/relationships/hyperlink" Target="https://mainvest.com/b/contempo-aesthetics" TargetMode="External"/><Relationship Id="rId88" Type="http://schemas.openxmlformats.org/officeDocument/2006/relationships/hyperlink" Target="https://www.sec.gov/Archives/edgar/data/1765325/000174605920000104/xslC_X01/primary_doc.xml" TargetMode="External"/><Relationship Id="rId91" Type="http://schemas.openxmlformats.org/officeDocument/2006/relationships/hyperlink" Target="https://app.honeycombcredit.com/en/projects/11383-Big-Kahuna-Pineapple-Drink-Company-LLC" TargetMode="External"/><Relationship Id="rId96" Type="http://schemas.openxmlformats.org/officeDocument/2006/relationships/hyperlink" Target="https://www.sec.gov/Archives/edgar/data/1807941/000180794120000001/xslC_X01/primary_doc.xml" TargetMode="External"/><Relationship Id="rId1" Type="http://schemas.openxmlformats.org/officeDocument/2006/relationships/hyperlink" Target="https://mainvest.com/b/sol-cinema-cafe-new-york" TargetMode="External"/><Relationship Id="rId6" Type="http://schemas.openxmlformats.org/officeDocument/2006/relationships/hyperlink" Target="https://www.sec.gov/Archives/edgar/data/1808331/000174605920000116/xslC_X01/primary_doc.xml" TargetMode="External"/><Relationship Id="rId15" Type="http://schemas.openxmlformats.org/officeDocument/2006/relationships/hyperlink" Target="https://app.honeycombcredit.com/en/projects/11357-Brambler-Boutique" TargetMode="External"/><Relationship Id="rId23" Type="http://schemas.openxmlformats.org/officeDocument/2006/relationships/hyperlink" Target="https://mainvest.com/businesses/smokey-vale/overview" TargetMode="External"/><Relationship Id="rId28" Type="http://schemas.openxmlformats.org/officeDocument/2006/relationships/hyperlink" Target="https://www.sec.gov/Archives/edgar/data/1796230/000174605919000091/xslC_X01/primary_doc.xml" TargetMode="External"/><Relationship Id="rId36" Type="http://schemas.openxmlformats.org/officeDocument/2006/relationships/hyperlink" Target="https://www.sec.gov/Archives/edgar/data/1804411/000174605920000056/xslC_X01/primary_doc.xml" TargetMode="External"/><Relationship Id="rId49" Type="http://schemas.openxmlformats.org/officeDocument/2006/relationships/hyperlink" Target="https://fundanna.com/equity/offer-summary/GreenzonePharms" TargetMode="External"/><Relationship Id="rId57" Type="http://schemas.openxmlformats.org/officeDocument/2006/relationships/hyperlink" Target="https://mainvest.com/businesses/mizen-funeral-home" TargetMode="External"/><Relationship Id="rId10" Type="http://schemas.openxmlformats.org/officeDocument/2006/relationships/hyperlink" Target="https://www.sec.gov/Archives/edgar/data/1809918/000180991820000001/xslC_X01/primary_doc.xml" TargetMode="External"/><Relationship Id="rId31" Type="http://schemas.openxmlformats.org/officeDocument/2006/relationships/hyperlink" Target="https://mainvest.com/businesses/sail-to-trail-wineworks" TargetMode="External"/><Relationship Id="rId44" Type="http://schemas.openxmlformats.org/officeDocument/2006/relationships/hyperlink" Target="https://www.sec.gov/Archives/edgar/data/1796091/000167025419000715/xslC_X01/primary_doc.xml" TargetMode="External"/><Relationship Id="rId52" Type="http://schemas.openxmlformats.org/officeDocument/2006/relationships/hyperlink" Target="https://www.sec.gov/Archives/edgar/data/1802932/000174605920000034/xslC_X01/primary_doc.xml" TargetMode="External"/><Relationship Id="rId60" Type="http://schemas.openxmlformats.org/officeDocument/2006/relationships/hyperlink" Target="https://www.sec.gov/Archives/edgar/data/1788198/000167025419000612/xslC_X01/primary_doc.xml" TargetMode="External"/><Relationship Id="rId65" Type="http://schemas.openxmlformats.org/officeDocument/2006/relationships/hyperlink" Target="https://app.honeycombcredit.com/en/projects/11226-Sits-N-Wiggles-Dog-Daycare-N-Training--LLC" TargetMode="External"/><Relationship Id="rId73" Type="http://schemas.openxmlformats.org/officeDocument/2006/relationships/hyperlink" Target="https://wefunder.com/snake.oil.song" TargetMode="External"/><Relationship Id="rId78" Type="http://schemas.openxmlformats.org/officeDocument/2006/relationships/hyperlink" Target="https://www.sec.gov/Archives/edgar/data/1805075/000180507520000002/xslC_X01/primary_doc.xml" TargetMode="External"/><Relationship Id="rId81" Type="http://schemas.openxmlformats.org/officeDocument/2006/relationships/hyperlink" Target="https://mainvest.com/b/av-seals-labor-group-llc" TargetMode="External"/><Relationship Id="rId86" Type="http://schemas.openxmlformats.org/officeDocument/2006/relationships/hyperlink" Target="https://www.sec.gov/Archives/edgar/data/1808346/000174605920000102/xslC_X01/primary_doc.xml" TargetMode="External"/><Relationship Id="rId94" Type="http://schemas.openxmlformats.org/officeDocument/2006/relationships/hyperlink" Target="https://www.sec.gov/Archives/edgar/data/1807932/000174605920000095/xslC_X01/primary_doc.xml" TargetMode="External"/><Relationship Id="rId4" Type="http://schemas.openxmlformats.org/officeDocument/2006/relationships/hyperlink" Target="https://www.sec.gov/Archives/edgar/data/1809409/000174605920000118/xslC_X01/primary_doc.xml" TargetMode="External"/><Relationship Id="rId9" Type="http://schemas.openxmlformats.org/officeDocument/2006/relationships/hyperlink" Target="https://app.honeycombcredit.com/en/projects/11394-Square-Cafe" TargetMode="External"/><Relationship Id="rId13" Type="http://schemas.openxmlformats.org/officeDocument/2006/relationships/hyperlink" Target="https://mainvest.com/b/exotic-parrots-llc-mcallen" TargetMode="External"/><Relationship Id="rId18" Type="http://schemas.openxmlformats.org/officeDocument/2006/relationships/hyperlink" Target="https://www.sec.gov/Archives/edgar/data/1802569/000180256920000001/xslC_X01/primary_doc.xml" TargetMode="External"/><Relationship Id="rId39" Type="http://schemas.openxmlformats.org/officeDocument/2006/relationships/hyperlink" Target="https://mainvest.com/b/room-and-boards-cafe-boise" TargetMode="External"/><Relationship Id="rId34" Type="http://schemas.openxmlformats.org/officeDocument/2006/relationships/hyperlink" Target="https://www.sec.gov/Archives/edgar/data/1795322/000179532220000001/xslC_X01/primary_doc.xml" TargetMode="External"/><Relationship Id="rId50" Type="http://schemas.openxmlformats.org/officeDocument/2006/relationships/hyperlink" Target="https://www.sec.gov/Archives/edgar/data/1790424/000179042420000003/xslC_X01/primary_doc.xml" TargetMode="External"/><Relationship Id="rId55" Type="http://schemas.openxmlformats.org/officeDocument/2006/relationships/hyperlink" Target="https://fundopolis.com/raisedetails?id=bacaeab7-f47b-473b-82fb-f6dfc908b44c" TargetMode="External"/><Relationship Id="rId76" Type="http://schemas.openxmlformats.org/officeDocument/2006/relationships/hyperlink" Target="https://www.sec.gov/Archives/edgar/data/1803497/000180349720000001/xslC_X01/primary_doc.xml" TargetMode="External"/><Relationship Id="rId97" Type="http://schemas.openxmlformats.org/officeDocument/2006/relationships/hyperlink" Target="https://mainvest.com/b/wanderlinger-brewery-chattanooga" TargetMode="External"/><Relationship Id="rId7" Type="http://schemas.openxmlformats.org/officeDocument/2006/relationships/hyperlink" Target="https://app.honeycombcredit.com/en/projects/11413-Liliahna-LLC" TargetMode="External"/><Relationship Id="rId71" Type="http://schemas.openxmlformats.org/officeDocument/2006/relationships/hyperlink" Target="https://mainvest.com/businesses/plum-island-grille" TargetMode="External"/><Relationship Id="rId92" Type="http://schemas.openxmlformats.org/officeDocument/2006/relationships/hyperlink" Target="https://disclosurequest.com/form/big-kahuna-pineapple-drink-co-llc/0001805122-20-000001/?returnURL=" TargetMode="External"/><Relationship Id="rId2" Type="http://schemas.openxmlformats.org/officeDocument/2006/relationships/hyperlink" Target="https://disclosurequest.com/form/sol-cinema-cafe-inc./0001746059-20-000117/?returnURL=" TargetMode="External"/><Relationship Id="rId29" Type="http://schemas.openxmlformats.org/officeDocument/2006/relationships/hyperlink" Target="https://app.honeycombcredit.com/en/projects/11325-The-Upper-Row" TargetMode="External"/><Relationship Id="rId24" Type="http://schemas.openxmlformats.org/officeDocument/2006/relationships/hyperlink" Target="https://www.sec.gov/Archives/edgar/data/1807638/000174605920000093/xslC_X01/primary_doc.xml" TargetMode="External"/><Relationship Id="rId40" Type="http://schemas.openxmlformats.org/officeDocument/2006/relationships/hyperlink" Target="https://www.sec.gov/Archives/edgar/data/1804876/000174605920000058/xslC_X01/primary_doc.xml" TargetMode="External"/><Relationship Id="rId45" Type="http://schemas.openxmlformats.org/officeDocument/2006/relationships/hyperlink" Target="https://mainvest.com/businesses/queens-gambit" TargetMode="External"/><Relationship Id="rId66" Type="http://schemas.openxmlformats.org/officeDocument/2006/relationships/hyperlink" Target="https://www.sec.gov/Archives/edgar/data/1800155/000180015520000001/xslC_X01/primary_doc.xml" TargetMode="External"/><Relationship Id="rId87" Type="http://schemas.openxmlformats.org/officeDocument/2006/relationships/hyperlink" Target="https://mainvest.com/b/twisted-escape-room-salem" TargetMode="External"/><Relationship Id="rId61" Type="http://schemas.openxmlformats.org/officeDocument/2006/relationships/hyperlink" Target="https://mainvest.com/businesses/kintaproom" TargetMode="External"/><Relationship Id="rId82" Type="http://schemas.openxmlformats.org/officeDocument/2006/relationships/hyperlink" Target="https://www.sec.gov/Archives/edgar/data/1807302/000174605920000099/xslC_X01/primary_doc.xml" TargetMode="External"/><Relationship Id="rId19" Type="http://schemas.openxmlformats.org/officeDocument/2006/relationships/hyperlink" Target="https://mainvest.com/businesses/hot-oven-cookies/overview" TargetMode="External"/><Relationship Id="rId14" Type="http://schemas.openxmlformats.org/officeDocument/2006/relationships/hyperlink" Target="https://www.sec.gov/Archives/edgar/data/1809680/000174605920000109/xslC_X01/primary_doc.xml" TargetMode="External"/><Relationship Id="rId30" Type="http://schemas.openxmlformats.org/officeDocument/2006/relationships/hyperlink" Target="https://www.sec.gov/Archives/edgar/data/1802485/000180248520000001/xslC_X01/primary_doc.xml" TargetMode="External"/><Relationship Id="rId35" Type="http://schemas.openxmlformats.org/officeDocument/2006/relationships/hyperlink" Target="https://mainvest.com/businesses/little-radish" TargetMode="External"/><Relationship Id="rId56" Type="http://schemas.openxmlformats.org/officeDocument/2006/relationships/hyperlink" Target="https://www.sec.gov/Archives/edgar/data/1794037/000178043919000009/xslC_X01/primary_doc.xml" TargetMode="External"/><Relationship Id="rId77" Type="http://schemas.openxmlformats.org/officeDocument/2006/relationships/hyperlink" Target="https://app.honeycombcredit.com/en/projects/11333-ScHE-Corp" TargetMode="External"/><Relationship Id="rId8" Type="http://schemas.openxmlformats.org/officeDocument/2006/relationships/hyperlink" Target="https://www.sec.gov/Archives/edgar/data/1809729/000180972920000003/xslC_X01/primary_doc.xml" TargetMode="External"/><Relationship Id="rId51" Type="http://schemas.openxmlformats.org/officeDocument/2006/relationships/hyperlink" Target="https://mainvest.com/businesses/avalon-lounge-and-game-cafe" TargetMode="External"/><Relationship Id="rId72" Type="http://schemas.openxmlformats.org/officeDocument/2006/relationships/hyperlink" Target="https://www.sec.gov/Archives/edgar/data/1799484/000174605920000037/xslC_X01/primary_doc.xml" TargetMode="External"/><Relationship Id="rId93" Type="http://schemas.openxmlformats.org/officeDocument/2006/relationships/hyperlink" Target="https://mainvest.com/businesses/goddard-medical-services/overview" TargetMode="External"/><Relationship Id="rId98" Type="http://schemas.openxmlformats.org/officeDocument/2006/relationships/hyperlink" Target="https://www.sec.gov/Archives/edgar/data/1807927/000174605920000097/xslC_X01/primary_doc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I289"/>
  <sheetViews>
    <sheetView tabSelected="1" workbookViewId="0">
      <pane xSplit="4" ySplit="2" topLeftCell="AQ3" activePane="bottomRight" state="frozen"/>
      <selection pane="topRight" activeCell="E1" sqref="E1"/>
      <selection pane="bottomLeft" activeCell="A3" sqref="A3"/>
      <selection pane="bottomRight" activeCell="AS3" sqref="AS3"/>
    </sheetView>
  </sheetViews>
  <sheetFormatPr defaultColWidth="14.44140625" defaultRowHeight="15.75" customHeight="1"/>
  <cols>
    <col min="1" max="1" width="19" customWidth="1"/>
    <col min="2" max="3" width="8.44140625" customWidth="1"/>
    <col min="4" max="4" width="29" customWidth="1"/>
    <col min="5" max="5" width="18.88671875" customWidth="1"/>
    <col min="6" max="6" width="22" customWidth="1"/>
    <col min="7" max="7" width="14" customWidth="1"/>
    <col min="8" max="8" width="14.33203125" customWidth="1"/>
    <col min="9" max="9" width="15.88671875" customWidth="1"/>
    <col min="10" max="10" width="22.6640625" customWidth="1"/>
    <col min="11" max="11" width="26.33203125" customWidth="1"/>
    <col min="12" max="12" width="28.44140625" customWidth="1"/>
    <col min="13" max="13" width="45" customWidth="1"/>
    <col min="14" max="14" width="18.88671875" customWidth="1"/>
    <col min="15" max="15" width="12.88671875" customWidth="1"/>
    <col min="16" max="16" width="10.88671875" customWidth="1"/>
    <col min="17" max="18" width="22.33203125" customWidth="1"/>
    <col min="19" max="19" width="18.33203125" customWidth="1"/>
    <col min="20" max="20" width="29.6640625" customWidth="1"/>
    <col min="21" max="22" width="22.109375" customWidth="1"/>
    <col min="23" max="23" width="18.109375" customWidth="1"/>
    <col min="24" max="24" width="14.5546875" customWidth="1"/>
    <col min="25" max="25" width="30" customWidth="1"/>
    <col min="26" max="26" width="22" style="275" customWidth="1"/>
    <col min="27" max="27" width="22" customWidth="1"/>
    <col min="28" max="28" width="16.109375" customWidth="1"/>
    <col min="29" max="29" width="20.109375" customWidth="1"/>
    <col min="30" max="30" width="15.33203125" customWidth="1"/>
    <col min="31" max="31" width="31" customWidth="1"/>
    <col min="32" max="32" width="13.5546875" customWidth="1"/>
    <col min="33" max="33" width="22.88671875" customWidth="1"/>
    <col min="34" max="34" width="21.44140625" customWidth="1"/>
    <col min="35" max="35" width="24.33203125" customWidth="1"/>
    <col min="36" max="36" width="24.33203125" style="275" customWidth="1"/>
    <col min="37" max="37" width="34.6640625" customWidth="1"/>
    <col min="38" max="38" width="25.88671875" style="275" customWidth="1"/>
    <col min="39" max="39" width="34.6640625" customWidth="1"/>
    <col min="40" max="40" width="20.6640625" style="275" customWidth="1"/>
    <col min="41" max="41" width="29.5546875" customWidth="1"/>
    <col min="42" max="42" width="28.44140625" customWidth="1"/>
    <col min="43" max="43" width="28.109375" customWidth="1"/>
    <col min="44" max="44" width="26.44140625" customWidth="1"/>
    <col min="45" max="45" width="21.88671875" customWidth="1"/>
    <col min="46" max="46" width="19.33203125" customWidth="1"/>
    <col min="47" max="47" width="30.6640625" customWidth="1"/>
    <col min="48" max="48" width="19.33203125" customWidth="1"/>
    <col min="49" max="49" width="13" customWidth="1"/>
    <col min="50" max="50" width="11.33203125" customWidth="1"/>
    <col min="51" max="51" width="23.88671875" customWidth="1"/>
    <col min="52" max="52" width="14.44140625" customWidth="1"/>
    <col min="53" max="53" width="24" customWidth="1"/>
    <col min="54" max="54" width="19.6640625" style="275" customWidth="1"/>
    <col min="55" max="55" width="35" style="275" customWidth="1"/>
    <col min="56" max="56" width="43.88671875" customWidth="1"/>
    <col min="57" max="57" width="30.33203125" style="275" customWidth="1"/>
    <col min="58" max="58" width="39.109375" customWidth="1"/>
    <col min="59" max="59" width="20.6640625" customWidth="1"/>
    <col min="60" max="60" width="25" customWidth="1"/>
    <col min="61" max="61" width="18.109375" customWidth="1"/>
    <col min="62" max="62" width="18.33203125" customWidth="1"/>
    <col min="63" max="63" width="13.5546875" style="275" customWidth="1"/>
    <col min="64" max="64" width="24.33203125" customWidth="1"/>
    <col min="65" max="65" width="22.109375" customWidth="1"/>
    <col min="66" max="66" width="23.6640625" customWidth="1"/>
    <col min="67" max="67" width="23" customWidth="1"/>
    <col min="68" max="68" width="20.33203125" customWidth="1"/>
    <col min="69" max="69" width="11.6640625" customWidth="1"/>
    <col min="70" max="71" width="18.5546875" customWidth="1"/>
    <col min="72" max="72" width="3.33203125" customWidth="1"/>
    <col min="73" max="73" width="41" customWidth="1"/>
    <col min="74" max="74" width="16.88671875" customWidth="1"/>
    <col min="75" max="75" width="15.6640625" customWidth="1"/>
    <col min="76" max="76" width="35.44140625" customWidth="1"/>
    <col min="77" max="77" width="3.5546875" customWidth="1"/>
    <col min="78" max="78" width="41" customWidth="1"/>
    <col min="79" max="79" width="16.88671875" customWidth="1"/>
    <col min="80" max="80" width="15.6640625" customWidth="1"/>
    <col min="81" max="81" width="35.44140625" customWidth="1"/>
    <col min="82" max="82" width="3.5546875" customWidth="1"/>
    <col min="83" max="83" width="41" customWidth="1"/>
    <col min="84" max="84" width="16.88671875" customWidth="1"/>
    <col min="85" max="85" width="15.6640625" customWidth="1"/>
    <col min="86" max="86" width="35.44140625" customWidth="1"/>
    <col min="87" max="87" width="3.109375" customWidth="1"/>
    <col min="88" max="88" width="41" customWidth="1"/>
    <col min="89" max="89" width="16.88671875" customWidth="1"/>
    <col min="90" max="90" width="15.6640625" customWidth="1"/>
    <col min="91" max="91" width="35.44140625" customWidth="1"/>
    <col min="92" max="92" width="3.5546875" customWidth="1"/>
    <col min="93" max="93" width="41" customWidth="1"/>
    <col min="94" max="94" width="16.88671875" customWidth="1"/>
    <col min="95" max="95" width="15.6640625" customWidth="1"/>
    <col min="96" max="96" width="35.44140625" customWidth="1"/>
    <col min="97" max="97" width="3.5546875" customWidth="1"/>
    <col min="98" max="98" width="41" customWidth="1"/>
    <col min="99" max="99" width="16.88671875" customWidth="1"/>
    <col min="100" max="100" width="15.6640625" customWidth="1"/>
    <col min="101" max="101" width="35.44140625" customWidth="1"/>
    <col min="102" max="102" width="3.5546875" customWidth="1"/>
    <col min="103" max="103" width="41" customWidth="1"/>
    <col min="104" max="104" width="16.88671875" customWidth="1"/>
    <col min="105" max="105" width="15.6640625" customWidth="1"/>
    <col min="106" max="106" width="35.44140625" customWidth="1"/>
    <col min="107" max="107" width="3.5546875" customWidth="1"/>
    <col min="108" max="108" width="41" customWidth="1"/>
    <col min="109" max="109" width="16.88671875" customWidth="1"/>
    <col min="110" max="110" width="15.6640625" customWidth="1"/>
    <col min="111" max="111" width="35.44140625" customWidth="1"/>
    <col min="112" max="112" width="3.5546875" customWidth="1"/>
    <col min="113" max="113" width="41" customWidth="1"/>
    <col min="114" max="114" width="16.88671875" customWidth="1"/>
    <col min="115" max="115" width="15.6640625" customWidth="1"/>
    <col min="116" max="116" width="35.44140625" customWidth="1"/>
    <col min="117" max="119" width="3.5546875" customWidth="1"/>
    <col min="120" max="120" width="21.44140625" customWidth="1"/>
    <col min="121" max="121" width="3.5546875" customWidth="1"/>
    <col min="122" max="122" width="34.5546875" customWidth="1"/>
    <col min="123" max="123" width="44.109375" customWidth="1"/>
    <col min="124" max="124" width="11.109375" customWidth="1"/>
    <col min="125" max="125" width="20.6640625" customWidth="1"/>
    <col min="126" max="126" width="9.33203125" customWidth="1"/>
    <col min="127" max="127" width="13.5546875" customWidth="1"/>
    <col min="128" max="128" width="4.33203125" customWidth="1"/>
    <col min="129" max="132" width="21.44140625" customWidth="1"/>
    <col min="133" max="133" width="13" customWidth="1"/>
    <col min="134" max="134" width="25.88671875" customWidth="1"/>
    <col min="135" max="136" width="21.44140625" customWidth="1"/>
    <col min="137" max="137" width="4.33203125" customWidth="1"/>
    <col min="138" max="138" width="25.109375" customWidth="1"/>
    <col min="139" max="139" width="15.44140625" customWidth="1"/>
    <col min="140" max="141" width="21.44140625" customWidth="1"/>
    <col min="142" max="142" width="20.6640625" customWidth="1"/>
    <col min="143" max="143" width="4.33203125" customWidth="1"/>
    <col min="144" max="144" width="29.6640625" customWidth="1"/>
    <col min="145" max="145" width="11.44140625" customWidth="1"/>
    <col min="146" max="147" width="14.6640625" customWidth="1"/>
    <col min="148" max="148" width="26.33203125" customWidth="1"/>
    <col min="149" max="149" width="21.44140625" customWidth="1"/>
    <col min="150" max="150" width="26.109375" customWidth="1"/>
    <col min="151" max="151" width="21.44140625" customWidth="1"/>
    <col min="152" max="152" width="23.44140625" customWidth="1"/>
    <col min="153" max="153" width="21.44140625" customWidth="1"/>
    <col min="154" max="154" width="39.109375" customWidth="1"/>
    <col min="155" max="155" width="21.44140625" customWidth="1"/>
    <col min="156" max="156" width="23.33203125" customWidth="1"/>
    <col min="157" max="157" width="24.33203125" customWidth="1"/>
    <col min="158" max="158" width="24.109375" customWidth="1"/>
    <col min="159" max="159" width="4.33203125" customWidth="1"/>
    <col min="160" max="160" width="27.5546875" customWidth="1"/>
    <col min="161" max="161" width="21.44140625" customWidth="1"/>
    <col min="162" max="162" width="30.5546875" customWidth="1"/>
    <col min="163" max="163" width="21.44140625" customWidth="1"/>
    <col min="164" max="164" width="19.33203125" customWidth="1"/>
    <col min="165" max="165" width="21.44140625" customWidth="1"/>
    <col min="166" max="166" width="28.44140625" customWidth="1"/>
    <col min="167" max="167" width="21.44140625" customWidth="1"/>
    <col min="168" max="168" width="4.33203125" customWidth="1"/>
    <col min="169" max="169" width="23.44140625" customWidth="1"/>
    <col min="170" max="170" width="9.6640625" customWidth="1"/>
    <col min="171" max="171" width="18.109375" customWidth="1"/>
    <col min="172" max="172" width="15.33203125" customWidth="1"/>
    <col min="173" max="174" width="20.5546875" customWidth="1"/>
    <col min="175" max="175" width="30.88671875" customWidth="1"/>
    <col min="176" max="176" width="21.44140625" customWidth="1"/>
    <col min="177" max="177" width="4.33203125" customWidth="1"/>
    <col min="178" max="178" width="26.5546875" customWidth="1"/>
    <col min="179" max="179" width="23.44140625" customWidth="1"/>
    <col min="180" max="180" width="21.44140625" customWidth="1"/>
    <col min="181" max="181" width="19" customWidth="1"/>
    <col min="182" max="182" width="23.44140625" customWidth="1"/>
    <col min="183" max="183" width="21.44140625" customWidth="1"/>
    <col min="184" max="184" width="28.33203125" customWidth="1"/>
    <col min="185" max="185" width="21.44140625" customWidth="1"/>
    <col min="186" max="186" width="37.44140625" customWidth="1"/>
    <col min="187" max="187" width="21.44140625" customWidth="1"/>
    <col min="188" max="188" width="4.33203125" customWidth="1"/>
    <col min="189" max="190" width="21.44140625" customWidth="1"/>
    <col min="191" max="191" width="40.33203125" customWidth="1"/>
  </cols>
  <sheetData>
    <row r="1" spans="1:191" ht="17.25" customHeight="1">
      <c r="A1" s="18" t="s">
        <v>33</v>
      </c>
      <c r="B1" s="18" t="s">
        <v>40</v>
      </c>
      <c r="C1" s="20" t="s">
        <v>41</v>
      </c>
      <c r="D1" s="5" t="s">
        <v>45</v>
      </c>
      <c r="E1" s="15" t="s">
        <v>47</v>
      </c>
      <c r="F1" s="15" t="s">
        <v>18</v>
      </c>
      <c r="G1" s="7" t="s">
        <v>48</v>
      </c>
      <c r="H1" s="7" t="s">
        <v>49</v>
      </c>
      <c r="I1" s="15" t="s">
        <v>51</v>
      </c>
      <c r="J1" s="5" t="s">
        <v>52</v>
      </c>
      <c r="K1" s="5" t="s">
        <v>53</v>
      </c>
      <c r="L1" s="15" t="s">
        <v>54</v>
      </c>
      <c r="M1" s="15" t="s">
        <v>55</v>
      </c>
      <c r="N1" s="15" t="s">
        <v>56</v>
      </c>
      <c r="O1" s="15" t="s">
        <v>57</v>
      </c>
      <c r="P1" s="15" t="s">
        <v>58</v>
      </c>
      <c r="Q1" s="15" t="s">
        <v>59</v>
      </c>
      <c r="R1" s="15" t="s">
        <v>60</v>
      </c>
      <c r="S1" s="15" t="s">
        <v>61</v>
      </c>
      <c r="T1" s="22" t="s">
        <v>62</v>
      </c>
      <c r="U1" s="23" t="s">
        <v>63</v>
      </c>
      <c r="V1" s="24" t="s">
        <v>64</v>
      </c>
      <c r="W1" s="24" t="s">
        <v>65</v>
      </c>
      <c r="X1" s="25" t="s">
        <v>66</v>
      </c>
      <c r="Y1" s="24" t="s">
        <v>67</v>
      </c>
      <c r="Z1" s="272" t="s">
        <v>68</v>
      </c>
      <c r="AA1" s="24" t="s">
        <v>69</v>
      </c>
      <c r="AB1" s="15" t="s">
        <v>70</v>
      </c>
      <c r="AC1" s="15" t="s">
        <v>71</v>
      </c>
      <c r="AD1" s="15" t="s">
        <v>72</v>
      </c>
      <c r="AE1" s="15" t="s">
        <v>73</v>
      </c>
      <c r="AF1" s="15" t="s">
        <v>74</v>
      </c>
      <c r="AG1" s="15" t="s">
        <v>75</v>
      </c>
      <c r="AH1" s="15" t="s">
        <v>76</v>
      </c>
      <c r="AI1" s="24" t="s">
        <v>525</v>
      </c>
      <c r="AJ1" s="272" t="s">
        <v>79</v>
      </c>
      <c r="AK1" s="24" t="s">
        <v>80</v>
      </c>
      <c r="AL1" s="272" t="s">
        <v>526</v>
      </c>
      <c r="AM1" s="24" t="s">
        <v>527</v>
      </c>
      <c r="AN1" s="272" t="s">
        <v>81</v>
      </c>
      <c r="AO1" s="15" t="s">
        <v>82</v>
      </c>
      <c r="AP1" s="15" t="s">
        <v>27</v>
      </c>
      <c r="AQ1" s="15" t="s">
        <v>83</v>
      </c>
      <c r="AR1" s="15" t="s">
        <v>84</v>
      </c>
      <c r="AS1" s="15" t="s">
        <v>85</v>
      </c>
      <c r="AT1" s="15" t="s">
        <v>19</v>
      </c>
      <c r="AU1" s="15" t="s">
        <v>20</v>
      </c>
      <c r="AV1" s="15" t="s">
        <v>86</v>
      </c>
      <c r="AW1" s="15" t="s">
        <v>87</v>
      </c>
      <c r="AX1" s="15" t="s">
        <v>88</v>
      </c>
      <c r="AY1" s="15" t="s">
        <v>89</v>
      </c>
      <c r="AZ1" s="272" t="s">
        <v>90</v>
      </c>
      <c r="BA1" s="24" t="s">
        <v>91</v>
      </c>
      <c r="BB1" s="272" t="s">
        <v>92</v>
      </c>
      <c r="BC1" s="272" t="s">
        <v>93</v>
      </c>
      <c r="BD1" s="24" t="s">
        <v>94</v>
      </c>
      <c r="BE1" s="272" t="s">
        <v>95</v>
      </c>
      <c r="BF1" s="15" t="s">
        <v>96</v>
      </c>
      <c r="BG1" s="15" t="s">
        <v>97</v>
      </c>
      <c r="BH1" s="15" t="s">
        <v>98</v>
      </c>
      <c r="BI1" s="15" t="s">
        <v>99</v>
      </c>
      <c r="BJ1" s="15" t="s">
        <v>100</v>
      </c>
      <c r="BK1" s="272" t="s">
        <v>101</v>
      </c>
      <c r="BL1" s="15" t="s">
        <v>102</v>
      </c>
      <c r="BM1" s="15" t="s">
        <v>103</v>
      </c>
      <c r="BN1" s="15" t="s">
        <v>104</v>
      </c>
      <c r="BO1" s="15" t="s">
        <v>105</v>
      </c>
      <c r="BP1" s="15" t="s">
        <v>106</v>
      </c>
      <c r="BQ1" s="15" t="s">
        <v>107</v>
      </c>
      <c r="BR1" s="15" t="s">
        <v>108</v>
      </c>
      <c r="BS1" s="15" t="s">
        <v>109</v>
      </c>
      <c r="BT1" s="15" t="s">
        <v>110</v>
      </c>
      <c r="BU1" s="15" t="s">
        <v>111</v>
      </c>
      <c r="BV1" s="15" t="s">
        <v>112</v>
      </c>
      <c r="BW1" s="15" t="s">
        <v>113</v>
      </c>
      <c r="BX1" s="15" t="s">
        <v>114</v>
      </c>
      <c r="BY1" s="15" t="s">
        <v>115</v>
      </c>
      <c r="BZ1" s="15" t="s">
        <v>116</v>
      </c>
      <c r="CA1" s="15" t="s">
        <v>117</v>
      </c>
      <c r="CB1" s="15" t="s">
        <v>118</v>
      </c>
      <c r="CC1" s="15" t="s">
        <v>119</v>
      </c>
      <c r="CD1" s="15" t="s">
        <v>120</v>
      </c>
      <c r="CE1" s="15" t="s">
        <v>121</v>
      </c>
      <c r="CF1" s="15" t="s">
        <v>122</v>
      </c>
      <c r="CG1" s="15" t="s">
        <v>123</v>
      </c>
      <c r="CH1" s="15" t="s">
        <v>124</v>
      </c>
      <c r="CI1" s="15" t="s">
        <v>125</v>
      </c>
      <c r="CJ1" s="15" t="s">
        <v>126</v>
      </c>
      <c r="CK1" s="15" t="s">
        <v>127</v>
      </c>
      <c r="CL1" s="15" t="s">
        <v>128</v>
      </c>
      <c r="CM1" s="15" t="s">
        <v>129</v>
      </c>
      <c r="CN1" s="15" t="s">
        <v>130</v>
      </c>
      <c r="CO1" s="15" t="s">
        <v>131</v>
      </c>
      <c r="CP1" s="15" t="s">
        <v>132</v>
      </c>
      <c r="CQ1" s="15" t="s">
        <v>133</v>
      </c>
      <c r="CR1" s="15" t="s">
        <v>134</v>
      </c>
      <c r="CS1" s="15" t="s">
        <v>135</v>
      </c>
      <c r="CT1" s="15" t="s">
        <v>136</v>
      </c>
      <c r="CU1" s="15" t="s">
        <v>137</v>
      </c>
      <c r="CV1" s="15" t="s">
        <v>138</v>
      </c>
      <c r="CW1" s="15" t="s">
        <v>139</v>
      </c>
      <c r="CX1" s="15" t="s">
        <v>141</v>
      </c>
      <c r="CY1" s="15" t="s">
        <v>142</v>
      </c>
      <c r="CZ1" s="15" t="s">
        <v>143</v>
      </c>
      <c r="DA1" s="15" t="s">
        <v>144</v>
      </c>
      <c r="DB1" s="15" t="s">
        <v>145</v>
      </c>
      <c r="DC1" s="15" t="s">
        <v>146</v>
      </c>
      <c r="DD1" s="15" t="s">
        <v>147</v>
      </c>
      <c r="DE1" s="15" t="s">
        <v>148</v>
      </c>
      <c r="DF1" s="15" t="s">
        <v>149</v>
      </c>
      <c r="DG1" s="15" t="s">
        <v>150</v>
      </c>
      <c r="DH1" s="15" t="s">
        <v>151</v>
      </c>
      <c r="DI1" s="15" t="s">
        <v>152</v>
      </c>
      <c r="DJ1" s="15" t="s">
        <v>153</v>
      </c>
      <c r="DK1" s="15" t="s">
        <v>154</v>
      </c>
      <c r="DL1" s="15" t="s">
        <v>155</v>
      </c>
      <c r="DM1" s="6"/>
      <c r="DN1" s="6"/>
      <c r="DO1" s="6"/>
      <c r="DP1" s="6"/>
      <c r="DQ1" s="108"/>
      <c r="DR1" s="109" t="s">
        <v>531</v>
      </c>
      <c r="DS1" s="110" t="s">
        <v>534</v>
      </c>
      <c r="DT1" s="109" t="s">
        <v>535</v>
      </c>
      <c r="DU1" s="110" t="s">
        <v>536</v>
      </c>
      <c r="DV1" s="109" t="s">
        <v>537</v>
      </c>
      <c r="DW1" s="111" t="s">
        <v>538</v>
      </c>
      <c r="DX1" s="113"/>
      <c r="DY1" s="114" t="s">
        <v>539</v>
      </c>
      <c r="DZ1" s="115" t="s">
        <v>540</v>
      </c>
      <c r="EA1" s="116" t="s">
        <v>541</v>
      </c>
      <c r="EB1" s="116" t="s">
        <v>542</v>
      </c>
      <c r="EC1" s="117" t="s">
        <v>543</v>
      </c>
      <c r="ED1" s="118" t="s">
        <v>544</v>
      </c>
      <c r="EE1" s="119" t="s">
        <v>545</v>
      </c>
      <c r="EF1" s="118" t="s">
        <v>546</v>
      </c>
      <c r="EG1" s="113"/>
      <c r="EH1" s="120" t="s">
        <v>547</v>
      </c>
      <c r="EI1" s="120" t="s">
        <v>549</v>
      </c>
      <c r="EJ1" s="121" t="s">
        <v>550</v>
      </c>
      <c r="EK1" s="122" t="s">
        <v>552</v>
      </c>
      <c r="EL1" s="118" t="s">
        <v>553</v>
      </c>
      <c r="EM1" s="113"/>
      <c r="EN1" s="123" t="s">
        <v>554</v>
      </c>
      <c r="EO1" s="124" t="s">
        <v>556</v>
      </c>
      <c r="EP1" s="125" t="s">
        <v>550</v>
      </c>
      <c r="EQ1" s="126" t="s">
        <v>559</v>
      </c>
      <c r="ER1" s="127" t="s">
        <v>560</v>
      </c>
      <c r="ES1" s="128" t="s">
        <v>545</v>
      </c>
      <c r="ET1" s="127" t="s">
        <v>561</v>
      </c>
      <c r="EU1" s="128" t="s">
        <v>545</v>
      </c>
      <c r="EV1" s="127" t="s">
        <v>562</v>
      </c>
      <c r="EW1" s="128" t="s">
        <v>545</v>
      </c>
      <c r="EX1" s="127" t="s">
        <v>563</v>
      </c>
      <c r="EY1" s="128" t="s">
        <v>545</v>
      </c>
      <c r="EZ1" s="127" t="s">
        <v>564</v>
      </c>
      <c r="FA1" s="129" t="s">
        <v>565</v>
      </c>
      <c r="FB1" s="129" t="s">
        <v>566</v>
      </c>
      <c r="FC1" s="113"/>
      <c r="FD1" s="127" t="s">
        <v>567</v>
      </c>
      <c r="FE1" s="128" t="s">
        <v>545</v>
      </c>
      <c r="FF1" s="127" t="s">
        <v>568</v>
      </c>
      <c r="FG1" s="128" t="s">
        <v>545</v>
      </c>
      <c r="FH1" s="127" t="s">
        <v>569</v>
      </c>
      <c r="FI1" s="128" t="s">
        <v>545</v>
      </c>
      <c r="FJ1" s="127" t="s">
        <v>570</v>
      </c>
      <c r="FK1" s="128" t="s">
        <v>545</v>
      </c>
      <c r="FL1" s="113"/>
      <c r="FM1" s="130" t="s">
        <v>571</v>
      </c>
      <c r="FN1" s="130" t="s">
        <v>572</v>
      </c>
      <c r="FO1" s="114" t="s">
        <v>573</v>
      </c>
      <c r="FP1" s="130" t="s">
        <v>574</v>
      </c>
      <c r="FQ1" s="121" t="s">
        <v>550</v>
      </c>
      <c r="FR1" s="122" t="s">
        <v>575</v>
      </c>
      <c r="FS1" s="131" t="s">
        <v>576</v>
      </c>
      <c r="FT1" s="132" t="s">
        <v>545</v>
      </c>
      <c r="FU1" s="113"/>
      <c r="FV1" s="133" t="s">
        <v>577</v>
      </c>
      <c r="FW1" s="134" t="s">
        <v>578</v>
      </c>
      <c r="FX1" s="135" t="s">
        <v>550</v>
      </c>
      <c r="FY1" s="136" t="s">
        <v>581</v>
      </c>
      <c r="FZ1" s="131" t="s">
        <v>582</v>
      </c>
      <c r="GA1" s="137" t="s">
        <v>545</v>
      </c>
      <c r="GB1" s="138" t="s">
        <v>584</v>
      </c>
      <c r="GC1" s="139" t="s">
        <v>545</v>
      </c>
      <c r="GD1" s="139" t="s">
        <v>586</v>
      </c>
      <c r="GE1" s="139" t="s">
        <v>545</v>
      </c>
      <c r="GF1" s="113"/>
      <c r="GG1" s="140"/>
      <c r="GH1" s="141" t="s">
        <v>550</v>
      </c>
      <c r="GI1" s="142" t="s">
        <v>587</v>
      </c>
    </row>
    <row r="2" spans="1:191" ht="15.75" customHeight="1">
      <c r="A2" s="143"/>
      <c r="B2" s="143"/>
      <c r="C2" s="144">
        <v>1744757</v>
      </c>
      <c r="D2" s="143" t="s">
        <v>588</v>
      </c>
      <c r="E2" s="145">
        <v>43612.365277777775</v>
      </c>
      <c r="F2" s="146" t="s">
        <v>316</v>
      </c>
      <c r="G2" s="147" t="s">
        <v>589</v>
      </c>
      <c r="H2" s="147" t="s">
        <v>590</v>
      </c>
      <c r="I2" s="148">
        <v>43896</v>
      </c>
      <c r="J2" s="143" t="s">
        <v>592</v>
      </c>
      <c r="K2" s="143" t="s">
        <v>588</v>
      </c>
      <c r="L2" s="146"/>
      <c r="M2" s="149" t="s">
        <v>286</v>
      </c>
      <c r="N2" s="146" t="s">
        <v>278</v>
      </c>
      <c r="O2" s="146" t="s">
        <v>30</v>
      </c>
      <c r="P2" s="146" t="s">
        <v>174</v>
      </c>
      <c r="Q2" s="146" t="s">
        <v>35</v>
      </c>
      <c r="R2" s="146"/>
      <c r="S2" s="146" t="s">
        <v>216</v>
      </c>
      <c r="T2" s="150"/>
      <c r="U2" s="151"/>
      <c r="V2" s="152">
        <v>3062871</v>
      </c>
      <c r="W2" s="153"/>
      <c r="X2" s="154"/>
      <c r="Y2" s="153" t="str">
        <f>IF(W2 &lt;&gt; 0, W2-(W2*X2), "")</f>
        <v/>
      </c>
      <c r="Z2" s="273">
        <f t="shared" ref="Z2:Z12" si="0">MAX(V2,Y2)</f>
        <v>3062871</v>
      </c>
      <c r="AA2" s="146" t="e">
        <f t="shared" ref="AA2:AA12" ca="1" si="1">_xludf.IFS(
Z2&lt;1000000, "&lt; $1M",
Z2&lt;=2000000, "$1M - $2M",
Z2&lt;=4000000, "$2M - $4M",
Z2&lt;=6000000, "$4M - $6M",
Z2&lt;=8000000, "$6M - $8M",
Z2&lt;=10000000, "$8M - $10M",
Z2&lt;=12000000, "$10M - $12M",
Z2&lt;=14000000, "$12M - $14M",
Z2&lt;=16000000, "$14M - $16M",
Z2&lt;=18000000, "$16M - $18M",
Z2&lt;=20000000, "$18M - $20M",
Z2&lt;=22000000, "$20M - $22M",
Z2&lt;=24000000, "$22M - $24M",
Z2&lt;=26000000, "$24M - $26M",
Z2&lt;=28000000, "$26M - $28M",
Z2&lt;=30000000, "$28M - $30M",
Z2&lt;=32000000, "$30M - $32M",
Z2&lt;=34000000, "$32M - $34M",
Z2&lt;=36000000, "$34M - $36M",
Z2&lt;=38000000, "$36M - $38M",
Z2&lt;=40000000, "$38M - $40M",
Z2&gt;40000000, "&lt; $40M")</f>
        <v>#NAME?</v>
      </c>
      <c r="AB2" s="146" t="s">
        <v>178</v>
      </c>
      <c r="AC2" s="146" t="s">
        <v>218</v>
      </c>
      <c r="AD2" s="146" t="s">
        <v>180</v>
      </c>
      <c r="AE2" s="146" t="s">
        <v>227</v>
      </c>
      <c r="AF2" s="143" t="s">
        <v>39</v>
      </c>
      <c r="AG2" s="143" t="s">
        <v>181</v>
      </c>
      <c r="AH2" s="146" t="s">
        <v>190</v>
      </c>
      <c r="AI2" s="155" t="s">
        <v>603</v>
      </c>
      <c r="AJ2" s="276">
        <v>11500000000</v>
      </c>
      <c r="AK2" s="154" t="e">
        <f ca="1">_xludf.IFS(
AJ2&gt;=1000000000000, "&gt; $1T",
AJ2&gt;=500000000000, "$500B-$1T",
AJ2&gt;=250000000000, "$250B-$500B",
AJ2&gt;=100000000000, "$100B-$250B",
AJ2&gt;=50000000000, "$50B-$100B",
AJ2&gt;=25000000000, "$25B-$50B",
AJ2&gt;=10000000000, "$10B-$25B",
AJ2&gt;=5000000000, "$5B-$10B",
AJ2&gt;=1000000000, "$1B-$5B",
AJ2&gt;=500000000, "$500M-$1B",
AJ2&gt;=250000000, "$250M-$500M",
AJ2&gt;=100000000, "$100M-$250M",
AJ2&gt;=50000000, "$50M-$100M",
AJ2&gt;=25000000, "$25M-$50M",
AJ2&lt;25000000, "&lt; $25M")</f>
        <v>#NAME?</v>
      </c>
      <c r="AL2" s="276">
        <v>2460000000</v>
      </c>
      <c r="AM2" s="154" t="e">
        <f ca="1">_xludf.IFS(
AL2&gt;=1000000000000, "&gt; $1T",
AL2&gt;=500000000000, "$500B-$1T",
AL2&gt;=250000000000, "$250B-$500B",
AL2&gt;=100000000000, "$100B-$250B",
AL2&gt;=50000000000, "$50B-$100B",
AL2&gt;=25000000000, "$25B-$50B",
AL2&gt;=10000000000, "$10B-$25B",
AL2&gt;=5000000000, "$5B-$10B",
AL2&gt;=1000000000, "$1B-$5B",
AL2&gt;=500000000, "$500M-$1B",
AL2&gt;=250000000, "$250M-$500M",
AL2&gt;=100000000, "$100M-$250M",
AL2&gt;=50000000, "$50M-$100M",
AL2&gt;=25000000, "$25M-$50M",
AL2&lt;25000000, "&lt; $25M")</f>
        <v>#NAME?</v>
      </c>
      <c r="AN2" s="276">
        <v>0.15</v>
      </c>
      <c r="AO2" s="146" t="e">
        <f t="shared" ref="AO2:AO12" ca="1" si="2">_xludf.IFS(
AN2&lt;0, "&lt; 0% (Shrinking Market)",
AN2&lt;=0.1, "0%-10%",
AN2&lt;=0.2, "10%-20%",
AN2&lt;=0.3, "20%-30%",
AN2&lt;=0.4, "30%-40%",
AN2&gt;0.4, "&gt; 40%")</f>
        <v>#NAME?</v>
      </c>
      <c r="AP2" s="146" t="s">
        <v>169</v>
      </c>
      <c r="AQ2" s="143" t="s">
        <v>39</v>
      </c>
      <c r="AR2" s="146" t="s">
        <v>39</v>
      </c>
      <c r="AS2" s="146" t="s">
        <v>182</v>
      </c>
      <c r="AT2" s="143"/>
      <c r="AU2" s="143"/>
      <c r="AV2" s="146" t="s">
        <v>190</v>
      </c>
      <c r="AW2" s="146" t="s">
        <v>190</v>
      </c>
      <c r="AX2" s="146" t="s">
        <v>227</v>
      </c>
      <c r="AY2" s="146" t="s">
        <v>227</v>
      </c>
      <c r="AZ2" s="152">
        <v>2293</v>
      </c>
      <c r="BA2" s="153" t="e">
        <f ca="1">_xludf.IFS(
AZ2&lt;10000, "&lt; $10K",
AZ2&lt;=50000, "$10K - $50K",
AZ2&lt;=100000, "$50K - $100K",
AZ2&lt;=500000, "$100K - $500K",
AZ2&lt;=1000000, "$500K - $1M",
AZ2&lt;=2000000, "$1M - $2M",
AZ2&lt;=3000000, "$2M - $3M",
AZ2&lt;=4000000, "$3M - $4M",
AZ2&lt;=5000000, "$4M - $5M",
AZ2&gt;5000000, "&gt; $5M")</f>
        <v>#NAME?</v>
      </c>
      <c r="BB2" s="276">
        <v>5049</v>
      </c>
      <c r="BC2" s="276">
        <v>192000</v>
      </c>
      <c r="BD2" s="151" t="e">
        <f ca="1">_xludf.IFS(
BC2&lt;10000, "&lt; $10K",
BC2&lt;=50000, "$10K - $50K",
BC2&lt;=100000, "$50K - $100K",
BC2&lt;=500000, "$100K - $500K",
BC2&lt;=1000000, "$500K - $1M",
BC2&lt;=2000000, "$1M - $2M",
BC2&lt;=3000000, "$2M - $3M",
BC2&lt;=4000000, "$3M - $4M",
BC2&lt;=5000000, "$4M - $5M",
BC2&gt;5000000, "&gt; $5M")</f>
        <v>#NAME?</v>
      </c>
      <c r="BE2" s="273">
        <f>IF(OR(BB2=0, BC2=0), 1, BB2/BC2)</f>
        <v>2.6296875000000001E-2</v>
      </c>
      <c r="BF2" s="151" t="e">
        <f ca="1">_xludf.IFS(
BE2&lt;0.1, "&lt; 10%",
BE2&lt;=0.2, "10% - 20%",
BE2&lt;=0.3, "20% - 30%",
BE2&lt;=0.4, "30% - 40%",
BE2&lt;=0.5, "40% - 50%",
BE2&lt;=0.6, "50% - 60%",
BE2&lt;=0.7, "60% - 70%",
BE2&lt;=0.8, "70% - 80%",
BE2&lt;=0.9, "80% - 90%",
BE2&gt;0.9, "90% - 100%")</f>
        <v>#NAME?</v>
      </c>
      <c r="BG2" s="146" t="s">
        <v>202</v>
      </c>
      <c r="BH2" s="146"/>
      <c r="BI2" s="146" t="s">
        <v>227</v>
      </c>
      <c r="BJ2" s="144">
        <v>3</v>
      </c>
      <c r="BK2" s="276">
        <v>1</v>
      </c>
      <c r="BL2" s="146" t="s">
        <v>227</v>
      </c>
      <c r="BM2" s="146" t="s">
        <v>190</v>
      </c>
      <c r="BN2" s="146" t="s">
        <v>190</v>
      </c>
      <c r="BO2" s="146" t="s">
        <v>190</v>
      </c>
      <c r="BP2" s="144">
        <v>2</v>
      </c>
      <c r="BQ2" s="144">
        <v>15</v>
      </c>
      <c r="BR2" s="144">
        <v>6</v>
      </c>
      <c r="BS2" s="144">
        <v>0</v>
      </c>
      <c r="BT2" s="164"/>
      <c r="BU2" s="165">
        <v>4</v>
      </c>
      <c r="BV2" s="165">
        <v>1</v>
      </c>
      <c r="BW2" s="165">
        <v>27</v>
      </c>
      <c r="BX2" s="143" t="s">
        <v>190</v>
      </c>
      <c r="BY2" s="164"/>
      <c r="BZ2" s="143"/>
      <c r="CA2" s="143"/>
      <c r="CB2" s="143"/>
      <c r="CC2" s="143"/>
      <c r="CD2" s="164"/>
      <c r="CE2" s="143"/>
      <c r="CF2" s="143"/>
      <c r="CG2" s="143"/>
      <c r="CH2" s="143"/>
      <c r="CI2" s="164"/>
      <c r="CJ2" s="143"/>
      <c r="CK2" s="143"/>
      <c r="CL2" s="143"/>
      <c r="CM2" s="143"/>
      <c r="CN2" s="164"/>
      <c r="CO2" s="146"/>
      <c r="CP2" s="146"/>
      <c r="CQ2" s="146"/>
      <c r="CR2" s="146"/>
      <c r="CS2" s="164"/>
      <c r="CT2" s="146"/>
      <c r="CU2" s="146"/>
      <c r="CV2" s="146"/>
      <c r="CW2" s="146"/>
      <c r="CX2" s="164"/>
      <c r="CY2" s="146"/>
      <c r="CZ2" s="146"/>
      <c r="DA2" s="146"/>
      <c r="DB2" s="146"/>
      <c r="DC2" s="164"/>
      <c r="DD2" s="146"/>
      <c r="DE2" s="146"/>
      <c r="DF2" s="146"/>
      <c r="DG2" s="146"/>
      <c r="DH2" s="164"/>
      <c r="DI2" s="146"/>
      <c r="DJ2" s="146"/>
      <c r="DK2" s="146"/>
      <c r="DL2" s="146"/>
      <c r="DM2" s="164"/>
      <c r="DN2" s="164"/>
      <c r="DO2" s="164"/>
      <c r="DP2" s="146"/>
      <c r="DQ2" s="166"/>
      <c r="DR2" s="167">
        <f>AVERAGE(BU2,BZ2,CE2,CJ2,CO2,CT2,CY2,DD2,DI2)</f>
        <v>4</v>
      </c>
      <c r="DS2" s="167"/>
      <c r="DT2" s="167">
        <f>SUM(BV2,CA2,CF2,CK2,CP2,CU2,CZ2,DE2,DJ2)</f>
        <v>1</v>
      </c>
      <c r="DU2" s="167"/>
      <c r="DV2" s="167">
        <f>AVERAGE(BW2,CB2,CG2,CL2,CQ2,CV2,DA2,DF2,DK2)</f>
        <v>27</v>
      </c>
      <c r="DW2" s="146" t="e">
        <f ca="1">_xludf.IFS(DV2 &lt;= 34, "20 - 34", DV2 &lt;= 54, "35 - 54", DV2 &gt; 54, "55+")</f>
        <v>#NAME?</v>
      </c>
      <c r="DX2" s="166"/>
      <c r="DY2" s="168" t="e">
        <f ca="1">_xludf.IFS(
AA2= "&lt; $1M",5,
AA2= "$1M - $2M",4.8,
AA2= "$2M - $4M",4.6,
AA2= "$4M - $6M",4.4,
AA2= "$6M - $8M",4.2,
AA2= "$8M - $10M",4,
AA2= "$10M - $12M",3.9,
AA2= "$12M - $14M",3.7,
AA2= "$14M - $16M",3.5,
AA2= "$16M - $18M",3.3,
AA2= "$18M - $20M",3.1,
AA2= "$20M - $22M",2.9,
AA2= "$22M - $24M",2.7,
AA2= "$24M - $26M",2.5,
AA2= "$26M - $28M",2.3,
AA2= "$28M - $30M",2.1,
AA2= "$30M - $32M",2,
AA2= "$32M - $34M",1.8,
AA2= "$34M - $36M",1.6,
AA2= "$36M - $38M",1.4,
AA2= "$38M - $40M",1.2,
AA2= "&lt; $40M",1)</f>
        <v>#NAME?</v>
      </c>
      <c r="DZ2" s="168" t="str">
        <f>IF(X2 &lt;&gt; "", 1+((X2-MIN(discount_rates))*(4)/(MAX(discount_rates) - MIN(discount_rates))), "")</f>
        <v/>
      </c>
      <c r="EA2" s="168" t="str">
        <f>IF(S2="Debt", (1+((U2-MIN(interest_rates))*(4)/(MAX(interest_rates) - MIN(interest_rates)))), "")</f>
        <v/>
      </c>
      <c r="EB2" s="168" t="str">
        <f>IF(OR(S2="Revenue Share", S2="Profit Share"), (1+((T2-MIN(return_mutiples))*(4)/(MAX(return_mutiples) - MIN(return_mutiples)))), "")</f>
        <v/>
      </c>
      <c r="EC2" s="170" t="e">
        <f ca="1">DY2</f>
        <v>#NAME?</v>
      </c>
      <c r="ED2" s="146" t="str">
        <f>S2</f>
        <v>Equity - Common</v>
      </c>
      <c r="EE2" s="156">
        <f>COUNTIF($ED$2:$ED$91, ED2)/(COUNTIF($ED$2:$ED$91, "&lt;&gt;""") - COUNTIF($ED$2:$ED$91, ""))</f>
        <v>0.3258426966292135</v>
      </c>
      <c r="EF2" s="146" t="str">
        <f>O2</f>
        <v>Early</v>
      </c>
      <c r="EG2" s="166"/>
      <c r="EH2" s="172" t="e">
        <f ca="1">_xludf.IFS(
AM2="&gt; $1T", 5,
AM2="$500B-$1T", 4.7,
AM2="$250B-$500B", 4.4,
AM2="$100B-$250B", 4.1,
AM2="$50B-$100B", 3.9,
AM2="$25B-$50B", 3.6,
AM2="$10B-$25B", 3.3,
AM2="$5B-$10B", 3,
AM2="$1B-$5B", 2.7,
AM2="$500M-$1B", 2.4,
AM2="$250M-$500M", 2.1,
AM2="$100M-$250M", 1.9,
AM2="$50M-$100M", 1.6,
AM2="$25M-$50M", 1.3,
AM2="&lt; $25M", 1)</f>
        <v>#NAME?</v>
      </c>
      <c r="EI2" s="172" t="e">
        <f ca="1">_xludf.IFS(
AO2= "&lt; 0% (Shrinking Market)",1,
AO2= "0%-10%",1.8,
AO2= "10%-20%",2.6,
AO2= "20%-30%",3.4,
AO2= "30%-40%",4.2,
AO2= "&gt; 40%",5)</f>
        <v>#NAME?</v>
      </c>
      <c r="EJ2" s="173" t="e">
        <f ca="1">EH2+EI2</f>
        <v>#NAME?</v>
      </c>
      <c r="EK2" s="170" t="e">
        <f ca="1">1+((EJ2-MIN(market_ratings_sums))*(4)/(MAX(market_ratings_sums) - MIN(market_ratings_sums)))</f>
        <v>#NAME?</v>
      </c>
      <c r="EL2" s="146" t="str">
        <f>AV2</f>
        <v>No</v>
      </c>
      <c r="EM2" s="166"/>
      <c r="EN2" s="168">
        <f>1+((DR2-MIN(industry_experiences))*(4)/(MAX(industry_experiences) - MIN(industry_experiences)))</f>
        <v>1.3809523809523809</v>
      </c>
      <c r="EO2" s="168">
        <f>1+((DT2-MIN(exits))*(4)/(MAX(exits) - MIN(exits)))</f>
        <v>2</v>
      </c>
      <c r="EP2" s="173">
        <f>SUM(EN2:EO2)</f>
        <v>3.3809523809523809</v>
      </c>
      <c r="EQ2" s="170">
        <f>1+((EP2-MIN(team_ratings_sums))*(4)/(MAX(team_ratings_sums) - MIN(team_ratings_sums)))</f>
        <v>2.0841121495327104</v>
      </c>
      <c r="ER2" s="146" t="e">
        <f ca="1">DW2</f>
        <v>#NAME?</v>
      </c>
      <c r="ES2" s="154">
        <f ca="1">COUNTIF($ER$2:$ER$91, ER2)/(COUNTIF($ER$2:$ER$91, "&lt;&gt;""") - COUNTIF($ER$2:$ER$91, ""))</f>
        <v>1</v>
      </c>
      <c r="ET2" s="144">
        <f>BK2</f>
        <v>1</v>
      </c>
      <c r="EU2" s="154">
        <f>COUNTIF($ET$2:$ET$91, ET2)/(COUNTIF($ET$2:$ET$91, "&lt;&gt;""") - COUNTIF($ET$2:$ET$91, ""))</f>
        <v>0.449438202247191</v>
      </c>
      <c r="EV2" s="144">
        <f>BQ2</f>
        <v>15</v>
      </c>
      <c r="EW2" s="154">
        <f>COUNTIF($EV$2:$EV$91, EV2)/(COUNTIF($EV$2:$EV$91, "&lt;&gt;""") - COUNTIF($EV$2:$EV$91, ""))</f>
        <v>2.247191011235955E-2</v>
      </c>
      <c r="EX2" s="146" t="str">
        <f>BL2</f>
        <v>Yes</v>
      </c>
      <c r="EY2" s="154">
        <f>COUNTIF($EX$2:$EX$91, EX2)/(COUNTIF($EX$2:$EX$91, "&lt;&gt;""") - COUNTIF($EX$2:$EX$91, ""))</f>
        <v>0.2808988764044944</v>
      </c>
      <c r="EZ2" s="146" t="str">
        <f t="shared" ref="EZ2:FB2" si="3">BM2</f>
        <v>No</v>
      </c>
      <c r="FA2" s="146" t="str">
        <f t="shared" si="3"/>
        <v>No</v>
      </c>
      <c r="FB2" s="146" t="str">
        <f t="shared" si="3"/>
        <v>No</v>
      </c>
      <c r="FC2" s="166"/>
      <c r="FD2" s="146" t="str">
        <f>AB2</f>
        <v>Recurring</v>
      </c>
      <c r="FE2" s="154">
        <f>COUNTIF($FD$2:$FD$91, FD2)/(COUNTIF($FD$2:$FD$91, "&lt;&gt;""") - COUNTIF($FD$2:$FD$91, ""))</f>
        <v>0.4044943820224719</v>
      </c>
      <c r="FF2" s="146" t="str">
        <f>AC2</f>
        <v>B2B/B2C</v>
      </c>
      <c r="FG2" s="154">
        <f>COUNTIF($FF$2:$FF$91, FF2)/(COUNTIF($FF$2:$FF$91, "&lt;&gt;""") - COUNTIF($FF$2:$FF$91, ""))</f>
        <v>0.2808988764044944</v>
      </c>
      <c r="FH2" s="146" t="str">
        <f>AF2</f>
        <v>High</v>
      </c>
      <c r="FI2" s="154">
        <f>COUNTIF($FH$2:$FH$91, FH2)/(COUNTIF($FH$2:$FH$91, "&lt;&gt;""") - COUNTIF($FH$2:$FH$91, ""))</f>
        <v>0.5280898876404494</v>
      </c>
      <c r="FJ2" s="146" t="str">
        <f>AG2</f>
        <v>Low</v>
      </c>
      <c r="FK2" s="154">
        <f>COUNTIF($FJ$2:$FJ$91, FJ2)/(COUNTIF($FJ$2:$FJ$91, "&lt;&gt;""") - COUNTIF($FJ$2:$FJ$91, ""))</f>
        <v>0.4044943820224719</v>
      </c>
      <c r="FL2" s="166"/>
      <c r="FM2" s="168">
        <f>IF(AY2 = "Yes", 5, IF(AX2 = "Yes", 3,1))</f>
        <v>5</v>
      </c>
      <c r="FN2" s="168" t="e">
        <f ca="1">_xludf.IFS(
BA2= "&lt; $10K",1,
BA2= "$10K - $50K",1.4,
BA2= "$50K - $100K",1.9,
BA2= "$100K - $500K",2.3,
BA2= "$500K - $1M",2.8,
BA2= "$1M - $2M",3.2,
BA2= "$2M - $3M",3.7,
BA2= "$3M - $4M",4.1,
BA2= "$4M - $5M",4.6,
BA2= "&gt; $5M",5)</f>
        <v>#NAME?</v>
      </c>
      <c r="FO2" s="168" t="e">
        <f ca="1">_xludf.IFS(
BF2= "&lt; 10%",5,
BF2= "10% - 20%",4.6,
BF2= "20% - 30%",4.1,
BF2= "30% - 40%",3.7,
BF2= "40% - 50%",3.2,
BF2= "50% - 60%",2.8,
BF2= "60% - 70%",2.3,
BF2= "70% - 80%",1.9,
BF2= "80% - 90%",1.4,
BF2= "90% - 100%",1)</f>
        <v>#NAME?</v>
      </c>
      <c r="FP2" s="168" t="e">
        <f ca="1">_xludf.IFS(
BD2= "&lt; $10K",5,
BD2= "$10K - $50K",4.6,
BD2= "$50K - $100K",4.1,
BD2= "$100K - $500K",3.7,
BD2= "$500K - $1M",3.2,
BD2= "$1M - $2M",2.8,
BD2= "$2M - $3M",2.3,
BD2= "$3M - $4M",1.9,
BD2= "$4M - $5M",1.4,
BD2= "&gt; $5M",1)</f>
        <v>#NAME?</v>
      </c>
      <c r="FQ2" s="173" t="e">
        <f ca="1">SUM(FM2:FP2)</f>
        <v>#NAME?</v>
      </c>
      <c r="FR2" s="170" t="e">
        <f ca="1">1+((FQ2-MIN(performance_ratings_sums))*(4)/(MAX(performance_ratings_sums) - MIN(performance_ratings_sums)))</f>
        <v>#NAME?</v>
      </c>
      <c r="FS2" s="146" t="str">
        <f>BG2</f>
        <v>Pre-Profit</v>
      </c>
      <c r="FT2" s="154">
        <f>COUNTIF($FS$2:$FS$91, FS2)/(COUNTIF($FS$2:$FS$91, "&lt;&gt;""") - COUNTIF($FZ$2:$FZ$91, ""))</f>
        <v>0.5056179775280899</v>
      </c>
      <c r="FU2" s="166"/>
      <c r="FV2" s="168" t="e">
        <f ca="1">IF(AQ2 &lt;&gt; AR2, 3, _xludf.IFS(AND(AQ2 = "High", AR2 = "High"), 5, AND(AQ2 = "Low", AR2 = "Low"), 1))</f>
        <v>#NAME?</v>
      </c>
      <c r="FW2" s="168" t="e">
        <f ca="1">_xludf.IFS(
AP2 = "&lt; 5",5,
AP2 = "5-10",4.3,
AP2 = "10-20",3.7,
AP2 = "20-30",3,
AP2 = "30-40",2.3,
AP2 = "40-50",1.7,
AP2 = "&gt; 50",1)</f>
        <v>#NAME?</v>
      </c>
      <c r="FX2" s="173" t="e">
        <f ca="1">SUM(FV2:FW2)</f>
        <v>#NAME?</v>
      </c>
      <c r="FY2" s="170" t="e">
        <f ca="1">1+((FX2-MIN(diffrentiation_sums))*(4)/(MAX(diffrentiation_sums) - MIN(diffrentiation_sums)))</f>
        <v>#NAME?</v>
      </c>
      <c r="FZ2" s="146" t="str">
        <f>AW2</f>
        <v>No</v>
      </c>
      <c r="GA2" s="154">
        <f>COUNTIF($FZ$2:$FZ$91, FZ2)/(COUNTIF($FZ$2:$FZ$91, "&lt;&gt;""") - COUNTIF($FZ$2:$FZ$91, ""))</f>
        <v>0.7640449438202247</v>
      </c>
      <c r="GB2" s="154">
        <f>AT2</f>
        <v>0</v>
      </c>
      <c r="GC2" s="154">
        <f>COUNTIF($GB$2:$GB$91, GB2)/(COUNTIF($GB$2:$GB$91, "&lt;&gt;""") - COUNTIF($GB$2:$GB$91, ""))</f>
        <v>1.1235955056179775E-2</v>
      </c>
      <c r="GD2" s="154">
        <f>AU2</f>
        <v>0</v>
      </c>
      <c r="GE2" s="154">
        <f>COUNTIF($GD$2:$GD$91, GD2)/(COUNTIF($GD$2:$GD$91, "&lt;&gt;""") - COUNTIF($GD$2:$GD$91, ""))</f>
        <v>1.1235955056179775E-2</v>
      </c>
      <c r="GF2" s="166"/>
      <c r="GG2" s="146"/>
      <c r="GH2" s="173" t="e">
        <f ca="1">SUM(EC2,EK2,EQ2,FR2,FY2)</f>
        <v>#NAME?</v>
      </c>
      <c r="GI2" s="175" t="e">
        <f ca="1">1+((GH2-MIN(ratings_sums))*(4)/(MAX(ratings_sums) - MIN(ratings_sums)))</f>
        <v>#NAME?</v>
      </c>
    </row>
    <row r="3" spans="1:191" ht="15.75" customHeight="1">
      <c r="A3" s="29" t="s">
        <v>156</v>
      </c>
      <c r="B3" s="29" t="s">
        <v>409</v>
      </c>
      <c r="C3" s="30">
        <v>1790587</v>
      </c>
      <c r="D3" s="29" t="s">
        <v>658</v>
      </c>
      <c r="E3" s="145"/>
      <c r="F3" s="29" t="s">
        <v>344</v>
      </c>
      <c r="G3" s="32" t="s">
        <v>659</v>
      </c>
      <c r="H3" s="32" t="s">
        <v>660</v>
      </c>
      <c r="I3" s="33">
        <v>43931</v>
      </c>
      <c r="J3" s="29" t="s">
        <v>661</v>
      </c>
      <c r="K3" s="29" t="s">
        <v>658</v>
      </c>
      <c r="L3" s="16" t="s">
        <v>662</v>
      </c>
      <c r="M3" s="29" t="s">
        <v>323</v>
      </c>
      <c r="N3" s="29" t="s">
        <v>168</v>
      </c>
      <c r="O3" s="29" t="s">
        <v>30</v>
      </c>
      <c r="P3" s="29" t="s">
        <v>31</v>
      </c>
      <c r="Q3" s="29" t="s">
        <v>35</v>
      </c>
      <c r="R3" s="176"/>
      <c r="S3" s="29" t="s">
        <v>216</v>
      </c>
      <c r="T3" s="177"/>
      <c r="U3" s="178"/>
      <c r="V3" s="179">
        <v>26300000</v>
      </c>
      <c r="W3" s="180"/>
      <c r="X3" s="181"/>
      <c r="Y3" s="55"/>
      <c r="Z3" s="274">
        <f t="shared" si="0"/>
        <v>26300000</v>
      </c>
      <c r="AA3" s="183" t="e">
        <f t="shared" ca="1" si="1"/>
        <v>#NAME?</v>
      </c>
      <c r="AB3" s="29" t="s">
        <v>36</v>
      </c>
      <c r="AC3" s="29" t="s">
        <v>179</v>
      </c>
      <c r="AD3" s="29" t="s">
        <v>38</v>
      </c>
      <c r="AE3" s="29" t="s">
        <v>190</v>
      </c>
      <c r="AF3" s="29" t="s">
        <v>39</v>
      </c>
      <c r="AG3" s="29" t="s">
        <v>181</v>
      </c>
      <c r="AH3" s="29" t="s">
        <v>190</v>
      </c>
      <c r="AI3" s="16" t="s">
        <v>663</v>
      </c>
      <c r="AJ3" s="277">
        <v>488500000000</v>
      </c>
      <c r="AK3" s="30" t="s">
        <v>205</v>
      </c>
      <c r="AL3" s="277">
        <v>8686000000</v>
      </c>
      <c r="AM3" s="30" t="s">
        <v>271</v>
      </c>
      <c r="AN3" s="277">
        <v>4.2999999999999997E-2</v>
      </c>
      <c r="AO3" s="185" t="e">
        <f t="shared" ca="1" si="2"/>
        <v>#NAME?</v>
      </c>
      <c r="AP3" s="30" t="s">
        <v>252</v>
      </c>
      <c r="AQ3" s="29" t="s">
        <v>181</v>
      </c>
      <c r="AR3" s="29" t="s">
        <v>181</v>
      </c>
      <c r="AS3" s="29" t="s">
        <v>201</v>
      </c>
      <c r="AT3" s="29" t="s">
        <v>181</v>
      </c>
      <c r="AU3" s="29" t="s">
        <v>39</v>
      </c>
      <c r="AV3" s="29" t="s">
        <v>190</v>
      </c>
      <c r="AW3" s="29" t="s">
        <v>190</v>
      </c>
      <c r="AX3" s="29" t="s">
        <v>190</v>
      </c>
      <c r="AY3" s="29" t="s">
        <v>190</v>
      </c>
      <c r="AZ3" s="179">
        <v>0</v>
      </c>
      <c r="BA3" s="179" t="s">
        <v>162</v>
      </c>
      <c r="BB3" s="277">
        <v>3875</v>
      </c>
      <c r="BC3" s="277">
        <v>0</v>
      </c>
      <c r="BD3" s="30" t="s">
        <v>162</v>
      </c>
      <c r="BE3" s="277">
        <v>1</v>
      </c>
      <c r="BF3" s="30" t="s">
        <v>240</v>
      </c>
      <c r="BG3" s="29" t="s">
        <v>183</v>
      </c>
      <c r="BH3" s="176"/>
      <c r="BI3" s="29" t="s">
        <v>190</v>
      </c>
      <c r="BJ3" s="30">
        <v>0</v>
      </c>
      <c r="BK3" s="277">
        <v>3</v>
      </c>
      <c r="BL3" s="29" t="s">
        <v>190</v>
      </c>
      <c r="BM3" s="29" t="s">
        <v>190</v>
      </c>
      <c r="BN3" s="29" t="s">
        <v>190</v>
      </c>
      <c r="BO3" s="29" t="s">
        <v>190</v>
      </c>
      <c r="BP3" s="30">
        <v>5</v>
      </c>
      <c r="BQ3" s="30">
        <v>7</v>
      </c>
      <c r="BR3" s="30">
        <v>0</v>
      </c>
      <c r="BS3" s="30">
        <v>0</v>
      </c>
      <c r="BT3" s="57"/>
      <c r="BU3" s="30">
        <v>0</v>
      </c>
      <c r="BV3" s="30">
        <v>0</v>
      </c>
      <c r="BW3" s="30">
        <v>40</v>
      </c>
      <c r="BX3" s="29" t="s">
        <v>227</v>
      </c>
      <c r="BY3" s="57"/>
      <c r="BZ3" s="30">
        <v>0</v>
      </c>
      <c r="CA3" s="30">
        <v>0</v>
      </c>
      <c r="CB3" s="186"/>
      <c r="CC3" s="29" t="s">
        <v>227</v>
      </c>
      <c r="CD3" s="57"/>
      <c r="CE3" s="29">
        <v>7</v>
      </c>
      <c r="CF3" s="29">
        <v>0</v>
      </c>
      <c r="CG3" s="29">
        <v>49</v>
      </c>
      <c r="CH3" s="29" t="s">
        <v>190</v>
      </c>
      <c r="CI3" s="57"/>
      <c r="CJ3" s="57"/>
      <c r="CK3" s="57"/>
      <c r="CL3" s="57"/>
      <c r="CM3" s="57"/>
      <c r="CN3" s="57"/>
      <c r="CO3" s="186"/>
      <c r="CP3" s="186"/>
      <c r="CQ3" s="186"/>
      <c r="CR3" s="57"/>
      <c r="CS3" s="57"/>
      <c r="CT3" s="186"/>
      <c r="CU3" s="186"/>
      <c r="CV3" s="186"/>
      <c r="CW3" s="57"/>
      <c r="CX3" s="57"/>
      <c r="CY3" s="186"/>
      <c r="CZ3" s="186"/>
      <c r="DA3" s="186"/>
      <c r="DB3" s="57"/>
      <c r="DC3" s="57"/>
      <c r="DD3" s="186"/>
      <c r="DE3" s="186"/>
      <c r="DF3" s="186"/>
      <c r="DG3" s="57"/>
      <c r="DH3" s="57"/>
      <c r="DI3" s="186"/>
      <c r="DJ3" s="186"/>
      <c r="DK3" s="186"/>
      <c r="DL3" s="57"/>
      <c r="DM3" s="187"/>
      <c r="DN3" s="16"/>
      <c r="DO3" s="16"/>
      <c r="DR3" s="188"/>
      <c r="DS3" s="188"/>
      <c r="DT3" s="189"/>
      <c r="DU3" s="189"/>
      <c r="DV3" s="188"/>
      <c r="DW3" s="183"/>
      <c r="DX3" s="36"/>
      <c r="DY3" s="190"/>
      <c r="DZ3" s="191"/>
      <c r="EA3" s="191"/>
      <c r="EB3" s="191"/>
      <c r="EC3" s="192"/>
      <c r="ED3" s="36"/>
      <c r="EE3" s="193"/>
      <c r="EF3" s="36"/>
      <c r="EG3" s="36"/>
      <c r="EH3" s="194"/>
      <c r="EI3" s="194"/>
      <c r="EJ3" s="192"/>
      <c r="EK3" s="192"/>
      <c r="EL3" s="36"/>
      <c r="EM3" s="36"/>
      <c r="EN3" s="192"/>
      <c r="EO3" s="192"/>
      <c r="EP3" s="192"/>
      <c r="EQ3" s="195"/>
      <c r="ER3" s="36"/>
      <c r="ES3" s="40"/>
      <c r="ET3" s="36"/>
      <c r="EU3" s="40"/>
      <c r="EV3" s="36"/>
      <c r="EW3" s="40"/>
      <c r="EX3" s="36"/>
      <c r="EY3" s="40"/>
      <c r="EZ3" s="36"/>
      <c r="FA3" s="36"/>
      <c r="FB3" s="36"/>
      <c r="FC3" s="36"/>
      <c r="FD3" s="36"/>
      <c r="FE3" s="40"/>
      <c r="FF3" s="36"/>
      <c r="FG3" s="40"/>
      <c r="FH3" s="36"/>
      <c r="FI3" s="40"/>
      <c r="FJ3" s="36"/>
      <c r="FK3" s="40"/>
      <c r="FL3" s="36"/>
      <c r="FM3" s="192"/>
      <c r="FN3" s="192"/>
      <c r="FO3" s="192"/>
      <c r="FP3" s="192"/>
      <c r="FQ3" s="192"/>
      <c r="FR3" s="192"/>
      <c r="FS3" s="36"/>
      <c r="FT3" s="196"/>
      <c r="FU3" s="36"/>
      <c r="FV3" s="192"/>
      <c r="FW3" s="197"/>
      <c r="FX3" s="192"/>
      <c r="FY3" s="198"/>
      <c r="FZ3" s="36"/>
      <c r="GA3" s="196"/>
      <c r="GB3" s="196"/>
      <c r="GC3" s="196"/>
      <c r="GD3" s="196"/>
      <c r="GE3" s="196"/>
      <c r="GF3" s="36"/>
      <c r="GG3" s="36"/>
      <c r="GH3" s="36"/>
      <c r="GI3" s="199"/>
    </row>
    <row r="4" spans="1:191" ht="15.75" customHeight="1">
      <c r="A4" s="29" t="s">
        <v>156</v>
      </c>
      <c r="B4" s="29" t="s">
        <v>409</v>
      </c>
      <c r="C4" s="30">
        <v>1810373</v>
      </c>
      <c r="D4" s="29" t="s">
        <v>664</v>
      </c>
      <c r="E4" s="31"/>
      <c r="F4" s="29" t="s">
        <v>337</v>
      </c>
      <c r="G4" s="32" t="s">
        <v>665</v>
      </c>
      <c r="H4" s="32" t="s">
        <v>666</v>
      </c>
      <c r="I4" s="33">
        <v>43944</v>
      </c>
      <c r="J4" s="29" t="s">
        <v>667</v>
      </c>
      <c r="K4" s="29" t="s">
        <v>667</v>
      </c>
      <c r="L4" s="16" t="s">
        <v>668</v>
      </c>
      <c r="M4" s="29" t="s">
        <v>243</v>
      </c>
      <c r="N4" s="29" t="s">
        <v>168</v>
      </c>
      <c r="O4" s="29" t="s">
        <v>30</v>
      </c>
      <c r="P4" s="29" t="s">
        <v>31</v>
      </c>
      <c r="Q4" s="29" t="s">
        <v>35</v>
      </c>
      <c r="R4" s="176"/>
      <c r="S4" s="29" t="s">
        <v>176</v>
      </c>
      <c r="T4" s="177"/>
      <c r="U4" s="178"/>
      <c r="V4" s="55"/>
      <c r="W4" s="200">
        <v>8000000</v>
      </c>
      <c r="X4" s="201">
        <v>0.2</v>
      </c>
      <c r="Y4" s="179">
        <v>6400000</v>
      </c>
      <c r="Z4" s="274">
        <f t="shared" si="0"/>
        <v>6400000</v>
      </c>
      <c r="AA4" s="183" t="e">
        <f t="shared" ca="1" si="1"/>
        <v>#NAME?</v>
      </c>
      <c r="AB4" s="29" t="s">
        <v>36</v>
      </c>
      <c r="AC4" s="29" t="s">
        <v>200</v>
      </c>
      <c r="AD4" s="29" t="s">
        <v>38</v>
      </c>
      <c r="AE4" s="29" t="s">
        <v>190</v>
      </c>
      <c r="AF4" s="29" t="s">
        <v>39</v>
      </c>
      <c r="AG4" s="29" t="s">
        <v>39</v>
      </c>
      <c r="AH4" s="29" t="s">
        <v>190</v>
      </c>
      <c r="AI4" s="16" t="s">
        <v>669</v>
      </c>
      <c r="AJ4" s="277">
        <v>28000000000</v>
      </c>
      <c r="AK4" s="30" t="s">
        <v>195</v>
      </c>
      <c r="AL4" s="277">
        <v>1960000000</v>
      </c>
      <c r="AM4" s="30" t="s">
        <v>282</v>
      </c>
      <c r="AN4" s="277">
        <v>0.05</v>
      </c>
      <c r="AO4" s="185" t="e">
        <f t="shared" ca="1" si="2"/>
        <v>#NAME?</v>
      </c>
      <c r="AP4" s="202" t="s">
        <v>192</v>
      </c>
      <c r="AQ4" s="29" t="s">
        <v>39</v>
      </c>
      <c r="AR4" s="29" t="s">
        <v>181</v>
      </c>
      <c r="AS4" s="29" t="s">
        <v>42</v>
      </c>
      <c r="AT4" s="29" t="s">
        <v>181</v>
      </c>
      <c r="AU4" s="29" t="s">
        <v>39</v>
      </c>
      <c r="AV4" s="29" t="s">
        <v>190</v>
      </c>
      <c r="AW4" s="29" t="s">
        <v>227</v>
      </c>
      <c r="AX4" s="29" t="s">
        <v>190</v>
      </c>
      <c r="AY4" s="29" t="s">
        <v>190</v>
      </c>
      <c r="AZ4" s="179">
        <v>0</v>
      </c>
      <c r="BA4" s="179" t="s">
        <v>162</v>
      </c>
      <c r="BB4" s="277">
        <v>20874</v>
      </c>
      <c r="BC4" s="277">
        <v>760000</v>
      </c>
      <c r="BD4" s="62" t="e">
        <f t="shared" ref="BD4:BD5" ca="1" si="4">_xludf.IFS(
BC4&lt;10000, "&lt; $10K",
BC4&lt;=50000, "$10K - $50K",
BC4&lt;=100000, "$50K - $100K",
BC4&lt;=500000, "$100K - $500K",
BC4&lt;=1000000, "$500K - $1M",
BC4&lt;=2000000, "$1M - $2M",
BC4&lt;=3000000, "$2M - $3M",
BC4&lt;=4000000, "$3M - $4M",
BC4&lt;=5000000, "$4M - $5M",
BC4&gt;5000000, "&gt; $5M")</f>
        <v>#NAME?</v>
      </c>
      <c r="BE4" s="277">
        <v>2.7E-2</v>
      </c>
      <c r="BF4" s="30" t="s">
        <v>163</v>
      </c>
      <c r="BG4" s="29" t="s">
        <v>183</v>
      </c>
      <c r="BH4" s="176"/>
      <c r="BI4" s="29" t="s">
        <v>227</v>
      </c>
      <c r="BJ4" s="30">
        <v>2</v>
      </c>
      <c r="BK4" s="277">
        <v>2</v>
      </c>
      <c r="BL4" s="29" t="s">
        <v>190</v>
      </c>
      <c r="BM4" s="29" t="s">
        <v>190</v>
      </c>
      <c r="BN4" s="29" t="s">
        <v>190</v>
      </c>
      <c r="BO4" s="29" t="s">
        <v>190</v>
      </c>
      <c r="BP4" s="30">
        <v>2</v>
      </c>
      <c r="BQ4" s="30">
        <v>5</v>
      </c>
      <c r="BR4" s="30">
        <v>0</v>
      </c>
      <c r="BS4" s="30">
        <v>0</v>
      </c>
      <c r="BT4" s="203"/>
      <c r="BU4" s="30">
        <v>0</v>
      </c>
      <c r="BV4" s="30">
        <v>0</v>
      </c>
      <c r="BW4" s="30">
        <v>46</v>
      </c>
      <c r="BX4" s="29" t="s">
        <v>227</v>
      </c>
      <c r="BY4" s="203"/>
      <c r="BZ4" s="30">
        <v>40</v>
      </c>
      <c r="CA4" s="30">
        <v>0</v>
      </c>
      <c r="CB4" s="186"/>
      <c r="CC4" s="57"/>
      <c r="CD4" s="203"/>
      <c r="CE4" s="57"/>
      <c r="CF4" s="57"/>
      <c r="CG4" s="57"/>
      <c r="CH4" s="57"/>
      <c r="CI4" s="203"/>
      <c r="CJ4" s="57"/>
      <c r="CK4" s="57"/>
      <c r="CL4" s="57"/>
      <c r="CM4" s="57"/>
      <c r="CN4" s="203"/>
      <c r="CO4" s="186"/>
      <c r="CP4" s="186"/>
      <c r="CQ4" s="186"/>
      <c r="CR4" s="57"/>
      <c r="CS4" s="203"/>
      <c r="CT4" s="186"/>
      <c r="CU4" s="186"/>
      <c r="CV4" s="186"/>
      <c r="CW4" s="57"/>
      <c r="CX4" s="203"/>
      <c r="CY4" s="186"/>
      <c r="CZ4" s="186"/>
      <c r="DA4" s="186"/>
      <c r="DB4" s="57"/>
      <c r="DC4" s="203"/>
      <c r="DD4" s="186"/>
      <c r="DE4" s="186"/>
      <c r="DF4" s="186"/>
      <c r="DG4" s="57"/>
      <c r="DH4" s="203"/>
      <c r="DI4" s="186"/>
      <c r="DJ4" s="186"/>
      <c r="DK4" s="186"/>
      <c r="DL4" s="57"/>
      <c r="DM4" s="204"/>
      <c r="DN4" s="205"/>
      <c r="DO4" s="205"/>
      <c r="DQ4" s="206"/>
      <c r="DR4" s="188">
        <f t="shared" ref="DR4:DR12" si="5">AVERAGE(BU4,BZ4,CE4,CJ4,CO4,CT4,CY4,DD4,DI4)</f>
        <v>20</v>
      </c>
      <c r="DS4" s="188"/>
      <c r="DT4" s="189">
        <f t="shared" ref="DT4:DT12" si="6">SUM(BV4,CA4,CF4,CK4,CP4,CU4,CZ4,DE4,DJ4)</f>
        <v>0</v>
      </c>
      <c r="DU4" s="189"/>
      <c r="DV4" s="188">
        <f t="shared" ref="DV4:DV12" si="7">AVERAGE(BW4,CB4,CG4,CL4,CQ4,CV4,DA4,DF4,DK4)</f>
        <v>46</v>
      </c>
      <c r="DW4" s="183" t="e">
        <f t="shared" ref="DW4:DW12" ca="1" si="8">_xludf.IFS(DV4 &lt;= 34, "20 - 34", DV4 &lt;= 54, "35 - 54", DV4 &gt; 54, "55+")</f>
        <v>#NAME?</v>
      </c>
      <c r="DX4" s="207"/>
      <c r="DY4" s="190" t="e">
        <f t="shared" ref="DY4:DY12" ca="1" si="9">_xludf.IFS(
AA4= "&lt; $1M",5,
AA4= "$1M - $2M",4.8,
AA4= "$2M - $4M",4.6,
AA4= "$4M - $6M",4.4,
AA4= "$6M - $8M",4.2,
AA4= "$8M - $10M",4,
AA4= "$10M - $12M",3.9,
AA4= "$12M - $14M",3.7,
AA4= "$14M - $16M",3.5,
AA4= "$16M - $18M",3.3,
AA4= "$18M - $20M",3.1,
AA4= "$20M - $22M",2.9,
AA4= "$22M - $24M",2.7,
AA4= "$24M - $26M",2.5,
AA4= "$26M - $28M",2.3,
AA4= "$28M - $30M",2.1,
AA4= "$30M - $32M",2,
AA4= "$32M - $34M",1.8,
AA4= "$34M - $36M",1.6,
AA4= "$36M - $38M",1.4,
AA4= "$38M - $40M",1.2,
AA4= "&lt; $40M",1)</f>
        <v>#NAME?</v>
      </c>
      <c r="DZ4" s="191">
        <f t="shared" ref="DZ4:DZ12" si="10">IF(X4 &lt;&gt; "", 1+((X4-MIN(discount_rates))*(4)/(MAX(discount_rates) - MIN(discount_rates))), "")</f>
        <v>3.1052631578947367</v>
      </c>
      <c r="EA4" s="191" t="str">
        <f t="shared" ref="EA4:EA12" si="11">IF(S4="Debt", (1+((U4-MIN(interest_rates))*(4)/(MAX(interest_rates) - MIN(interest_rates)))), "")</f>
        <v/>
      </c>
      <c r="EB4" s="191" t="str">
        <f t="shared" ref="EB4:EB12" si="12">IF(OR(S4="Revenue Share", S4="Profit Share"), (1+((T4-MIN(return_mutiples))*(4)/(MAX(return_mutiples) - MIN(return_mutiples)))), "")</f>
        <v/>
      </c>
      <c r="EC4" s="208" t="e">
        <f t="shared" ref="EC4:EC12" ca="1" si="13">DY4</f>
        <v>#NAME?</v>
      </c>
      <c r="ED4" s="36" t="str">
        <f t="shared" ref="ED4:ED12" si="14">S4</f>
        <v>Convertible Note</v>
      </c>
      <c r="EE4" s="193">
        <f>COUNTIF($ED$2:$ED$92, ED4)/(COUNTIF($ED$2:$ED$92, "&lt;&gt;""") - COUNTIF($ED$2:$ED$92, ""))</f>
        <v>0.13333333333333333</v>
      </c>
      <c r="EF4" s="36" t="str">
        <f t="shared" ref="EF4:EF12" si="15">O4</f>
        <v>Early</v>
      </c>
      <c r="EG4" s="207"/>
      <c r="EH4" s="194" t="e">
        <f t="shared" ref="EH4:EH12" ca="1" si="16">_xludf.IFS(
AM4="&gt; $1T", 5,
AM4="$500B-$1T", 4.7,
AM4="$250B-$500B", 4.4,
AM4="$100B-$250B", 4.1,
AM4="$50B-$100B", 3.9,
AM4="$25B-$50B", 3.6,
AM4="$10B-$25B", 3.3,
AM4="$5B-$10B", 3,
AM4="$1B-$5B", 2.7,
AM4="$500M-$1B", 2.4,
AM4="$250M-$500M", 2.1,
AM4="$100M-$250M", 1.9,
AM4="$50M-$100M", 1.6,
AM4="$25M-$50M", 1.3,
AM4="&lt; $25M", 1)</f>
        <v>#NAME?</v>
      </c>
      <c r="EI4" s="194" t="e">
        <f t="shared" ref="EI4:EI12" ca="1" si="17">_xludf.IFS(
AO4= "&lt; 0% (Shrinking Market)",1,
AO4= "0%-10%",1.8,
AO4= "10%-20%",2.6,
AO4= "20%-30%",3.4,
AO4= "30%-40%",4.2,
AO4= "&gt; 40%",5)</f>
        <v>#NAME?</v>
      </c>
      <c r="EJ4" s="209" t="e">
        <f t="shared" ref="EJ4:EJ12" ca="1" si="18">EH4+EI4</f>
        <v>#NAME?</v>
      </c>
      <c r="EK4" s="208" t="e">
        <f t="shared" ref="EK4:EK12" ca="1" si="19">1+((EJ4-MIN(market_ratings_sums))*(4)/(MAX(market_ratings_sums) - MIN(market_ratings_sums)))</f>
        <v>#NAME?</v>
      </c>
      <c r="EL4" s="36" t="str">
        <f t="shared" ref="EL4:EL12" si="20">AV4</f>
        <v>No</v>
      </c>
      <c r="EM4" s="207"/>
      <c r="EN4" s="192">
        <f t="shared" ref="EN4:EN12" si="21">1+((DR4-MIN(industry_experiences))*(4)/(MAX(industry_experiences) - MIN(industry_experiences)))</f>
        <v>2.9047619047619047</v>
      </c>
      <c r="EO4" s="192">
        <f t="shared" ref="EO4:EO12" si="22">1+((DT4-MIN(exits))*(4)/(MAX(exits) - MIN(exits)))</f>
        <v>1</v>
      </c>
      <c r="EP4" s="209">
        <f t="shared" ref="EP4:EP12" si="23">SUM(EN4:EO4)</f>
        <v>3.9047619047619047</v>
      </c>
      <c r="EQ4" s="210">
        <f t="shared" ref="EQ4:EQ12" si="24">1+((EP4-MIN(team_ratings_sums))*(4)/(MAX(team_ratings_sums) - MIN(team_ratings_sums)))</f>
        <v>2.4953271028037385</v>
      </c>
      <c r="ER4" s="36" t="e">
        <f t="shared" ref="ER4:ER12" ca="1" si="25">DW4</f>
        <v>#NAME?</v>
      </c>
      <c r="ES4" s="40">
        <f ca="1">COUNTIF($ER$2:$ER$92, ER4)/(COUNTIF($ER$2:$ER$92, "&lt;&gt;""") - COUNTIF($ER$2:$ER$92, ""))</f>
        <v>1</v>
      </c>
      <c r="ET4" s="36">
        <f t="shared" ref="ET4:ET12" si="26">BK4</f>
        <v>2</v>
      </c>
      <c r="EU4" s="40">
        <f>COUNTIF($ET$2:$ET$92, ET4)/(COUNTIF($ET$2:$ET$92, "&lt;&gt;""") - COUNTIF($ET$2:$ET$92, ""))</f>
        <v>0.45555555555555555</v>
      </c>
      <c r="EV4" s="36">
        <f t="shared" ref="EV4:EV12" si="27">BQ4</f>
        <v>5</v>
      </c>
      <c r="EW4" s="40">
        <f>COUNTIF($EV$2:$EV$92, EV4)/(COUNTIF($EV$2:$EV$92, "&lt;&gt;""") - COUNTIF($EV$2:$EV$92, ""))</f>
        <v>0.13333333333333333</v>
      </c>
      <c r="EX4" s="36" t="str">
        <f t="shared" ref="EX4:EX12" si="28">BL4</f>
        <v>No</v>
      </c>
      <c r="EY4" s="40">
        <f>COUNTIF($EX$2:$EX$92, EX4)/(COUNTIF($EX$2:$EX$92, "&lt;&gt;""") - COUNTIF($EX$2:$EX$92, ""))</f>
        <v>0.72222222222222221</v>
      </c>
      <c r="EZ4" s="36" t="str">
        <f t="shared" ref="EZ4:FB4" si="29">BM4</f>
        <v>No</v>
      </c>
      <c r="FA4" s="36" t="str">
        <f t="shared" si="29"/>
        <v>No</v>
      </c>
      <c r="FB4" s="36" t="str">
        <f t="shared" si="29"/>
        <v>No</v>
      </c>
      <c r="FC4" s="207"/>
      <c r="FD4" s="36" t="str">
        <f t="shared" ref="FD4:FD12" si="30">AB4</f>
        <v>Transactional</v>
      </c>
      <c r="FE4" s="40">
        <f>COUNTIF($FD$2:$FD$92, FD4)/(COUNTIF($FD$2:$FD$92, "&lt;&gt;""") - COUNTIF($FD$2:$FD$92, ""))</f>
        <v>0.6</v>
      </c>
      <c r="FF4" s="36" t="str">
        <f t="shared" ref="FF4:FF12" si="31">AC4</f>
        <v>B2B2C</v>
      </c>
      <c r="FG4" s="40">
        <f>COUNTIF($FF$2:$FF$92, FF4)/(COUNTIF($FF$2:$FF$92, "&lt;&gt;""") - COUNTIF($FF$2:$FF$92, ""))</f>
        <v>6.6666666666666666E-2</v>
      </c>
      <c r="FH4" s="36" t="str">
        <f t="shared" ref="FH4:FH12" si="32">AF4</f>
        <v>High</v>
      </c>
      <c r="FI4" s="40">
        <f>COUNTIF($FH$2:$FH$92, FH4)/(COUNTIF($FH$2:$FH$92, "&lt;&gt;""") - COUNTIF($FH$2:$FH$92, ""))</f>
        <v>0.53333333333333333</v>
      </c>
      <c r="FJ4" s="36" t="str">
        <f t="shared" ref="FJ4:FJ12" si="33">AG4</f>
        <v>High</v>
      </c>
      <c r="FK4" s="40">
        <f>COUNTIF($FJ$2:$FJ$92, FJ4)/(COUNTIF($FJ$2:$FJ$92, "&lt;&gt;""") - COUNTIF($FJ$2:$FJ$92, ""))</f>
        <v>0.58888888888888891</v>
      </c>
      <c r="FL4" s="207"/>
      <c r="FM4" s="192">
        <f t="shared" ref="FM4:FM12" si="34">IF(AY4 = "Yes", 5, IF(AX4 = "Yes", 3,1))</f>
        <v>1</v>
      </c>
      <c r="FN4" s="192" t="e">
        <f t="shared" ref="FN4:FN12" ca="1" si="35">_xludf.IFS(
BA4= "&lt; $10K",1,
BA4= "$10K - $50K",1.4,
BA4= "$50K - $100K",1.9,
BA4= "$100K - $500K",2.3,
BA4= "$500K - $1M",2.8,
BA4= "$1M - $2M",3.2,
BA4= "$2M - $3M",3.7,
BA4= "$3M - $4M",4.1,
BA4= "$4M - $5M",4.6,
BA4= "&gt; $5M",5)</f>
        <v>#NAME?</v>
      </c>
      <c r="FO4" s="192" t="e">
        <f t="shared" ref="FO4:FO12" ca="1" si="36">_xludf.IFS(
BF4= "&lt; 10%",5,
BF4= "10% - 20%",4.6,
BF4= "20% - 30%",4.1,
BF4= "30% - 40%",3.7,
BF4= "40% - 50%",3.2,
BF4= "50% - 60%",2.8,
BF4= "60% - 70%",2.3,
BF4= "70% - 80%",1.9,
BF4= "80% - 90%",1.4,
BF4= "90% - 100%",1)</f>
        <v>#NAME?</v>
      </c>
      <c r="FP4" s="192" t="e">
        <f t="shared" ref="FP4:FP12" ca="1" si="37">_xludf.IFS(
BD4= "&lt; $10K",5,
BD4= "$10K - $50K",4.6,
BD4= "$50K - $100K",4.1,
BD4= "$100K - $500K",3.7,
BD4= "$500K - $1M",3.2,
BD4= "$1M - $2M",2.8,
BD4= "$2M - $3M",2.3,
BD4= "$3M - $4M",1.9,
BD4= "$4M - $5M",1.4,
BD4= "&gt; $5M",1)</f>
        <v>#NAME?</v>
      </c>
      <c r="FQ4" s="209" t="e">
        <f t="shared" ref="FQ4:FQ12" ca="1" si="38">SUM(FM4:FP4)</f>
        <v>#NAME?</v>
      </c>
      <c r="FR4" s="208" t="e">
        <f t="shared" ref="FR4:FR12" ca="1" si="39">1+((FQ4-MIN(performance_ratings_sums))*(4)/(MAX(performance_ratings_sums) - MIN(performance_ratings_sums)))</f>
        <v>#NAME?</v>
      </c>
      <c r="FS4" s="36" t="str">
        <f t="shared" ref="FS4:FS12" si="40">BG4</f>
        <v>Pre-Revenue</v>
      </c>
      <c r="FT4" s="196">
        <f>COUNTIF($FS$2:$FS$92, FS4)/(COUNTIF($FS$2:$FS$92, "&lt;&gt;""") - COUNTIF($FZ$2:$FZ$92, ""))</f>
        <v>0.2</v>
      </c>
      <c r="FU4" s="207"/>
      <c r="FV4" s="192">
        <f t="shared" ref="FV4:FV12" si="41">IF(AQ4 &lt;&gt; AR4, 3, _xludf.IFS(AND(AQ4 = "High", AR4 = "High"), 5, AND(AQ4 = "Low", AR4 = "Low"), 1))</f>
        <v>3</v>
      </c>
      <c r="FW4" s="197" t="e">
        <f t="shared" ref="FW4:FW12" ca="1" si="42">_xludf.IFS(
AP4 = "&lt; 5",5,
AP4 = "5-10",4.3,
AP4 = "10-20",3.7,
AP4 = "20-30",3,
AP4 = "30-40",2.3,
AP4 = "40-50",1.7,
AP4 = "&gt; 50",1)</f>
        <v>#NAME?</v>
      </c>
      <c r="FX4" s="209" t="e">
        <f t="shared" ref="FX4:FX12" ca="1" si="43">SUM(FV4:FW4)</f>
        <v>#NAME?</v>
      </c>
      <c r="FY4" s="211" t="e">
        <f t="shared" ref="FY4:FY12" ca="1" si="44">1+((FX4-MIN(diffrentiation_sums))*(4)/(MAX(diffrentiation_sums) - MIN(diffrentiation_sums)))</f>
        <v>#NAME?</v>
      </c>
      <c r="FZ4" s="36" t="str">
        <f t="shared" ref="FZ4:FZ12" si="45">AW4</f>
        <v>Yes</v>
      </c>
      <c r="GA4" s="196">
        <f>COUNTIF($FZ$2:$FZ$92, FZ4)/(COUNTIF($FZ$2:$FZ$92, "&lt;&gt;""") - COUNTIF($FZ$2:$FZ$92, ""))</f>
        <v>0.23333333333333334</v>
      </c>
      <c r="GB4" s="196" t="str">
        <f t="shared" ref="GB4:GB12" si="46">AT4</f>
        <v>Low</v>
      </c>
      <c r="GC4" s="196">
        <f>COUNTIF($GB$2:$GB$92, GB4)/(COUNTIF($GB$2:$GB$92, "&lt;&gt;""") - COUNTIF($GB$2:$GB$92, ""))</f>
        <v>0.55555555555555558</v>
      </c>
      <c r="GD4" s="196" t="str">
        <f t="shared" ref="GD4:GD12" si="47">AU4</f>
        <v>High</v>
      </c>
      <c r="GE4" s="196">
        <f>COUNTIF($GD$2:$GD$92, GD4)/(COUNTIF($GD$2:$GD$92, "&lt;&gt;""") - COUNTIF($GD$2:$GD$92, ""))</f>
        <v>0.8</v>
      </c>
      <c r="GF4" s="207"/>
      <c r="GG4" s="36"/>
      <c r="GH4" s="209" t="e">
        <f t="shared" ref="GH4:GH12" ca="1" si="48">SUM(EC4,EK4,EQ4,FR4,FY4)</f>
        <v>#NAME?</v>
      </c>
      <c r="GI4" s="212" t="e">
        <f t="shared" ref="GI4:GI12" ca="1" si="49">1+((GH4-MIN(ratings_sums))*(4)/(MAX(ratings_sums) - MIN(ratings_sums)))</f>
        <v>#NAME?</v>
      </c>
    </row>
    <row r="5" spans="1:191" ht="15.75" customHeight="1">
      <c r="A5" s="29" t="s">
        <v>156</v>
      </c>
      <c r="B5" s="29" t="s">
        <v>409</v>
      </c>
      <c r="C5" s="30">
        <v>1805056</v>
      </c>
      <c r="D5" s="29" t="s">
        <v>670</v>
      </c>
      <c r="E5" s="31"/>
      <c r="F5" s="29" t="s">
        <v>329</v>
      </c>
      <c r="G5" s="32" t="s">
        <v>671</v>
      </c>
      <c r="H5" s="32" t="s">
        <v>672</v>
      </c>
      <c r="I5" s="33">
        <v>43944</v>
      </c>
      <c r="J5" s="16" t="s">
        <v>673</v>
      </c>
      <c r="K5" s="29" t="s">
        <v>670</v>
      </c>
      <c r="L5" s="16" t="s">
        <v>674</v>
      </c>
      <c r="M5" s="29" t="s">
        <v>339</v>
      </c>
      <c r="N5" s="29" t="s">
        <v>294</v>
      </c>
      <c r="O5" s="29" t="s">
        <v>30</v>
      </c>
      <c r="P5" s="29" t="s">
        <v>174</v>
      </c>
      <c r="Q5" s="29" t="s">
        <v>35</v>
      </c>
      <c r="R5" s="176"/>
      <c r="S5" s="29" t="s">
        <v>269</v>
      </c>
      <c r="T5" s="177"/>
      <c r="U5" s="178"/>
      <c r="V5" s="55"/>
      <c r="W5" s="200">
        <v>12000000</v>
      </c>
      <c r="X5" s="201">
        <v>0.1</v>
      </c>
      <c r="Y5" s="179">
        <v>10800000</v>
      </c>
      <c r="Z5" s="274">
        <f t="shared" si="0"/>
        <v>10800000</v>
      </c>
      <c r="AA5" s="183" t="e">
        <f t="shared" ca="1" si="1"/>
        <v>#NAME?</v>
      </c>
      <c r="AB5" s="29" t="s">
        <v>178</v>
      </c>
      <c r="AC5" s="29" t="s">
        <v>37</v>
      </c>
      <c r="AD5" s="29" t="s">
        <v>180</v>
      </c>
      <c r="AE5" s="29" t="s">
        <v>227</v>
      </c>
      <c r="AF5" s="29" t="s">
        <v>39</v>
      </c>
      <c r="AG5" s="29" t="s">
        <v>39</v>
      </c>
      <c r="AH5" s="29" t="s">
        <v>227</v>
      </c>
      <c r="AI5" s="16" t="s">
        <v>675</v>
      </c>
      <c r="AJ5" s="277">
        <v>173000000000</v>
      </c>
      <c r="AK5" s="30" t="s">
        <v>222</v>
      </c>
      <c r="AL5" s="277">
        <v>2600000000</v>
      </c>
      <c r="AM5" s="30" t="s">
        <v>282</v>
      </c>
      <c r="AN5" s="277">
        <v>0.11899999999999999</v>
      </c>
      <c r="AO5" s="185" t="e">
        <f t="shared" ca="1" si="2"/>
        <v>#NAME?</v>
      </c>
      <c r="AP5" s="202" t="s">
        <v>211</v>
      </c>
      <c r="AQ5" s="29" t="s">
        <v>39</v>
      </c>
      <c r="AR5" s="29" t="s">
        <v>181</v>
      </c>
      <c r="AS5" s="29" t="s">
        <v>182</v>
      </c>
      <c r="AT5" s="29" t="s">
        <v>39</v>
      </c>
      <c r="AU5" s="29" t="s">
        <v>39</v>
      </c>
      <c r="AV5" s="29" t="s">
        <v>190</v>
      </c>
      <c r="AW5" s="29" t="s">
        <v>227</v>
      </c>
      <c r="AX5" s="29" t="s">
        <v>227</v>
      </c>
      <c r="AY5" s="29" t="s">
        <v>227</v>
      </c>
      <c r="AZ5" s="179">
        <v>32100</v>
      </c>
      <c r="BA5" s="179" t="s">
        <v>189</v>
      </c>
      <c r="BB5" s="277">
        <v>61669</v>
      </c>
      <c r="BC5" s="277">
        <v>1860000</v>
      </c>
      <c r="BD5" s="62" t="e">
        <f t="shared" ca="1" si="4"/>
        <v>#NAME?</v>
      </c>
      <c r="BE5" s="277">
        <v>3.3000000000000002E-2</v>
      </c>
      <c r="BF5" s="30" t="s">
        <v>163</v>
      </c>
      <c r="BG5" s="29" t="s">
        <v>202</v>
      </c>
      <c r="BH5" s="176"/>
      <c r="BI5" s="29" t="s">
        <v>227</v>
      </c>
      <c r="BJ5" s="30">
        <v>2</v>
      </c>
      <c r="BK5" s="277">
        <v>1</v>
      </c>
      <c r="BL5" s="29" t="s">
        <v>190</v>
      </c>
      <c r="BM5" s="29" t="s">
        <v>190</v>
      </c>
      <c r="BN5" s="29" t="s">
        <v>190</v>
      </c>
      <c r="BO5" s="29" t="s">
        <v>190</v>
      </c>
      <c r="BP5" s="30">
        <v>1</v>
      </c>
      <c r="BQ5" s="30">
        <v>9</v>
      </c>
      <c r="BR5" s="30">
        <v>0</v>
      </c>
      <c r="BS5" s="30">
        <v>2</v>
      </c>
      <c r="BT5" s="203"/>
      <c r="BU5" s="30">
        <v>8</v>
      </c>
      <c r="BV5" s="30">
        <v>0</v>
      </c>
      <c r="BW5" s="30">
        <v>39</v>
      </c>
      <c r="BX5" s="29" t="s">
        <v>190</v>
      </c>
      <c r="BY5" s="203"/>
      <c r="BZ5" s="186"/>
      <c r="CA5" s="186"/>
      <c r="CB5" s="186"/>
      <c r="CC5" s="57"/>
      <c r="CD5" s="203"/>
      <c r="CE5" s="57"/>
      <c r="CF5" s="57"/>
      <c r="CG5" s="57"/>
      <c r="CH5" s="57"/>
      <c r="CI5" s="203"/>
      <c r="CJ5" s="57"/>
      <c r="CK5" s="57"/>
      <c r="CL5" s="57"/>
      <c r="CM5" s="57"/>
      <c r="CN5" s="203"/>
      <c r="CO5" s="186"/>
      <c r="CP5" s="186"/>
      <c r="CQ5" s="186"/>
      <c r="CR5" s="57"/>
      <c r="CS5" s="203"/>
      <c r="CT5" s="186"/>
      <c r="CU5" s="186"/>
      <c r="CV5" s="186"/>
      <c r="CW5" s="57"/>
      <c r="CX5" s="203"/>
      <c r="CY5" s="186"/>
      <c r="CZ5" s="186"/>
      <c r="DA5" s="186"/>
      <c r="DB5" s="57"/>
      <c r="DC5" s="203"/>
      <c r="DD5" s="186"/>
      <c r="DE5" s="186"/>
      <c r="DF5" s="186"/>
      <c r="DG5" s="57"/>
      <c r="DH5" s="203"/>
      <c r="DI5" s="186"/>
      <c r="DJ5" s="186"/>
      <c r="DK5" s="186"/>
      <c r="DL5" s="57"/>
      <c r="DM5" s="204"/>
      <c r="DN5" s="205"/>
      <c r="DO5" s="205"/>
      <c r="DQ5" s="206"/>
      <c r="DR5" s="188">
        <f t="shared" si="5"/>
        <v>8</v>
      </c>
      <c r="DS5" s="188"/>
      <c r="DT5" s="189">
        <f t="shared" si="6"/>
        <v>0</v>
      </c>
      <c r="DU5" s="189"/>
      <c r="DV5" s="188">
        <f t="shared" si="7"/>
        <v>39</v>
      </c>
      <c r="DW5" s="183" t="e">
        <f t="shared" ca="1" si="8"/>
        <v>#NAME?</v>
      </c>
      <c r="DX5" s="207"/>
      <c r="DY5" s="190" t="e">
        <f t="shared" ca="1" si="9"/>
        <v>#NAME?</v>
      </c>
      <c r="DZ5" s="191">
        <f t="shared" si="10"/>
        <v>2.0526315789473681</v>
      </c>
      <c r="EA5" s="191" t="str">
        <f t="shared" si="11"/>
        <v/>
      </c>
      <c r="EB5" s="191" t="str">
        <f t="shared" si="12"/>
        <v/>
      </c>
      <c r="EC5" s="208" t="e">
        <f t="shared" ca="1" si="13"/>
        <v>#NAME?</v>
      </c>
      <c r="ED5" s="36" t="str">
        <f t="shared" si="14"/>
        <v>SAFE</v>
      </c>
      <c r="EE5" s="193">
        <f>COUNTIF($ED$2:$ED$92, ED5)/(COUNTIF($ED$2:$ED$92, "&lt;&gt;""") - COUNTIF($ED$2:$ED$92, ""))</f>
        <v>0.37777777777777777</v>
      </c>
      <c r="EF5" s="36" t="str">
        <f t="shared" si="15"/>
        <v>Early</v>
      </c>
      <c r="EG5" s="207"/>
      <c r="EH5" s="194" t="e">
        <f t="shared" ca="1" si="16"/>
        <v>#NAME?</v>
      </c>
      <c r="EI5" s="194" t="e">
        <f t="shared" ca="1" si="17"/>
        <v>#NAME?</v>
      </c>
      <c r="EJ5" s="209" t="e">
        <f t="shared" ca="1" si="18"/>
        <v>#NAME?</v>
      </c>
      <c r="EK5" s="208" t="e">
        <f t="shared" ca="1" si="19"/>
        <v>#NAME?</v>
      </c>
      <c r="EL5" s="36" t="str">
        <f t="shared" si="20"/>
        <v>No</v>
      </c>
      <c r="EM5" s="207"/>
      <c r="EN5" s="192">
        <f t="shared" si="21"/>
        <v>1.7619047619047619</v>
      </c>
      <c r="EO5" s="192">
        <f t="shared" si="22"/>
        <v>1</v>
      </c>
      <c r="EP5" s="209">
        <f t="shared" si="23"/>
        <v>2.7619047619047619</v>
      </c>
      <c r="EQ5" s="210">
        <f t="shared" si="24"/>
        <v>1.5981308411214954</v>
      </c>
      <c r="ER5" s="36" t="e">
        <f t="shared" ca="1" si="25"/>
        <v>#NAME?</v>
      </c>
      <c r="ES5" s="40">
        <f ca="1">COUNTIF($ER$2:$ER$92, ER5)/(COUNTIF($ER$2:$ER$92, "&lt;&gt;""") - COUNTIF($ER$2:$ER$92, ""))</f>
        <v>1</v>
      </c>
      <c r="ET5" s="36">
        <f t="shared" si="26"/>
        <v>1</v>
      </c>
      <c r="EU5" s="40">
        <f>COUNTIF($ET$2:$ET$92, ET5)/(COUNTIF($ET$2:$ET$92, "&lt;&gt;""") - COUNTIF($ET$2:$ET$92, ""))</f>
        <v>0.45555555555555555</v>
      </c>
      <c r="EV5" s="36">
        <f t="shared" si="27"/>
        <v>9</v>
      </c>
      <c r="EW5" s="40">
        <f>COUNTIF($EV$2:$EV$92, EV5)/(COUNTIF($EV$2:$EV$92, "&lt;&gt;""") - COUNTIF($EV$2:$EV$92, ""))</f>
        <v>5.5555555555555552E-2</v>
      </c>
      <c r="EX5" s="36" t="str">
        <f t="shared" si="28"/>
        <v>No</v>
      </c>
      <c r="EY5" s="40">
        <f>COUNTIF($EX$2:$EX$92, EX5)/(COUNTIF($EX$2:$EX$92, "&lt;&gt;""") - COUNTIF($EX$2:$EX$92, ""))</f>
        <v>0.72222222222222221</v>
      </c>
      <c r="EZ5" s="36" t="str">
        <f t="shared" ref="EZ5:FB5" si="50">BM5</f>
        <v>No</v>
      </c>
      <c r="FA5" s="36" t="str">
        <f t="shared" si="50"/>
        <v>No</v>
      </c>
      <c r="FB5" s="36" t="str">
        <f t="shared" si="50"/>
        <v>No</v>
      </c>
      <c r="FC5" s="207"/>
      <c r="FD5" s="36" t="str">
        <f t="shared" si="30"/>
        <v>Recurring</v>
      </c>
      <c r="FE5" s="40">
        <f>COUNTIF($FD$2:$FD$92, FD5)/(COUNTIF($FD$2:$FD$92, "&lt;&gt;""") - COUNTIF($FD$2:$FD$92, ""))</f>
        <v>0.4</v>
      </c>
      <c r="FF5" s="36" t="str">
        <f t="shared" si="31"/>
        <v>B2B</v>
      </c>
      <c r="FG5" s="40">
        <f>COUNTIF($FF$2:$FF$92, FF5)/(COUNTIF($FF$2:$FF$92, "&lt;&gt;""") - COUNTIF($FF$2:$FF$92, ""))</f>
        <v>0.24444444444444444</v>
      </c>
      <c r="FH5" s="36" t="str">
        <f t="shared" si="32"/>
        <v>High</v>
      </c>
      <c r="FI5" s="40">
        <f>COUNTIF($FH$2:$FH$92, FH5)/(COUNTIF($FH$2:$FH$92, "&lt;&gt;""") - COUNTIF($FH$2:$FH$92, ""))</f>
        <v>0.53333333333333333</v>
      </c>
      <c r="FJ5" s="36" t="str">
        <f t="shared" si="33"/>
        <v>High</v>
      </c>
      <c r="FK5" s="40">
        <f>COUNTIF($FJ$2:$FJ$92, FJ5)/(COUNTIF($FJ$2:$FJ$92, "&lt;&gt;""") - COUNTIF($FJ$2:$FJ$92, ""))</f>
        <v>0.58888888888888891</v>
      </c>
      <c r="FL5" s="207"/>
      <c r="FM5" s="192">
        <f t="shared" si="34"/>
        <v>5</v>
      </c>
      <c r="FN5" s="192" t="e">
        <f t="shared" ca="1" si="35"/>
        <v>#NAME?</v>
      </c>
      <c r="FO5" s="192" t="e">
        <f t="shared" ca="1" si="36"/>
        <v>#NAME?</v>
      </c>
      <c r="FP5" s="192" t="e">
        <f t="shared" ca="1" si="37"/>
        <v>#NAME?</v>
      </c>
      <c r="FQ5" s="209" t="e">
        <f t="shared" ca="1" si="38"/>
        <v>#NAME?</v>
      </c>
      <c r="FR5" s="208" t="e">
        <f t="shared" ca="1" si="39"/>
        <v>#NAME?</v>
      </c>
      <c r="FS5" s="36" t="str">
        <f t="shared" si="40"/>
        <v>Pre-Profit</v>
      </c>
      <c r="FT5" s="196">
        <f>COUNTIF($FS$2:$FS$92, FS5)/(COUNTIF($FS$2:$FS$92, "&lt;&gt;""") - COUNTIF($FZ$2:$FZ$92, ""))</f>
        <v>0.51111111111111107</v>
      </c>
      <c r="FU5" s="207"/>
      <c r="FV5" s="192">
        <f t="shared" si="41"/>
        <v>3</v>
      </c>
      <c r="FW5" s="197" t="e">
        <f t="shared" ca="1" si="42"/>
        <v>#NAME?</v>
      </c>
      <c r="FX5" s="209" t="e">
        <f t="shared" ca="1" si="43"/>
        <v>#NAME?</v>
      </c>
      <c r="FY5" s="211" t="e">
        <f t="shared" ca="1" si="44"/>
        <v>#NAME?</v>
      </c>
      <c r="FZ5" s="36" t="str">
        <f t="shared" si="45"/>
        <v>Yes</v>
      </c>
      <c r="GA5" s="196">
        <f>COUNTIF($FZ$2:$FZ$92, FZ5)/(COUNTIF($FZ$2:$FZ$92, "&lt;&gt;""") - COUNTIF($FZ$2:$FZ$92, ""))</f>
        <v>0.23333333333333334</v>
      </c>
      <c r="GB5" s="196" t="str">
        <f t="shared" si="46"/>
        <v>High</v>
      </c>
      <c r="GC5" s="196">
        <f>COUNTIF($GB$2:$GB$92, GB5)/(COUNTIF($GB$2:$GB$92, "&lt;&gt;""") - COUNTIF($GB$2:$GB$92, ""))</f>
        <v>0.43333333333333335</v>
      </c>
      <c r="GD5" s="196" t="str">
        <f t="shared" si="47"/>
        <v>High</v>
      </c>
      <c r="GE5" s="196">
        <f>COUNTIF($GD$2:$GD$92, GD5)/(COUNTIF($GD$2:$GD$92, "&lt;&gt;""") - COUNTIF($GD$2:$GD$92, ""))</f>
        <v>0.8</v>
      </c>
      <c r="GF5" s="207"/>
      <c r="GG5" s="36"/>
      <c r="GH5" s="209" t="e">
        <f t="shared" ca="1" si="48"/>
        <v>#NAME?</v>
      </c>
      <c r="GI5" s="212" t="e">
        <f t="shared" ca="1" si="49"/>
        <v>#NAME?</v>
      </c>
    </row>
    <row r="6" spans="1:191" ht="15.75" customHeight="1">
      <c r="A6" s="29" t="s">
        <v>156</v>
      </c>
      <c r="B6" s="29" t="s">
        <v>409</v>
      </c>
      <c r="C6" s="30">
        <v>1808208</v>
      </c>
      <c r="D6" s="29" t="s">
        <v>676</v>
      </c>
      <c r="E6" s="31"/>
      <c r="F6" s="29" t="s">
        <v>337</v>
      </c>
      <c r="G6" s="32" t="s">
        <v>677</v>
      </c>
      <c r="H6" s="32" t="s">
        <v>681</v>
      </c>
      <c r="I6" s="33">
        <v>43944</v>
      </c>
      <c r="J6" s="29" t="s">
        <v>682</v>
      </c>
      <c r="K6" s="29" t="s">
        <v>683</v>
      </c>
      <c r="L6" s="16" t="s">
        <v>684</v>
      </c>
      <c r="M6" s="29" t="s">
        <v>323</v>
      </c>
      <c r="N6" s="29" t="s">
        <v>168</v>
      </c>
      <c r="O6" s="29" t="s">
        <v>30</v>
      </c>
      <c r="P6" s="29" t="s">
        <v>31</v>
      </c>
      <c r="Q6" s="29" t="s">
        <v>35</v>
      </c>
      <c r="R6" s="176"/>
      <c r="S6" s="29" t="s">
        <v>216</v>
      </c>
      <c r="T6" s="177"/>
      <c r="U6" s="178"/>
      <c r="V6" s="55"/>
      <c r="W6" s="200">
        <v>880000</v>
      </c>
      <c r="X6" s="181"/>
      <c r="Y6" s="55"/>
      <c r="Z6" s="274">
        <f t="shared" si="0"/>
        <v>0</v>
      </c>
      <c r="AA6" s="183" t="e">
        <f t="shared" ca="1" si="1"/>
        <v>#NAME?</v>
      </c>
      <c r="AB6" s="29" t="s">
        <v>36</v>
      </c>
      <c r="AC6" s="29" t="s">
        <v>179</v>
      </c>
      <c r="AD6" s="29" t="s">
        <v>38</v>
      </c>
      <c r="AE6" s="29" t="s">
        <v>190</v>
      </c>
      <c r="AF6" s="29" t="s">
        <v>181</v>
      </c>
      <c r="AG6" s="29" t="s">
        <v>39</v>
      </c>
      <c r="AH6" s="29" t="s">
        <v>190</v>
      </c>
      <c r="AI6" s="16" t="s">
        <v>685</v>
      </c>
      <c r="AJ6" s="277">
        <v>38600000000</v>
      </c>
      <c r="AK6" s="30" t="s">
        <v>195</v>
      </c>
      <c r="AL6" s="277">
        <v>149000000</v>
      </c>
      <c r="AM6" s="30" t="s">
        <v>302</v>
      </c>
      <c r="AN6" s="277">
        <v>0.13500000000000001</v>
      </c>
      <c r="AO6" s="185" t="e">
        <f t="shared" ca="1" si="2"/>
        <v>#NAME?</v>
      </c>
      <c r="AP6" s="30" t="s">
        <v>264</v>
      </c>
      <c r="AQ6" s="29" t="s">
        <v>181</v>
      </c>
      <c r="AR6" s="29" t="s">
        <v>181</v>
      </c>
      <c r="AS6" s="29" t="s">
        <v>201</v>
      </c>
      <c r="AT6" s="29" t="s">
        <v>181</v>
      </c>
      <c r="AU6" s="29" t="s">
        <v>39</v>
      </c>
      <c r="AV6" s="29" t="s">
        <v>190</v>
      </c>
      <c r="AW6" s="29" t="s">
        <v>190</v>
      </c>
      <c r="AX6" s="29" t="s">
        <v>190</v>
      </c>
      <c r="AY6" s="29" t="s">
        <v>190</v>
      </c>
      <c r="AZ6" s="179">
        <v>0</v>
      </c>
      <c r="BA6" s="179" t="s">
        <v>162</v>
      </c>
      <c r="BB6" s="277">
        <v>1249</v>
      </c>
      <c r="BC6" s="277">
        <v>0</v>
      </c>
      <c r="BD6" s="30" t="s">
        <v>162</v>
      </c>
      <c r="BE6" s="277">
        <v>1</v>
      </c>
      <c r="BF6" s="30" t="s">
        <v>240</v>
      </c>
      <c r="BG6" s="29" t="s">
        <v>183</v>
      </c>
      <c r="BH6" s="176"/>
      <c r="BI6" s="29" t="s">
        <v>190</v>
      </c>
      <c r="BJ6" s="30">
        <v>0</v>
      </c>
      <c r="BK6" s="277">
        <v>1</v>
      </c>
      <c r="BL6" s="29" t="s">
        <v>190</v>
      </c>
      <c r="BM6" s="29" t="s">
        <v>190</v>
      </c>
      <c r="BN6" s="29" t="s">
        <v>190</v>
      </c>
      <c r="BO6" s="29" t="s">
        <v>190</v>
      </c>
      <c r="BP6" s="30">
        <v>0</v>
      </c>
      <c r="BQ6" s="30">
        <v>5</v>
      </c>
      <c r="BR6" s="30">
        <v>0</v>
      </c>
      <c r="BS6" s="30">
        <v>0</v>
      </c>
      <c r="BT6" s="203"/>
      <c r="BU6" s="30">
        <v>34</v>
      </c>
      <c r="BV6" s="30">
        <v>0</v>
      </c>
      <c r="BW6" s="186"/>
      <c r="BX6" s="57"/>
      <c r="BY6" s="203"/>
      <c r="BZ6" s="186"/>
      <c r="CA6" s="186"/>
      <c r="CB6" s="186"/>
      <c r="CC6" s="57"/>
      <c r="CD6" s="203"/>
      <c r="CE6" s="57"/>
      <c r="CF6" s="57"/>
      <c r="CG6" s="57"/>
      <c r="CH6" s="57"/>
      <c r="CI6" s="203"/>
      <c r="CJ6" s="57"/>
      <c r="CK6" s="57"/>
      <c r="CL6" s="57"/>
      <c r="CM6" s="57"/>
      <c r="CN6" s="203"/>
      <c r="CO6" s="186"/>
      <c r="CP6" s="186"/>
      <c r="CQ6" s="186"/>
      <c r="CR6" s="57"/>
      <c r="CS6" s="203"/>
      <c r="CT6" s="186"/>
      <c r="CU6" s="186"/>
      <c r="CV6" s="186"/>
      <c r="CW6" s="57"/>
      <c r="CX6" s="203"/>
      <c r="CY6" s="186"/>
      <c r="CZ6" s="186"/>
      <c r="DA6" s="186"/>
      <c r="DB6" s="57"/>
      <c r="DC6" s="203"/>
      <c r="DD6" s="186"/>
      <c r="DE6" s="186"/>
      <c r="DF6" s="186"/>
      <c r="DG6" s="57"/>
      <c r="DH6" s="203"/>
      <c r="DI6" s="186"/>
      <c r="DJ6" s="186"/>
      <c r="DK6" s="186"/>
      <c r="DL6" s="57"/>
      <c r="DM6" s="204"/>
      <c r="DN6" s="205"/>
      <c r="DO6" s="205"/>
      <c r="DQ6" s="206"/>
      <c r="DR6" s="188">
        <f t="shared" si="5"/>
        <v>34</v>
      </c>
      <c r="DS6" s="188"/>
      <c r="DT6" s="189">
        <f t="shared" si="6"/>
        <v>0</v>
      </c>
      <c r="DU6" s="189"/>
      <c r="DV6" s="188" t="e">
        <f t="shared" si="7"/>
        <v>#DIV/0!</v>
      </c>
      <c r="DW6" s="183" t="e">
        <f t="shared" ca="1" si="8"/>
        <v>#NAME?</v>
      </c>
      <c r="DX6" s="207"/>
      <c r="DY6" s="190" t="e">
        <f t="shared" ca="1" si="9"/>
        <v>#NAME?</v>
      </c>
      <c r="DZ6" s="191" t="str">
        <f t="shared" si="10"/>
        <v/>
      </c>
      <c r="EA6" s="191" t="str">
        <f t="shared" si="11"/>
        <v/>
      </c>
      <c r="EB6" s="191" t="str">
        <f t="shared" si="12"/>
        <v/>
      </c>
      <c r="EC6" s="208" t="e">
        <f t="shared" ca="1" si="13"/>
        <v>#NAME?</v>
      </c>
      <c r="ED6" s="36" t="str">
        <f t="shared" si="14"/>
        <v>Equity - Common</v>
      </c>
      <c r="EE6" s="193">
        <f>COUNTIF($ED$2:$ED$92, ED6)/(COUNTIF($ED$2:$ED$92, "&lt;&gt;""") - COUNTIF($ED$2:$ED$92, ""))</f>
        <v>0.32222222222222224</v>
      </c>
      <c r="EF6" s="36" t="str">
        <f t="shared" si="15"/>
        <v>Early</v>
      </c>
      <c r="EG6" s="207"/>
      <c r="EH6" s="194" t="e">
        <f t="shared" ca="1" si="16"/>
        <v>#NAME?</v>
      </c>
      <c r="EI6" s="194" t="e">
        <f t="shared" ca="1" si="17"/>
        <v>#NAME?</v>
      </c>
      <c r="EJ6" s="209" t="e">
        <f t="shared" ca="1" si="18"/>
        <v>#NAME?</v>
      </c>
      <c r="EK6" s="208" t="e">
        <f t="shared" ca="1" si="19"/>
        <v>#NAME?</v>
      </c>
      <c r="EL6" s="36" t="str">
        <f t="shared" si="20"/>
        <v>No</v>
      </c>
      <c r="EM6" s="207"/>
      <c r="EN6" s="192">
        <f t="shared" si="21"/>
        <v>4.2380952380952381</v>
      </c>
      <c r="EO6" s="192">
        <f t="shared" si="22"/>
        <v>1</v>
      </c>
      <c r="EP6" s="209">
        <f t="shared" si="23"/>
        <v>5.2380952380952381</v>
      </c>
      <c r="EQ6" s="210">
        <f t="shared" si="24"/>
        <v>3.5420560747663554</v>
      </c>
      <c r="ER6" s="36" t="e">
        <f t="shared" ca="1" si="25"/>
        <v>#NAME?</v>
      </c>
      <c r="ES6" s="40">
        <f ca="1">COUNTIF($ER$2:$ER$92, ER6)/(COUNTIF($ER$2:$ER$92, "&lt;&gt;""") - COUNTIF($ER$2:$ER$92, ""))</f>
        <v>1</v>
      </c>
      <c r="ET6" s="36">
        <f t="shared" si="26"/>
        <v>1</v>
      </c>
      <c r="EU6" s="40">
        <f>COUNTIF($ET$2:$ET$92, ET6)/(COUNTIF($ET$2:$ET$92, "&lt;&gt;""") - COUNTIF($ET$2:$ET$92, ""))</f>
        <v>0.45555555555555555</v>
      </c>
      <c r="EV6" s="36">
        <f t="shared" si="27"/>
        <v>5</v>
      </c>
      <c r="EW6" s="40">
        <f>COUNTIF($EV$2:$EV$92, EV6)/(COUNTIF($EV$2:$EV$92, "&lt;&gt;""") - COUNTIF($EV$2:$EV$92, ""))</f>
        <v>0.13333333333333333</v>
      </c>
      <c r="EX6" s="36" t="str">
        <f t="shared" si="28"/>
        <v>No</v>
      </c>
      <c r="EY6" s="40">
        <f>COUNTIF($EX$2:$EX$92, EX6)/(COUNTIF($EX$2:$EX$92, "&lt;&gt;""") - COUNTIF($EX$2:$EX$92, ""))</f>
        <v>0.72222222222222221</v>
      </c>
      <c r="EZ6" s="36" t="str">
        <f t="shared" ref="EZ6:FB6" si="51">BM6</f>
        <v>No</v>
      </c>
      <c r="FA6" s="36" t="str">
        <f t="shared" si="51"/>
        <v>No</v>
      </c>
      <c r="FB6" s="36" t="str">
        <f t="shared" si="51"/>
        <v>No</v>
      </c>
      <c r="FC6" s="207"/>
      <c r="FD6" s="36" t="str">
        <f t="shared" si="30"/>
        <v>Transactional</v>
      </c>
      <c r="FE6" s="40">
        <f>COUNTIF($FD$2:$FD$92, FD6)/(COUNTIF($FD$2:$FD$92, "&lt;&gt;""") - COUNTIF($FD$2:$FD$92, ""))</f>
        <v>0.6</v>
      </c>
      <c r="FF6" s="36" t="str">
        <f t="shared" si="31"/>
        <v>B2C</v>
      </c>
      <c r="FG6" s="40">
        <f>COUNTIF($FF$2:$FF$92, FF6)/(COUNTIF($FF$2:$FF$92, "&lt;&gt;""") - COUNTIF($FF$2:$FF$92, ""))</f>
        <v>0.41111111111111109</v>
      </c>
      <c r="FH6" s="36" t="str">
        <f t="shared" si="32"/>
        <v>Low</v>
      </c>
      <c r="FI6" s="40">
        <f>COUNTIF($FH$2:$FH$92, FH6)/(COUNTIF($FH$2:$FH$92, "&lt;&gt;""") - COUNTIF($FH$2:$FH$92, ""))</f>
        <v>0.46666666666666667</v>
      </c>
      <c r="FJ6" s="36" t="str">
        <f t="shared" si="33"/>
        <v>High</v>
      </c>
      <c r="FK6" s="40">
        <f>COUNTIF($FJ$2:$FJ$92, FJ6)/(COUNTIF($FJ$2:$FJ$92, "&lt;&gt;""") - COUNTIF($FJ$2:$FJ$92, ""))</f>
        <v>0.58888888888888891</v>
      </c>
      <c r="FL6" s="207"/>
      <c r="FM6" s="192">
        <f t="shared" si="34"/>
        <v>1</v>
      </c>
      <c r="FN6" s="192" t="e">
        <f t="shared" ca="1" si="35"/>
        <v>#NAME?</v>
      </c>
      <c r="FO6" s="192" t="e">
        <f t="shared" ca="1" si="36"/>
        <v>#NAME?</v>
      </c>
      <c r="FP6" s="192" t="e">
        <f t="shared" ca="1" si="37"/>
        <v>#NAME?</v>
      </c>
      <c r="FQ6" s="209" t="e">
        <f t="shared" ca="1" si="38"/>
        <v>#NAME?</v>
      </c>
      <c r="FR6" s="208" t="e">
        <f t="shared" ca="1" si="39"/>
        <v>#NAME?</v>
      </c>
      <c r="FS6" s="36" t="str">
        <f t="shared" si="40"/>
        <v>Pre-Revenue</v>
      </c>
      <c r="FT6" s="196">
        <f>COUNTIF($FS$2:$FS$92, FS6)/(COUNTIF($FS$2:$FS$92, "&lt;&gt;""") - COUNTIF($FZ$2:$FZ$92, ""))</f>
        <v>0.2</v>
      </c>
      <c r="FU6" s="207"/>
      <c r="FV6" s="192" t="e">
        <f t="shared" ca="1" si="41"/>
        <v>#NAME?</v>
      </c>
      <c r="FW6" s="197" t="e">
        <f t="shared" ca="1" si="42"/>
        <v>#NAME?</v>
      </c>
      <c r="FX6" s="209" t="e">
        <f t="shared" ca="1" si="43"/>
        <v>#NAME?</v>
      </c>
      <c r="FY6" s="211" t="e">
        <f t="shared" ca="1" si="44"/>
        <v>#NAME?</v>
      </c>
      <c r="FZ6" s="36" t="str">
        <f t="shared" si="45"/>
        <v>No</v>
      </c>
      <c r="GA6" s="196">
        <f>COUNTIF($FZ$2:$FZ$92, FZ6)/(COUNTIF($FZ$2:$FZ$92, "&lt;&gt;""") - COUNTIF($FZ$2:$FZ$92, ""))</f>
        <v>0.76666666666666672</v>
      </c>
      <c r="GB6" s="196" t="str">
        <f t="shared" si="46"/>
        <v>Low</v>
      </c>
      <c r="GC6" s="196">
        <f>COUNTIF($GB$2:$GB$92, GB6)/(COUNTIF($GB$2:$GB$92, "&lt;&gt;""") - COUNTIF($GB$2:$GB$92, ""))</f>
        <v>0.55555555555555558</v>
      </c>
      <c r="GD6" s="196" t="str">
        <f t="shared" si="47"/>
        <v>High</v>
      </c>
      <c r="GE6" s="196">
        <f>COUNTIF($GD$2:$GD$92, GD6)/(COUNTIF($GD$2:$GD$92, "&lt;&gt;""") - COUNTIF($GD$2:$GD$92, ""))</f>
        <v>0.8</v>
      </c>
      <c r="GF6" s="207"/>
      <c r="GG6" s="36"/>
      <c r="GH6" s="209" t="e">
        <f t="shared" ca="1" si="48"/>
        <v>#NAME?</v>
      </c>
      <c r="GI6" s="212" t="e">
        <f t="shared" ca="1" si="49"/>
        <v>#NAME?</v>
      </c>
    </row>
    <row r="7" spans="1:191" ht="15.75" customHeight="1">
      <c r="A7" s="29" t="s">
        <v>156</v>
      </c>
      <c r="B7" s="29" t="s">
        <v>409</v>
      </c>
      <c r="C7" s="30">
        <v>1713938</v>
      </c>
      <c r="D7" s="29" t="s">
        <v>691</v>
      </c>
      <c r="E7" s="31"/>
      <c r="F7" s="29" t="s">
        <v>321</v>
      </c>
      <c r="G7" s="32" t="s">
        <v>692</v>
      </c>
      <c r="H7" s="32" t="s">
        <v>694</v>
      </c>
      <c r="I7" s="33">
        <v>43942</v>
      </c>
      <c r="J7" s="56" t="s">
        <v>696</v>
      </c>
      <c r="K7" s="29" t="s">
        <v>691</v>
      </c>
      <c r="L7" s="16" t="s">
        <v>697</v>
      </c>
      <c r="M7" s="29" t="s">
        <v>171</v>
      </c>
      <c r="N7" s="29" t="s">
        <v>168</v>
      </c>
      <c r="O7" s="29" t="s">
        <v>30</v>
      </c>
      <c r="P7" s="29" t="s">
        <v>174</v>
      </c>
      <c r="Q7" s="29" t="s">
        <v>35</v>
      </c>
      <c r="R7" s="176"/>
      <c r="S7" s="29" t="s">
        <v>269</v>
      </c>
      <c r="T7" s="177"/>
      <c r="U7" s="178"/>
      <c r="V7" s="55"/>
      <c r="W7" s="200">
        <v>7500000</v>
      </c>
      <c r="X7" s="201">
        <v>0.2</v>
      </c>
      <c r="Y7" s="179">
        <v>6500000</v>
      </c>
      <c r="Z7" s="274">
        <f t="shared" si="0"/>
        <v>6500000</v>
      </c>
      <c r="AA7" s="183" t="e">
        <f t="shared" ca="1" si="1"/>
        <v>#NAME?</v>
      </c>
      <c r="AB7" s="29" t="s">
        <v>36</v>
      </c>
      <c r="AC7" s="29" t="s">
        <v>179</v>
      </c>
      <c r="AD7" s="29" t="s">
        <v>38</v>
      </c>
      <c r="AE7" s="29" t="s">
        <v>190</v>
      </c>
      <c r="AF7" s="29" t="s">
        <v>181</v>
      </c>
      <c r="AG7" s="29" t="s">
        <v>181</v>
      </c>
      <c r="AH7" s="29" t="s">
        <v>190</v>
      </c>
      <c r="AI7" s="16" t="s">
        <v>699</v>
      </c>
      <c r="AJ7" s="277">
        <v>123736000000</v>
      </c>
      <c r="AK7" s="30" t="s">
        <v>222</v>
      </c>
      <c r="AL7" s="277">
        <v>6185000</v>
      </c>
      <c r="AM7" s="30" t="s">
        <v>317</v>
      </c>
      <c r="AN7" s="277">
        <v>4.3999999999999997E-2</v>
      </c>
      <c r="AO7" s="185" t="e">
        <f t="shared" ca="1" si="2"/>
        <v>#NAME?</v>
      </c>
      <c r="AP7" s="30" t="s">
        <v>228</v>
      </c>
      <c r="AQ7" s="29" t="s">
        <v>181</v>
      </c>
      <c r="AR7" s="29" t="s">
        <v>181</v>
      </c>
      <c r="AS7" s="29" t="s">
        <v>42</v>
      </c>
      <c r="AT7" s="29" t="s">
        <v>181</v>
      </c>
      <c r="AU7" s="29" t="s">
        <v>39</v>
      </c>
      <c r="AV7" s="29" t="s">
        <v>227</v>
      </c>
      <c r="AW7" s="29" t="s">
        <v>190</v>
      </c>
      <c r="AX7" s="29" t="s">
        <v>227</v>
      </c>
      <c r="AY7" s="29" t="s">
        <v>227</v>
      </c>
      <c r="AZ7" s="179">
        <v>637826</v>
      </c>
      <c r="BA7" s="179" t="s">
        <v>239</v>
      </c>
      <c r="BB7" s="277">
        <v>69891</v>
      </c>
      <c r="BC7" s="277">
        <v>480000</v>
      </c>
      <c r="BD7" s="30" t="s">
        <v>225</v>
      </c>
      <c r="BE7" s="277">
        <v>0.14499999999999999</v>
      </c>
      <c r="BF7" s="30" t="s">
        <v>191</v>
      </c>
      <c r="BG7" s="29" t="s">
        <v>202</v>
      </c>
      <c r="BH7" s="176"/>
      <c r="BI7" s="29" t="s">
        <v>227</v>
      </c>
      <c r="BJ7" s="30">
        <v>2</v>
      </c>
      <c r="BK7" s="277">
        <v>2</v>
      </c>
      <c r="BL7" s="29" t="s">
        <v>227</v>
      </c>
      <c r="BM7" s="29" t="s">
        <v>227</v>
      </c>
      <c r="BN7" s="29" t="s">
        <v>190</v>
      </c>
      <c r="BO7" s="29" t="s">
        <v>190</v>
      </c>
      <c r="BP7" s="30">
        <v>2</v>
      </c>
      <c r="BQ7" s="30">
        <v>11</v>
      </c>
      <c r="BR7" s="30">
        <v>0</v>
      </c>
      <c r="BS7" s="30">
        <v>0</v>
      </c>
      <c r="BT7" s="203"/>
      <c r="BU7" s="30">
        <v>9</v>
      </c>
      <c r="BV7" s="30">
        <v>0</v>
      </c>
      <c r="BW7" s="30">
        <v>49</v>
      </c>
      <c r="BX7" s="29" t="s">
        <v>227</v>
      </c>
      <c r="BY7" s="203"/>
      <c r="BZ7" s="30">
        <v>0</v>
      </c>
      <c r="CA7" s="30">
        <v>0</v>
      </c>
      <c r="CB7" s="30"/>
      <c r="CC7" s="57"/>
      <c r="CD7" s="203"/>
      <c r="CE7" s="57"/>
      <c r="CF7" s="57"/>
      <c r="CG7" s="57"/>
      <c r="CH7" s="57"/>
      <c r="CI7" s="203"/>
      <c r="CJ7" s="57"/>
      <c r="CK7" s="57"/>
      <c r="CL7" s="57"/>
      <c r="CM7" s="57"/>
      <c r="CN7" s="203"/>
      <c r="CO7" s="186"/>
      <c r="CP7" s="186"/>
      <c r="CQ7" s="186"/>
      <c r="CR7" s="57"/>
      <c r="CS7" s="203"/>
      <c r="CT7" s="186"/>
      <c r="CU7" s="186"/>
      <c r="CV7" s="186"/>
      <c r="CW7" s="57"/>
      <c r="CX7" s="203"/>
      <c r="CY7" s="186"/>
      <c r="CZ7" s="186"/>
      <c r="DA7" s="186"/>
      <c r="DB7" s="57"/>
      <c r="DC7" s="203"/>
      <c r="DD7" s="186"/>
      <c r="DE7" s="186"/>
      <c r="DF7" s="186"/>
      <c r="DG7" s="57"/>
      <c r="DH7" s="203"/>
      <c r="DI7" s="186"/>
      <c r="DJ7" s="186"/>
      <c r="DK7" s="186"/>
      <c r="DL7" s="57"/>
      <c r="DM7" s="204"/>
      <c r="DN7" s="205"/>
      <c r="DO7" s="205"/>
      <c r="DQ7" s="206"/>
      <c r="DR7" s="188">
        <f t="shared" si="5"/>
        <v>4.5</v>
      </c>
      <c r="DS7" s="188"/>
      <c r="DT7" s="189">
        <f t="shared" si="6"/>
        <v>0</v>
      </c>
      <c r="DU7" s="189"/>
      <c r="DV7" s="188">
        <f t="shared" si="7"/>
        <v>49</v>
      </c>
      <c r="DW7" s="183" t="e">
        <f t="shared" ca="1" si="8"/>
        <v>#NAME?</v>
      </c>
      <c r="DX7" s="207"/>
      <c r="DY7" s="190" t="e">
        <f t="shared" ca="1" si="9"/>
        <v>#NAME?</v>
      </c>
      <c r="DZ7" s="191">
        <f t="shared" si="10"/>
        <v>3.1052631578947367</v>
      </c>
      <c r="EA7" s="191" t="str">
        <f t="shared" si="11"/>
        <v/>
      </c>
      <c r="EB7" s="191" t="str">
        <f t="shared" si="12"/>
        <v/>
      </c>
      <c r="EC7" s="208" t="e">
        <f t="shared" ca="1" si="13"/>
        <v>#NAME?</v>
      </c>
      <c r="ED7" s="36" t="str">
        <f t="shared" si="14"/>
        <v>SAFE</v>
      </c>
      <c r="EE7" s="193">
        <f>COUNTIF($ED$2:$ED$92, ED7)/(COUNTIF($ED$2:$ED$92, "&lt;&gt;""") - COUNTIF($ED$2:$ED$92, ""))</f>
        <v>0.37777777777777777</v>
      </c>
      <c r="EF7" s="36" t="str">
        <f t="shared" si="15"/>
        <v>Early</v>
      </c>
      <c r="EG7" s="207"/>
      <c r="EH7" s="194" t="e">
        <f t="shared" ca="1" si="16"/>
        <v>#NAME?</v>
      </c>
      <c r="EI7" s="194" t="e">
        <f t="shared" ca="1" si="17"/>
        <v>#NAME?</v>
      </c>
      <c r="EJ7" s="209" t="e">
        <f t="shared" ca="1" si="18"/>
        <v>#NAME?</v>
      </c>
      <c r="EK7" s="208" t="e">
        <f t="shared" ca="1" si="19"/>
        <v>#NAME?</v>
      </c>
      <c r="EL7" s="36" t="str">
        <f t="shared" si="20"/>
        <v>Yes</v>
      </c>
      <c r="EM7" s="207"/>
      <c r="EN7" s="192">
        <f t="shared" si="21"/>
        <v>1.4285714285714286</v>
      </c>
      <c r="EO7" s="192">
        <f t="shared" si="22"/>
        <v>1</v>
      </c>
      <c r="EP7" s="209">
        <f t="shared" si="23"/>
        <v>2.4285714285714288</v>
      </c>
      <c r="EQ7" s="210">
        <f t="shared" si="24"/>
        <v>1.3364485981308414</v>
      </c>
      <c r="ER7" s="36" t="e">
        <f t="shared" ca="1" si="25"/>
        <v>#NAME?</v>
      </c>
      <c r="ES7" s="40">
        <f ca="1">COUNTIF($ER$2:$ER$92, ER7)/(COUNTIF($ER$2:$ER$92, "&lt;&gt;""") - COUNTIF($ER$2:$ER$92, ""))</f>
        <v>1</v>
      </c>
      <c r="ET7" s="36">
        <f t="shared" si="26"/>
        <v>2</v>
      </c>
      <c r="EU7" s="40">
        <f>COUNTIF($ET$2:$ET$92, ET7)/(COUNTIF($ET$2:$ET$92, "&lt;&gt;""") - COUNTIF($ET$2:$ET$92, ""))</f>
        <v>0.45555555555555555</v>
      </c>
      <c r="EV7" s="36">
        <f t="shared" si="27"/>
        <v>11</v>
      </c>
      <c r="EW7" s="40">
        <f>COUNTIF($EV$2:$EV$92, EV7)/(COUNTIF($EV$2:$EV$92, "&lt;&gt;""") - COUNTIF($EV$2:$EV$92, ""))</f>
        <v>3.3333333333333333E-2</v>
      </c>
      <c r="EX7" s="36" t="str">
        <f t="shared" si="28"/>
        <v>Yes</v>
      </c>
      <c r="EY7" s="40">
        <f>COUNTIF($EX$2:$EX$92, EX7)/(COUNTIF($EX$2:$EX$92, "&lt;&gt;""") - COUNTIF($EX$2:$EX$92, ""))</f>
        <v>0.27777777777777779</v>
      </c>
      <c r="EZ7" s="36" t="str">
        <f t="shared" ref="EZ7:FB7" si="52">BM7</f>
        <v>Yes</v>
      </c>
      <c r="FA7" s="36" t="str">
        <f t="shared" si="52"/>
        <v>No</v>
      </c>
      <c r="FB7" s="36" t="str">
        <f t="shared" si="52"/>
        <v>No</v>
      </c>
      <c r="FC7" s="207"/>
      <c r="FD7" s="36" t="str">
        <f t="shared" si="30"/>
        <v>Transactional</v>
      </c>
      <c r="FE7" s="40">
        <f>COUNTIF($FD$2:$FD$92, FD7)/(COUNTIF($FD$2:$FD$92, "&lt;&gt;""") - COUNTIF($FD$2:$FD$92, ""))</f>
        <v>0.6</v>
      </c>
      <c r="FF7" s="36" t="str">
        <f t="shared" si="31"/>
        <v>B2C</v>
      </c>
      <c r="FG7" s="40">
        <f>COUNTIF($FF$2:$FF$92, FF7)/(COUNTIF($FF$2:$FF$92, "&lt;&gt;""") - COUNTIF($FF$2:$FF$92, ""))</f>
        <v>0.41111111111111109</v>
      </c>
      <c r="FH7" s="36" t="str">
        <f t="shared" si="32"/>
        <v>Low</v>
      </c>
      <c r="FI7" s="40">
        <f>COUNTIF($FH$2:$FH$92, FH7)/(COUNTIF($FH$2:$FH$92, "&lt;&gt;""") - COUNTIF($FH$2:$FH$92, ""))</f>
        <v>0.46666666666666667</v>
      </c>
      <c r="FJ7" s="36" t="str">
        <f t="shared" si="33"/>
        <v>Low</v>
      </c>
      <c r="FK7" s="40">
        <f>COUNTIF($FJ$2:$FJ$92, FJ7)/(COUNTIF($FJ$2:$FJ$92, "&lt;&gt;""") - COUNTIF($FJ$2:$FJ$92, ""))</f>
        <v>0.41111111111111109</v>
      </c>
      <c r="FL7" s="207"/>
      <c r="FM7" s="192">
        <f t="shared" si="34"/>
        <v>5</v>
      </c>
      <c r="FN7" s="192" t="e">
        <f t="shared" ca="1" si="35"/>
        <v>#NAME?</v>
      </c>
      <c r="FO7" s="192" t="e">
        <f t="shared" ca="1" si="36"/>
        <v>#NAME?</v>
      </c>
      <c r="FP7" s="192" t="e">
        <f t="shared" ca="1" si="37"/>
        <v>#NAME?</v>
      </c>
      <c r="FQ7" s="209" t="e">
        <f t="shared" ca="1" si="38"/>
        <v>#NAME?</v>
      </c>
      <c r="FR7" s="208" t="e">
        <f t="shared" ca="1" si="39"/>
        <v>#NAME?</v>
      </c>
      <c r="FS7" s="36" t="str">
        <f t="shared" si="40"/>
        <v>Pre-Profit</v>
      </c>
      <c r="FT7" s="196">
        <f>COUNTIF($FS$2:$FS$92, FS7)/(COUNTIF($FS$2:$FS$92, "&lt;&gt;""") - COUNTIF($FZ$2:$FZ$92, ""))</f>
        <v>0.51111111111111107</v>
      </c>
      <c r="FU7" s="207"/>
      <c r="FV7" s="192" t="e">
        <f t="shared" ca="1" si="41"/>
        <v>#NAME?</v>
      </c>
      <c r="FW7" s="197" t="e">
        <f t="shared" ca="1" si="42"/>
        <v>#NAME?</v>
      </c>
      <c r="FX7" s="209" t="e">
        <f t="shared" ca="1" si="43"/>
        <v>#NAME?</v>
      </c>
      <c r="FY7" s="211" t="e">
        <f t="shared" ca="1" si="44"/>
        <v>#NAME?</v>
      </c>
      <c r="FZ7" s="36" t="str">
        <f t="shared" si="45"/>
        <v>No</v>
      </c>
      <c r="GA7" s="196">
        <f>COUNTIF($FZ$2:$FZ$92, FZ7)/(COUNTIF($FZ$2:$FZ$92, "&lt;&gt;""") - COUNTIF($FZ$2:$FZ$92, ""))</f>
        <v>0.76666666666666672</v>
      </c>
      <c r="GB7" s="196" t="str">
        <f t="shared" si="46"/>
        <v>Low</v>
      </c>
      <c r="GC7" s="196">
        <f>COUNTIF($GB$2:$GB$92, GB7)/(COUNTIF($GB$2:$GB$92, "&lt;&gt;""") - COUNTIF($GB$2:$GB$92, ""))</f>
        <v>0.55555555555555558</v>
      </c>
      <c r="GD7" s="196" t="str">
        <f t="shared" si="47"/>
        <v>High</v>
      </c>
      <c r="GE7" s="196">
        <f>COUNTIF($GD$2:$GD$92, GD7)/(COUNTIF($GD$2:$GD$92, "&lt;&gt;""") - COUNTIF($GD$2:$GD$92, ""))</f>
        <v>0.8</v>
      </c>
      <c r="GF7" s="207"/>
      <c r="GG7" s="36"/>
      <c r="GH7" s="209" t="e">
        <f t="shared" ca="1" si="48"/>
        <v>#NAME?</v>
      </c>
      <c r="GI7" s="212" t="e">
        <f t="shared" ca="1" si="49"/>
        <v>#NAME?</v>
      </c>
    </row>
    <row r="8" spans="1:191" ht="15.75" customHeight="1">
      <c r="A8" s="29" t="s">
        <v>156</v>
      </c>
      <c r="B8" s="29" t="s">
        <v>355</v>
      </c>
      <c r="C8" s="30">
        <v>1692429</v>
      </c>
      <c r="D8" s="29" t="s">
        <v>700</v>
      </c>
      <c r="E8" s="31"/>
      <c r="F8" s="29" t="s">
        <v>333</v>
      </c>
      <c r="G8" s="32" t="s">
        <v>701</v>
      </c>
      <c r="H8" s="32" t="s">
        <v>702</v>
      </c>
      <c r="I8" s="76">
        <v>43922</v>
      </c>
      <c r="J8" s="35" t="s">
        <v>703</v>
      </c>
      <c r="K8" s="35" t="s">
        <v>700</v>
      </c>
      <c r="L8" s="16" t="s">
        <v>704</v>
      </c>
      <c r="M8" s="16" t="s">
        <v>304</v>
      </c>
      <c r="N8" s="35" t="s">
        <v>300</v>
      </c>
      <c r="O8" s="35" t="s">
        <v>30</v>
      </c>
      <c r="P8" s="35" t="s">
        <v>174</v>
      </c>
      <c r="Q8" s="35" t="s">
        <v>35</v>
      </c>
      <c r="R8" s="157" t="s">
        <v>199</v>
      </c>
      <c r="S8" s="35" t="s">
        <v>176</v>
      </c>
      <c r="T8" s="59"/>
      <c r="U8" s="38"/>
      <c r="V8" s="39"/>
      <c r="W8" s="218">
        <v>10000000</v>
      </c>
      <c r="X8" s="219">
        <v>0.2</v>
      </c>
      <c r="Y8" s="55">
        <f t="shared" ref="Y8:Y10" si="53">IF(W8 &lt;&gt; 0, W8-(W8*X8), "")</f>
        <v>8000000</v>
      </c>
      <c r="Z8" s="274">
        <f t="shared" si="0"/>
        <v>8000000</v>
      </c>
      <c r="AA8" s="183" t="e">
        <f t="shared" ca="1" si="1"/>
        <v>#NAME?</v>
      </c>
      <c r="AB8" s="35" t="s">
        <v>178</v>
      </c>
      <c r="AC8" s="35" t="s">
        <v>200</v>
      </c>
      <c r="AD8" s="35" t="s">
        <v>180</v>
      </c>
      <c r="AE8" s="35" t="s">
        <v>227</v>
      </c>
      <c r="AF8" s="35" t="s">
        <v>39</v>
      </c>
      <c r="AG8" s="35" t="s">
        <v>181</v>
      </c>
      <c r="AH8" s="35" t="s">
        <v>190</v>
      </c>
      <c r="AI8" s="16" t="s">
        <v>705</v>
      </c>
      <c r="AJ8" s="277">
        <v>415000000000</v>
      </c>
      <c r="AK8" s="30" t="s">
        <v>205</v>
      </c>
      <c r="AL8" s="277">
        <v>1574860424.2470002</v>
      </c>
      <c r="AM8" s="30" t="s">
        <v>282</v>
      </c>
      <c r="AN8" s="277">
        <v>0.28999999999999998</v>
      </c>
      <c r="AO8" s="185" t="e">
        <f t="shared" ca="1" si="2"/>
        <v>#NAME?</v>
      </c>
      <c r="AP8" s="30" t="s">
        <v>228</v>
      </c>
      <c r="AQ8" s="29" t="s">
        <v>181</v>
      </c>
      <c r="AR8" s="29" t="s">
        <v>181</v>
      </c>
      <c r="AS8" s="29" t="s">
        <v>42</v>
      </c>
      <c r="AT8" s="29" t="s">
        <v>39</v>
      </c>
      <c r="AU8" s="29" t="s">
        <v>39</v>
      </c>
      <c r="AV8" s="29" t="s">
        <v>190</v>
      </c>
      <c r="AW8" s="29" t="s">
        <v>190</v>
      </c>
      <c r="AX8" s="29" t="s">
        <v>227</v>
      </c>
      <c r="AY8" s="29" t="s">
        <v>227</v>
      </c>
      <c r="AZ8" s="179">
        <v>256679</v>
      </c>
      <c r="BA8" s="55" t="e">
        <f t="shared" ref="BA8:BA12" ca="1" si="54">_xludf.IFS(
AZ8&lt;10000, "&lt; $10K",
AZ8&lt;=50000, "$10K - $50K",
AZ8&lt;=100000, "$50K - $100K",
AZ8&lt;=500000, "$100K - $500K",
AZ8&lt;=1000000, "$500K - $1M",
AZ8&lt;=2000000, "$1M - $2M",
AZ8&lt;=3000000, "$2M - $3M",
AZ8&lt;=4000000, "$3M - $4M",
AZ8&lt;=5000000, "$4M - $5M",
AZ8&gt;5000000, "&gt; $5M")</f>
        <v>#NAME?</v>
      </c>
      <c r="BB8" s="277">
        <v>31174</v>
      </c>
      <c r="BC8" s="277">
        <v>0</v>
      </c>
      <c r="BD8" s="62" t="e">
        <f t="shared" ref="BD8:BD12" ca="1" si="55">_xludf.IFS(
BC8&lt;10000, "&lt; $10K",
BC8&lt;=50000, "$10K - $50K",
BC8&lt;=100000, "$50K - $100K",
BC8&lt;=500000, "$100K - $500K",
BC8&lt;=1000000, "$500K - $1M",
BC8&lt;=2000000, "$1M - $2M",
BC8&lt;=3000000, "$2M - $3M",
BC8&lt;=4000000, "$3M - $4M",
BC8&lt;=5000000, "$4M - $5M",
BC8&gt;5000000, "&gt; $5M")</f>
        <v>#NAME?</v>
      </c>
      <c r="BE8" s="277">
        <f t="shared" ref="BE8:BE12" si="56">IF(OR(BB8=0, BC8=0), 1, BB8/BC8)</f>
        <v>1</v>
      </c>
      <c r="BF8" s="62" t="e">
        <f t="shared" ref="BF8:BF12" ca="1" si="57">_xludf.IFS(
BE8&lt;0.1, "&lt; 10%",
BE8&lt;=0.2, "10% - 20%",
BE8&lt;=0.3, "20% - 30%",
BE8&lt;=0.4, "30% - 40%",
BE8&lt;=0.5, "40% - 50%",
BE8&lt;=0.6, "50% - 60%",
BE8&lt;=0.7, "60% - 70%",
BE8&lt;=0.8, "70% - 80%",
BE8&lt;=0.9, "80% - 90%",
BE8&gt;0.9, "90% - 100%")</f>
        <v>#NAME?</v>
      </c>
      <c r="BG8" s="29" t="s">
        <v>202</v>
      </c>
      <c r="BH8" s="176"/>
      <c r="BI8" s="29" t="s">
        <v>190</v>
      </c>
      <c r="BJ8" s="30">
        <v>0</v>
      </c>
      <c r="BK8" s="277">
        <v>1</v>
      </c>
      <c r="BL8" s="29" t="s">
        <v>190</v>
      </c>
      <c r="BM8" s="29" t="s">
        <v>190</v>
      </c>
      <c r="BN8" s="29" t="s">
        <v>190</v>
      </c>
      <c r="BO8" s="29" t="s">
        <v>190</v>
      </c>
      <c r="BP8" s="30">
        <v>2</v>
      </c>
      <c r="BQ8" s="30">
        <v>3</v>
      </c>
      <c r="BR8" s="30">
        <v>5</v>
      </c>
      <c r="BS8" s="30">
        <v>0</v>
      </c>
      <c r="BT8" s="203"/>
      <c r="BU8" s="30">
        <v>20</v>
      </c>
      <c r="BV8" s="30">
        <v>0</v>
      </c>
      <c r="BW8" s="30">
        <v>60</v>
      </c>
      <c r="BX8" s="29" t="s">
        <v>227</v>
      </c>
      <c r="BY8" s="203"/>
      <c r="BZ8" s="30">
        <v>10</v>
      </c>
      <c r="CA8" s="30">
        <v>0</v>
      </c>
      <c r="CB8" s="30">
        <v>38</v>
      </c>
      <c r="CC8" s="29" t="s">
        <v>190</v>
      </c>
      <c r="CD8" s="203"/>
      <c r="CE8" s="57"/>
      <c r="CF8" s="57"/>
      <c r="CG8" s="57"/>
      <c r="CH8" s="57"/>
      <c r="CI8" s="203"/>
      <c r="CJ8" s="57"/>
      <c r="CK8" s="57"/>
      <c r="CL8" s="57"/>
      <c r="CM8" s="57"/>
      <c r="CN8" s="203"/>
      <c r="CO8" s="186"/>
      <c r="CP8" s="186"/>
      <c r="CQ8" s="186"/>
      <c r="CR8" s="57"/>
      <c r="CS8" s="203"/>
      <c r="CT8" s="186"/>
      <c r="CU8" s="186"/>
      <c r="CV8" s="186"/>
      <c r="CW8" s="57"/>
      <c r="CX8" s="203"/>
      <c r="CY8" s="186"/>
      <c r="CZ8" s="186"/>
      <c r="DA8" s="186"/>
      <c r="DB8" s="57"/>
      <c r="DC8" s="203"/>
      <c r="DD8" s="186"/>
      <c r="DE8" s="186"/>
      <c r="DF8" s="186"/>
      <c r="DG8" s="57"/>
      <c r="DH8" s="203"/>
      <c r="DI8" s="186"/>
      <c r="DJ8" s="186"/>
      <c r="DK8" s="186"/>
      <c r="DL8" s="57"/>
      <c r="DM8" s="204"/>
      <c r="DN8" s="205"/>
      <c r="DO8" s="205"/>
      <c r="DQ8" s="206"/>
      <c r="DR8" s="188">
        <f t="shared" si="5"/>
        <v>15</v>
      </c>
      <c r="DS8" s="188"/>
      <c r="DT8" s="189">
        <f t="shared" si="6"/>
        <v>0</v>
      </c>
      <c r="DU8" s="189"/>
      <c r="DV8" s="188">
        <f t="shared" si="7"/>
        <v>49</v>
      </c>
      <c r="DW8" s="183" t="e">
        <f t="shared" ca="1" si="8"/>
        <v>#NAME?</v>
      </c>
      <c r="DX8" s="207"/>
      <c r="DY8" s="190" t="e">
        <f t="shared" ca="1" si="9"/>
        <v>#NAME?</v>
      </c>
      <c r="DZ8" s="191">
        <f t="shared" si="10"/>
        <v>3.1052631578947367</v>
      </c>
      <c r="EA8" s="191" t="str">
        <f t="shared" si="11"/>
        <v/>
      </c>
      <c r="EB8" s="191" t="str">
        <f t="shared" si="12"/>
        <v/>
      </c>
      <c r="EC8" s="208" t="e">
        <f t="shared" ca="1" si="13"/>
        <v>#NAME?</v>
      </c>
      <c r="ED8" s="36" t="str">
        <f t="shared" si="14"/>
        <v>Convertible Note</v>
      </c>
      <c r="EE8" s="193">
        <f>COUNTIF($ED$2:$ED$92, ED8)/(COUNTIF($ED$2:$ED$92, "&lt;&gt;""") - COUNTIF($ED$2:$ED$92, ""))</f>
        <v>0.13333333333333333</v>
      </c>
      <c r="EF8" s="36" t="str">
        <f t="shared" si="15"/>
        <v>Early</v>
      </c>
      <c r="EG8" s="207"/>
      <c r="EH8" s="194" t="e">
        <f t="shared" ca="1" si="16"/>
        <v>#NAME?</v>
      </c>
      <c r="EI8" s="194" t="e">
        <f t="shared" ca="1" si="17"/>
        <v>#NAME?</v>
      </c>
      <c r="EJ8" s="209" t="e">
        <f t="shared" ca="1" si="18"/>
        <v>#NAME?</v>
      </c>
      <c r="EK8" s="208" t="e">
        <f t="shared" ca="1" si="19"/>
        <v>#NAME?</v>
      </c>
      <c r="EL8" s="36" t="str">
        <f t="shared" si="20"/>
        <v>No</v>
      </c>
      <c r="EM8" s="207"/>
      <c r="EN8" s="192">
        <f t="shared" si="21"/>
        <v>2.4285714285714288</v>
      </c>
      <c r="EO8" s="192">
        <f t="shared" si="22"/>
        <v>1</v>
      </c>
      <c r="EP8" s="209">
        <f t="shared" si="23"/>
        <v>3.4285714285714288</v>
      </c>
      <c r="EQ8" s="210">
        <f t="shared" si="24"/>
        <v>2.1214953271028039</v>
      </c>
      <c r="ER8" s="36" t="e">
        <f t="shared" ca="1" si="25"/>
        <v>#NAME?</v>
      </c>
      <c r="ES8" s="40">
        <f ca="1">COUNTIF($ER$2:$ER$92, ER8)/(COUNTIF($ER$2:$ER$92, "&lt;&gt;""") - COUNTIF($ER$2:$ER$92, ""))</f>
        <v>1</v>
      </c>
      <c r="ET8" s="36">
        <f t="shared" si="26"/>
        <v>1</v>
      </c>
      <c r="EU8" s="40">
        <f>COUNTIF($ET$2:$ET$92, ET8)/(COUNTIF($ET$2:$ET$92, "&lt;&gt;""") - COUNTIF($ET$2:$ET$92, ""))</f>
        <v>0.45555555555555555</v>
      </c>
      <c r="EV8" s="36">
        <f t="shared" si="27"/>
        <v>3</v>
      </c>
      <c r="EW8" s="40">
        <f>COUNTIF($EV$2:$EV$92, EV8)/(COUNTIF($EV$2:$EV$92, "&lt;&gt;""") - COUNTIF($EV$2:$EV$92, ""))</f>
        <v>8.8888888888888892E-2</v>
      </c>
      <c r="EX8" s="36" t="str">
        <f t="shared" si="28"/>
        <v>No</v>
      </c>
      <c r="EY8" s="40">
        <f>COUNTIF($EX$2:$EX$92, EX8)/(COUNTIF($EX$2:$EX$92, "&lt;&gt;""") - COUNTIF($EX$2:$EX$92, ""))</f>
        <v>0.72222222222222221</v>
      </c>
      <c r="EZ8" s="36" t="str">
        <f t="shared" ref="EZ8:FB8" si="58">BM8</f>
        <v>No</v>
      </c>
      <c r="FA8" s="36" t="str">
        <f t="shared" si="58"/>
        <v>No</v>
      </c>
      <c r="FB8" s="36" t="str">
        <f t="shared" si="58"/>
        <v>No</v>
      </c>
      <c r="FC8" s="207"/>
      <c r="FD8" s="36" t="str">
        <f t="shared" si="30"/>
        <v>Recurring</v>
      </c>
      <c r="FE8" s="40">
        <f>COUNTIF($FD$2:$FD$92, FD8)/(COUNTIF($FD$2:$FD$92, "&lt;&gt;""") - COUNTIF($FD$2:$FD$92, ""))</f>
        <v>0.4</v>
      </c>
      <c r="FF8" s="36" t="str">
        <f t="shared" si="31"/>
        <v>B2B2C</v>
      </c>
      <c r="FG8" s="40">
        <f>COUNTIF($FF$2:$FF$92, FF8)/(COUNTIF($FF$2:$FF$92, "&lt;&gt;""") - COUNTIF($FF$2:$FF$92, ""))</f>
        <v>6.6666666666666666E-2</v>
      </c>
      <c r="FH8" s="36" t="str">
        <f t="shared" si="32"/>
        <v>High</v>
      </c>
      <c r="FI8" s="40">
        <f>COUNTIF($FH$2:$FH$92, FH8)/(COUNTIF($FH$2:$FH$92, "&lt;&gt;""") - COUNTIF($FH$2:$FH$92, ""))</f>
        <v>0.53333333333333333</v>
      </c>
      <c r="FJ8" s="36" t="str">
        <f t="shared" si="33"/>
        <v>Low</v>
      </c>
      <c r="FK8" s="40">
        <f>COUNTIF($FJ$2:$FJ$92, FJ8)/(COUNTIF($FJ$2:$FJ$92, "&lt;&gt;""") - COUNTIF($FJ$2:$FJ$92, ""))</f>
        <v>0.41111111111111109</v>
      </c>
      <c r="FL8" s="207"/>
      <c r="FM8" s="192">
        <f t="shared" si="34"/>
        <v>5</v>
      </c>
      <c r="FN8" s="192" t="e">
        <f t="shared" ca="1" si="35"/>
        <v>#NAME?</v>
      </c>
      <c r="FO8" s="192" t="e">
        <f t="shared" ca="1" si="36"/>
        <v>#NAME?</v>
      </c>
      <c r="FP8" s="192" t="e">
        <f t="shared" ca="1" si="37"/>
        <v>#NAME?</v>
      </c>
      <c r="FQ8" s="209" t="e">
        <f t="shared" ca="1" si="38"/>
        <v>#NAME?</v>
      </c>
      <c r="FR8" s="208" t="e">
        <f t="shared" ca="1" si="39"/>
        <v>#NAME?</v>
      </c>
      <c r="FS8" s="36" t="str">
        <f t="shared" si="40"/>
        <v>Pre-Profit</v>
      </c>
      <c r="FT8" s="196">
        <f>COUNTIF($FS$2:$FS$92, FS8)/(COUNTIF($FS$2:$FS$92, "&lt;&gt;""") - COUNTIF($FZ$2:$FZ$92, ""))</f>
        <v>0.51111111111111107</v>
      </c>
      <c r="FU8" s="207"/>
      <c r="FV8" s="192" t="e">
        <f t="shared" ca="1" si="41"/>
        <v>#NAME?</v>
      </c>
      <c r="FW8" s="197" t="e">
        <f t="shared" ca="1" si="42"/>
        <v>#NAME?</v>
      </c>
      <c r="FX8" s="209" t="e">
        <f t="shared" ca="1" si="43"/>
        <v>#NAME?</v>
      </c>
      <c r="FY8" s="211" t="e">
        <f t="shared" ca="1" si="44"/>
        <v>#NAME?</v>
      </c>
      <c r="FZ8" s="36" t="str">
        <f t="shared" si="45"/>
        <v>No</v>
      </c>
      <c r="GA8" s="196">
        <f>COUNTIF($FZ$2:$FZ$92, FZ8)/(COUNTIF($FZ$2:$FZ$92, "&lt;&gt;""") - COUNTIF($FZ$2:$FZ$92, ""))</f>
        <v>0.76666666666666672</v>
      </c>
      <c r="GB8" s="196" t="str">
        <f t="shared" si="46"/>
        <v>High</v>
      </c>
      <c r="GC8" s="196">
        <f>COUNTIF($GB$2:$GB$92, GB8)/(COUNTIF($GB$2:$GB$92, "&lt;&gt;""") - COUNTIF($GB$2:$GB$92, ""))</f>
        <v>0.43333333333333335</v>
      </c>
      <c r="GD8" s="196" t="str">
        <f t="shared" si="47"/>
        <v>High</v>
      </c>
      <c r="GE8" s="196">
        <f>COUNTIF($GD$2:$GD$92, GD8)/(COUNTIF($GD$2:$GD$92, "&lt;&gt;""") - COUNTIF($GD$2:$GD$92, ""))</f>
        <v>0.8</v>
      </c>
      <c r="GF8" s="207"/>
      <c r="GG8" s="36"/>
      <c r="GH8" s="209" t="e">
        <f t="shared" ca="1" si="48"/>
        <v>#NAME?</v>
      </c>
      <c r="GI8" s="212" t="e">
        <f t="shared" ca="1" si="49"/>
        <v>#NAME?</v>
      </c>
    </row>
    <row r="9" spans="1:191" ht="15.75" customHeight="1">
      <c r="A9" s="29" t="s">
        <v>156</v>
      </c>
      <c r="B9" s="29" t="s">
        <v>355</v>
      </c>
      <c r="C9" s="30">
        <v>1799979</v>
      </c>
      <c r="D9" s="29" t="s">
        <v>706</v>
      </c>
      <c r="E9" s="31"/>
      <c r="F9" s="29" t="s">
        <v>329</v>
      </c>
      <c r="G9" s="32" t="s">
        <v>707</v>
      </c>
      <c r="H9" s="32" t="s">
        <v>708</v>
      </c>
      <c r="I9" s="33">
        <v>43941</v>
      </c>
      <c r="J9" s="29" t="s">
        <v>709</v>
      </c>
      <c r="K9" s="29" t="s">
        <v>706</v>
      </c>
      <c r="L9" s="16" t="s">
        <v>710</v>
      </c>
      <c r="M9" s="29" t="s">
        <v>327</v>
      </c>
      <c r="N9" s="29" t="s">
        <v>168</v>
      </c>
      <c r="O9" s="29" t="s">
        <v>30</v>
      </c>
      <c r="P9" s="29" t="s">
        <v>174</v>
      </c>
      <c r="Q9" s="29" t="s">
        <v>35</v>
      </c>
      <c r="R9" s="176"/>
      <c r="S9" s="29" t="s">
        <v>269</v>
      </c>
      <c r="T9" s="177"/>
      <c r="U9" s="178"/>
      <c r="V9" s="55"/>
      <c r="W9" s="200">
        <v>4000000</v>
      </c>
      <c r="X9" s="201">
        <v>0</v>
      </c>
      <c r="Y9" s="55">
        <f t="shared" si="53"/>
        <v>4000000</v>
      </c>
      <c r="Z9" s="274">
        <f t="shared" si="0"/>
        <v>4000000</v>
      </c>
      <c r="AA9" s="183" t="e">
        <f t="shared" ca="1" si="1"/>
        <v>#NAME?</v>
      </c>
      <c r="AB9" s="29" t="s">
        <v>36</v>
      </c>
      <c r="AC9" s="29" t="s">
        <v>179</v>
      </c>
      <c r="AD9" s="29" t="s">
        <v>38</v>
      </c>
      <c r="AE9" s="29" t="s">
        <v>190</v>
      </c>
      <c r="AF9" s="29" t="s">
        <v>39</v>
      </c>
      <c r="AG9" s="29" t="s">
        <v>181</v>
      </c>
      <c r="AH9" s="29" t="s">
        <v>190</v>
      </c>
      <c r="AI9" s="16" t="s">
        <v>711</v>
      </c>
      <c r="AJ9" s="277">
        <v>4500000000</v>
      </c>
      <c r="AK9" s="30" t="s">
        <v>282</v>
      </c>
      <c r="AL9" s="277">
        <v>200000000</v>
      </c>
      <c r="AM9" s="30" t="s">
        <v>302</v>
      </c>
      <c r="AN9" s="277">
        <v>0.2</v>
      </c>
      <c r="AO9" s="185" t="e">
        <f t="shared" ca="1" si="2"/>
        <v>#NAME?</v>
      </c>
      <c r="AP9" s="30" t="s">
        <v>228</v>
      </c>
      <c r="AQ9" s="29" t="s">
        <v>39</v>
      </c>
      <c r="AR9" s="29" t="s">
        <v>181</v>
      </c>
      <c r="AS9" s="29" t="s">
        <v>42</v>
      </c>
      <c r="AT9" s="29" t="s">
        <v>181</v>
      </c>
      <c r="AU9" s="29" t="s">
        <v>181</v>
      </c>
      <c r="AV9" s="29" t="s">
        <v>190</v>
      </c>
      <c r="AW9" s="29" t="s">
        <v>190</v>
      </c>
      <c r="AX9" s="29" t="s">
        <v>227</v>
      </c>
      <c r="AY9" s="29" t="s">
        <v>227</v>
      </c>
      <c r="AZ9" s="179">
        <v>55724</v>
      </c>
      <c r="BA9" s="55" t="e">
        <f t="shared" ca="1" si="54"/>
        <v>#NAME?</v>
      </c>
      <c r="BB9" s="277">
        <v>12734.41</v>
      </c>
      <c r="BC9" s="277">
        <v>0</v>
      </c>
      <c r="BD9" s="62" t="e">
        <f t="shared" ca="1" si="55"/>
        <v>#NAME?</v>
      </c>
      <c r="BE9" s="277">
        <f t="shared" si="56"/>
        <v>1</v>
      </c>
      <c r="BF9" s="62" t="e">
        <f t="shared" ca="1" si="57"/>
        <v>#NAME?</v>
      </c>
      <c r="BG9" s="29" t="s">
        <v>202</v>
      </c>
      <c r="BH9" s="176"/>
      <c r="BI9" s="29" t="s">
        <v>227</v>
      </c>
      <c r="BJ9" s="30">
        <v>3</v>
      </c>
      <c r="BK9" s="277">
        <v>2</v>
      </c>
      <c r="BL9" s="29" t="s">
        <v>190</v>
      </c>
      <c r="BM9" s="29" t="s">
        <v>227</v>
      </c>
      <c r="BN9" s="29" t="s">
        <v>227</v>
      </c>
      <c r="BO9" s="29" t="s">
        <v>190</v>
      </c>
      <c r="BP9" s="30">
        <v>3</v>
      </c>
      <c r="BQ9" s="30">
        <v>2</v>
      </c>
      <c r="BR9" s="30">
        <v>3</v>
      </c>
      <c r="BS9" s="30">
        <v>0</v>
      </c>
      <c r="BT9" s="203"/>
      <c r="BU9" s="30">
        <v>10</v>
      </c>
      <c r="BV9" s="30">
        <v>0</v>
      </c>
      <c r="BW9" s="30">
        <v>33</v>
      </c>
      <c r="BX9" s="29" t="s">
        <v>190</v>
      </c>
      <c r="BY9" s="203"/>
      <c r="BZ9" s="30">
        <v>10</v>
      </c>
      <c r="CA9" s="30">
        <v>0</v>
      </c>
      <c r="CB9" s="30">
        <v>38</v>
      </c>
      <c r="CC9" s="29" t="s">
        <v>190</v>
      </c>
      <c r="CD9" s="203"/>
      <c r="CE9" s="57"/>
      <c r="CF9" s="57"/>
      <c r="CG9" s="57"/>
      <c r="CH9" s="57"/>
      <c r="CI9" s="203"/>
      <c r="CJ9" s="57"/>
      <c r="CK9" s="57"/>
      <c r="CL9" s="57"/>
      <c r="CM9" s="57"/>
      <c r="CN9" s="203"/>
      <c r="CO9" s="186"/>
      <c r="CP9" s="186"/>
      <c r="CQ9" s="186"/>
      <c r="CR9" s="57"/>
      <c r="CS9" s="203"/>
      <c r="CT9" s="186"/>
      <c r="CU9" s="186"/>
      <c r="CV9" s="186"/>
      <c r="CW9" s="57"/>
      <c r="CX9" s="203"/>
      <c r="CY9" s="186"/>
      <c r="CZ9" s="186"/>
      <c r="DA9" s="186"/>
      <c r="DB9" s="57"/>
      <c r="DC9" s="203"/>
      <c r="DD9" s="186"/>
      <c r="DE9" s="186"/>
      <c r="DF9" s="186"/>
      <c r="DG9" s="57"/>
      <c r="DH9" s="203"/>
      <c r="DI9" s="186"/>
      <c r="DJ9" s="186"/>
      <c r="DK9" s="186"/>
      <c r="DL9" s="57"/>
      <c r="DM9" s="204"/>
      <c r="DN9" s="205"/>
      <c r="DO9" s="205"/>
      <c r="DQ9" s="206"/>
      <c r="DR9" s="188">
        <f t="shared" si="5"/>
        <v>10</v>
      </c>
      <c r="DS9" s="188"/>
      <c r="DT9" s="189">
        <f t="shared" si="6"/>
        <v>0</v>
      </c>
      <c r="DU9" s="189"/>
      <c r="DV9" s="188">
        <f t="shared" si="7"/>
        <v>35.5</v>
      </c>
      <c r="DW9" s="183" t="e">
        <f t="shared" ca="1" si="8"/>
        <v>#NAME?</v>
      </c>
      <c r="DX9" s="207"/>
      <c r="DY9" s="190" t="e">
        <f t="shared" ca="1" si="9"/>
        <v>#NAME?</v>
      </c>
      <c r="DZ9" s="191">
        <f t="shared" si="10"/>
        <v>1</v>
      </c>
      <c r="EA9" s="191" t="str">
        <f t="shared" si="11"/>
        <v/>
      </c>
      <c r="EB9" s="191" t="str">
        <f t="shared" si="12"/>
        <v/>
      </c>
      <c r="EC9" s="208" t="e">
        <f t="shared" ca="1" si="13"/>
        <v>#NAME?</v>
      </c>
      <c r="ED9" s="36" t="str">
        <f t="shared" si="14"/>
        <v>SAFE</v>
      </c>
      <c r="EE9" s="193">
        <f>COUNTIF($ED$2:$ED$92, ED9)/(COUNTIF($ED$2:$ED$92, "&lt;&gt;""") - COUNTIF($ED$2:$ED$92, ""))</f>
        <v>0.37777777777777777</v>
      </c>
      <c r="EF9" s="36" t="str">
        <f t="shared" si="15"/>
        <v>Early</v>
      </c>
      <c r="EG9" s="207"/>
      <c r="EH9" s="194" t="e">
        <f t="shared" ca="1" si="16"/>
        <v>#NAME?</v>
      </c>
      <c r="EI9" s="194" t="e">
        <f t="shared" ca="1" si="17"/>
        <v>#NAME?</v>
      </c>
      <c r="EJ9" s="209" t="e">
        <f t="shared" ca="1" si="18"/>
        <v>#NAME?</v>
      </c>
      <c r="EK9" s="208" t="e">
        <f t="shared" ca="1" si="19"/>
        <v>#NAME?</v>
      </c>
      <c r="EL9" s="36" t="str">
        <f t="shared" si="20"/>
        <v>No</v>
      </c>
      <c r="EM9" s="207"/>
      <c r="EN9" s="192">
        <f t="shared" si="21"/>
        <v>1.9523809523809523</v>
      </c>
      <c r="EO9" s="192">
        <f t="shared" si="22"/>
        <v>1</v>
      </c>
      <c r="EP9" s="209">
        <f t="shared" si="23"/>
        <v>2.9523809523809526</v>
      </c>
      <c r="EQ9" s="210">
        <f t="shared" si="24"/>
        <v>1.7476635514018692</v>
      </c>
      <c r="ER9" s="36" t="e">
        <f t="shared" ca="1" si="25"/>
        <v>#NAME?</v>
      </c>
      <c r="ES9" s="40">
        <f ca="1">COUNTIF($ER$2:$ER$92, ER9)/(COUNTIF($ER$2:$ER$92, "&lt;&gt;""") - COUNTIF($ER$2:$ER$92, ""))</f>
        <v>1</v>
      </c>
      <c r="ET9" s="36">
        <f t="shared" si="26"/>
        <v>2</v>
      </c>
      <c r="EU9" s="40">
        <f>COUNTIF($ET$2:$ET$92, ET9)/(COUNTIF($ET$2:$ET$92, "&lt;&gt;""") - COUNTIF($ET$2:$ET$92, ""))</f>
        <v>0.45555555555555555</v>
      </c>
      <c r="EV9" s="36">
        <f t="shared" si="27"/>
        <v>2</v>
      </c>
      <c r="EW9" s="40">
        <f>COUNTIF($EV$2:$EV$92, EV9)/(COUNTIF($EV$2:$EV$92, "&lt;&gt;""") - COUNTIF($EV$2:$EV$92, ""))</f>
        <v>0.15555555555555556</v>
      </c>
      <c r="EX9" s="36" t="str">
        <f t="shared" si="28"/>
        <v>No</v>
      </c>
      <c r="EY9" s="40">
        <f>COUNTIF($EX$2:$EX$92, EX9)/(COUNTIF($EX$2:$EX$92, "&lt;&gt;""") - COUNTIF($EX$2:$EX$92, ""))</f>
        <v>0.72222222222222221</v>
      </c>
      <c r="EZ9" s="36" t="str">
        <f t="shared" ref="EZ9:FB9" si="59">BM9</f>
        <v>Yes</v>
      </c>
      <c r="FA9" s="36" t="str">
        <f t="shared" si="59"/>
        <v>Yes</v>
      </c>
      <c r="FB9" s="36" t="str">
        <f t="shared" si="59"/>
        <v>No</v>
      </c>
      <c r="FC9" s="207"/>
      <c r="FD9" s="36" t="str">
        <f t="shared" si="30"/>
        <v>Transactional</v>
      </c>
      <c r="FE9" s="40">
        <f>COUNTIF($FD$2:$FD$92, FD9)/(COUNTIF($FD$2:$FD$92, "&lt;&gt;""") - COUNTIF($FD$2:$FD$92, ""))</f>
        <v>0.6</v>
      </c>
      <c r="FF9" s="36" t="str">
        <f t="shared" si="31"/>
        <v>B2C</v>
      </c>
      <c r="FG9" s="40">
        <f>COUNTIF($FF$2:$FF$92, FF9)/(COUNTIF($FF$2:$FF$92, "&lt;&gt;""") - COUNTIF($FF$2:$FF$92, ""))</f>
        <v>0.41111111111111109</v>
      </c>
      <c r="FH9" s="36" t="str">
        <f t="shared" si="32"/>
        <v>High</v>
      </c>
      <c r="FI9" s="40">
        <f>COUNTIF($FH$2:$FH$92, FH9)/(COUNTIF($FH$2:$FH$92, "&lt;&gt;""") - COUNTIF($FH$2:$FH$92, ""))</f>
        <v>0.53333333333333333</v>
      </c>
      <c r="FJ9" s="36" t="str">
        <f t="shared" si="33"/>
        <v>Low</v>
      </c>
      <c r="FK9" s="40">
        <f>COUNTIF($FJ$2:$FJ$92, FJ9)/(COUNTIF($FJ$2:$FJ$92, "&lt;&gt;""") - COUNTIF($FJ$2:$FJ$92, ""))</f>
        <v>0.41111111111111109</v>
      </c>
      <c r="FL9" s="207"/>
      <c r="FM9" s="192">
        <f t="shared" si="34"/>
        <v>5</v>
      </c>
      <c r="FN9" s="192" t="e">
        <f t="shared" ca="1" si="35"/>
        <v>#NAME?</v>
      </c>
      <c r="FO9" s="192" t="e">
        <f t="shared" ca="1" si="36"/>
        <v>#NAME?</v>
      </c>
      <c r="FP9" s="192" t="e">
        <f t="shared" ca="1" si="37"/>
        <v>#NAME?</v>
      </c>
      <c r="FQ9" s="209" t="e">
        <f t="shared" ca="1" si="38"/>
        <v>#NAME?</v>
      </c>
      <c r="FR9" s="208" t="e">
        <f t="shared" ca="1" si="39"/>
        <v>#NAME?</v>
      </c>
      <c r="FS9" s="36" t="str">
        <f t="shared" si="40"/>
        <v>Pre-Profit</v>
      </c>
      <c r="FT9" s="196">
        <f>COUNTIF($FS$2:$FS$92, FS9)/(COUNTIF($FS$2:$FS$92, "&lt;&gt;""") - COUNTIF($FZ$2:$FZ$92, ""))</f>
        <v>0.51111111111111107</v>
      </c>
      <c r="FU9" s="207"/>
      <c r="FV9" s="192">
        <f t="shared" si="41"/>
        <v>3</v>
      </c>
      <c r="FW9" s="197" t="e">
        <f t="shared" ca="1" si="42"/>
        <v>#NAME?</v>
      </c>
      <c r="FX9" s="209" t="e">
        <f t="shared" ca="1" si="43"/>
        <v>#NAME?</v>
      </c>
      <c r="FY9" s="211" t="e">
        <f t="shared" ca="1" si="44"/>
        <v>#NAME?</v>
      </c>
      <c r="FZ9" s="36" t="str">
        <f t="shared" si="45"/>
        <v>No</v>
      </c>
      <c r="GA9" s="196">
        <f>COUNTIF($FZ$2:$FZ$92, FZ9)/(COUNTIF($FZ$2:$FZ$92, "&lt;&gt;""") - COUNTIF($FZ$2:$FZ$92, ""))</f>
        <v>0.76666666666666672</v>
      </c>
      <c r="GB9" s="196" t="str">
        <f t="shared" si="46"/>
        <v>Low</v>
      </c>
      <c r="GC9" s="196">
        <f>COUNTIF($GB$2:$GB$92, GB9)/(COUNTIF($GB$2:$GB$92, "&lt;&gt;""") - COUNTIF($GB$2:$GB$92, ""))</f>
        <v>0.55555555555555558</v>
      </c>
      <c r="GD9" s="196" t="str">
        <f t="shared" si="47"/>
        <v>Low</v>
      </c>
      <c r="GE9" s="196">
        <f>COUNTIF($GD$2:$GD$92, GD9)/(COUNTIF($GD$2:$GD$92, "&lt;&gt;""") - COUNTIF($GD$2:$GD$92, ""))</f>
        <v>0.18888888888888888</v>
      </c>
      <c r="GF9" s="207"/>
      <c r="GG9" s="36"/>
      <c r="GH9" s="209" t="e">
        <f t="shared" ca="1" si="48"/>
        <v>#NAME?</v>
      </c>
      <c r="GI9" s="212" t="e">
        <f t="shared" ca="1" si="49"/>
        <v>#NAME?</v>
      </c>
    </row>
    <row r="10" spans="1:191" ht="15.75" customHeight="1">
      <c r="A10" s="29" t="s">
        <v>156</v>
      </c>
      <c r="B10" s="29" t="s">
        <v>355</v>
      </c>
      <c r="C10" s="30">
        <v>1793813</v>
      </c>
      <c r="D10" s="29" t="s">
        <v>712</v>
      </c>
      <c r="E10" s="31"/>
      <c r="F10" s="29" t="s">
        <v>329</v>
      </c>
      <c r="G10" s="32" t="s">
        <v>713</v>
      </c>
      <c r="H10" s="32" t="s">
        <v>714</v>
      </c>
      <c r="I10" s="33">
        <v>43941</v>
      </c>
      <c r="J10" s="29" t="s">
        <v>715</v>
      </c>
      <c r="K10" s="29" t="s">
        <v>712</v>
      </c>
      <c r="L10" s="16" t="s">
        <v>716</v>
      </c>
      <c r="M10" s="29" t="s">
        <v>253</v>
      </c>
      <c r="N10" s="29" t="s">
        <v>244</v>
      </c>
      <c r="O10" s="29" t="s">
        <v>30</v>
      </c>
      <c r="P10" s="29" t="s">
        <v>174</v>
      </c>
      <c r="Q10" s="29" t="s">
        <v>35</v>
      </c>
      <c r="R10" s="176"/>
      <c r="S10" s="29" t="s">
        <v>269</v>
      </c>
      <c r="T10" s="177"/>
      <c r="U10" s="178"/>
      <c r="V10" s="55"/>
      <c r="W10" s="200">
        <v>5000000</v>
      </c>
      <c r="X10" s="201">
        <v>0.15</v>
      </c>
      <c r="Y10" s="55">
        <f t="shared" si="53"/>
        <v>4250000</v>
      </c>
      <c r="Z10" s="274">
        <f t="shared" si="0"/>
        <v>4250000</v>
      </c>
      <c r="AA10" s="183" t="e">
        <f t="shared" ca="1" si="1"/>
        <v>#NAME?</v>
      </c>
      <c r="AB10" s="29" t="s">
        <v>178</v>
      </c>
      <c r="AC10" s="29" t="s">
        <v>179</v>
      </c>
      <c r="AD10" s="29" t="s">
        <v>180</v>
      </c>
      <c r="AE10" s="29" t="s">
        <v>227</v>
      </c>
      <c r="AF10" s="29" t="s">
        <v>181</v>
      </c>
      <c r="AG10" s="29" t="s">
        <v>181</v>
      </c>
      <c r="AH10" s="29" t="s">
        <v>227</v>
      </c>
      <c r="AI10" s="16" t="s">
        <v>718</v>
      </c>
      <c r="AJ10" s="277">
        <v>80000000000</v>
      </c>
      <c r="AK10" s="30" t="s">
        <v>236</v>
      </c>
      <c r="AL10" s="277">
        <v>300000000</v>
      </c>
      <c r="AM10" s="30" t="s">
        <v>297</v>
      </c>
      <c r="AN10" s="277">
        <v>0.15</v>
      </c>
      <c r="AO10" s="185" t="e">
        <f t="shared" ca="1" si="2"/>
        <v>#NAME?</v>
      </c>
      <c r="AP10" s="202" t="s">
        <v>228</v>
      </c>
      <c r="AQ10" s="29" t="s">
        <v>39</v>
      </c>
      <c r="AR10" s="29" t="s">
        <v>181</v>
      </c>
      <c r="AS10" s="29" t="s">
        <v>182</v>
      </c>
      <c r="AT10" s="29" t="s">
        <v>181</v>
      </c>
      <c r="AU10" s="29" t="s">
        <v>39</v>
      </c>
      <c r="AV10" s="29" t="s">
        <v>190</v>
      </c>
      <c r="AW10" s="29" t="s">
        <v>190</v>
      </c>
      <c r="AX10" s="29" t="s">
        <v>227</v>
      </c>
      <c r="AY10" s="29" t="s">
        <v>227</v>
      </c>
      <c r="AZ10" s="179">
        <v>3370</v>
      </c>
      <c r="BA10" s="55" t="e">
        <f t="shared" ca="1" si="54"/>
        <v>#NAME?</v>
      </c>
      <c r="BB10" s="277">
        <v>2116.41</v>
      </c>
      <c r="BC10" s="277">
        <v>0</v>
      </c>
      <c r="BD10" s="62" t="e">
        <f t="shared" ca="1" si="55"/>
        <v>#NAME?</v>
      </c>
      <c r="BE10" s="277">
        <f t="shared" si="56"/>
        <v>1</v>
      </c>
      <c r="BF10" s="62" t="e">
        <f t="shared" ca="1" si="57"/>
        <v>#NAME?</v>
      </c>
      <c r="BG10" s="29" t="s">
        <v>202</v>
      </c>
      <c r="BH10" s="176"/>
      <c r="BI10" s="29" t="s">
        <v>227</v>
      </c>
      <c r="BJ10" s="30">
        <v>3</v>
      </c>
      <c r="BK10" s="277">
        <v>1</v>
      </c>
      <c r="BL10" s="29" t="s">
        <v>190</v>
      </c>
      <c r="BM10" s="29" t="s">
        <v>190</v>
      </c>
      <c r="BN10" s="29" t="s">
        <v>227</v>
      </c>
      <c r="BO10" s="29" t="s">
        <v>190</v>
      </c>
      <c r="BP10" s="30">
        <v>2</v>
      </c>
      <c r="BQ10" s="30">
        <v>1</v>
      </c>
      <c r="BR10" s="30">
        <v>8</v>
      </c>
      <c r="BS10" s="30">
        <v>0</v>
      </c>
      <c r="BT10" s="203"/>
      <c r="BU10" s="30">
        <v>1</v>
      </c>
      <c r="BV10" s="30">
        <v>0</v>
      </c>
      <c r="BW10" s="30">
        <v>30</v>
      </c>
      <c r="BX10" s="29" t="s">
        <v>190</v>
      </c>
      <c r="BY10" s="203"/>
      <c r="BZ10" s="186"/>
      <c r="CA10" s="186"/>
      <c r="CB10" s="186"/>
      <c r="CC10" s="57"/>
      <c r="CD10" s="203"/>
      <c r="CE10" s="57"/>
      <c r="CF10" s="57"/>
      <c r="CG10" s="57"/>
      <c r="CH10" s="57"/>
      <c r="CI10" s="203"/>
      <c r="CJ10" s="57"/>
      <c r="CK10" s="57"/>
      <c r="CL10" s="57"/>
      <c r="CM10" s="57"/>
      <c r="CN10" s="203"/>
      <c r="CO10" s="186"/>
      <c r="CP10" s="186"/>
      <c r="CQ10" s="186"/>
      <c r="CR10" s="57"/>
      <c r="CS10" s="203"/>
      <c r="CT10" s="186"/>
      <c r="CU10" s="186"/>
      <c r="CV10" s="186"/>
      <c r="CW10" s="57"/>
      <c r="CX10" s="203"/>
      <c r="CY10" s="186"/>
      <c r="CZ10" s="186"/>
      <c r="DA10" s="186"/>
      <c r="DB10" s="57"/>
      <c r="DC10" s="203"/>
      <c r="DD10" s="186"/>
      <c r="DE10" s="186"/>
      <c r="DF10" s="186"/>
      <c r="DG10" s="57"/>
      <c r="DH10" s="203"/>
      <c r="DI10" s="186"/>
      <c r="DJ10" s="186"/>
      <c r="DK10" s="186"/>
      <c r="DL10" s="57"/>
      <c r="DM10" s="204"/>
      <c r="DN10" s="205"/>
      <c r="DO10" s="205"/>
      <c r="DQ10" s="206"/>
      <c r="DR10" s="188">
        <f t="shared" si="5"/>
        <v>1</v>
      </c>
      <c r="DS10" s="188"/>
      <c r="DT10" s="189">
        <f t="shared" si="6"/>
        <v>0</v>
      </c>
      <c r="DU10" s="189"/>
      <c r="DV10" s="188">
        <f t="shared" si="7"/>
        <v>30</v>
      </c>
      <c r="DW10" s="183" t="e">
        <f t="shared" ca="1" si="8"/>
        <v>#NAME?</v>
      </c>
      <c r="DX10" s="207"/>
      <c r="DY10" s="190" t="e">
        <f t="shared" ca="1" si="9"/>
        <v>#NAME?</v>
      </c>
      <c r="DZ10" s="191">
        <f t="shared" si="10"/>
        <v>2.5789473684210527</v>
      </c>
      <c r="EA10" s="191" t="str">
        <f t="shared" si="11"/>
        <v/>
      </c>
      <c r="EB10" s="191" t="str">
        <f t="shared" si="12"/>
        <v/>
      </c>
      <c r="EC10" s="208" t="e">
        <f t="shared" ca="1" si="13"/>
        <v>#NAME?</v>
      </c>
      <c r="ED10" s="36" t="str">
        <f t="shared" si="14"/>
        <v>SAFE</v>
      </c>
      <c r="EE10" s="193">
        <f>COUNTIF($ED$2:$ED$92, ED10)/(COUNTIF($ED$2:$ED$92, "&lt;&gt;""") - COUNTIF($ED$2:$ED$92, ""))</f>
        <v>0.37777777777777777</v>
      </c>
      <c r="EF10" s="36" t="str">
        <f t="shared" si="15"/>
        <v>Early</v>
      </c>
      <c r="EG10" s="207"/>
      <c r="EH10" s="194" t="e">
        <f t="shared" ca="1" si="16"/>
        <v>#NAME?</v>
      </c>
      <c r="EI10" s="194" t="e">
        <f t="shared" ca="1" si="17"/>
        <v>#NAME?</v>
      </c>
      <c r="EJ10" s="209" t="e">
        <f t="shared" ca="1" si="18"/>
        <v>#NAME?</v>
      </c>
      <c r="EK10" s="208" t="e">
        <f t="shared" ca="1" si="19"/>
        <v>#NAME?</v>
      </c>
      <c r="EL10" s="36" t="str">
        <f t="shared" si="20"/>
        <v>No</v>
      </c>
      <c r="EM10" s="207"/>
      <c r="EN10" s="192">
        <f t="shared" si="21"/>
        <v>1.0952380952380953</v>
      </c>
      <c r="EO10" s="192">
        <f t="shared" si="22"/>
        <v>1</v>
      </c>
      <c r="EP10" s="209">
        <f t="shared" si="23"/>
        <v>2.0952380952380953</v>
      </c>
      <c r="EQ10" s="210">
        <f t="shared" si="24"/>
        <v>1.0747663551401869</v>
      </c>
      <c r="ER10" s="36" t="e">
        <f t="shared" ca="1" si="25"/>
        <v>#NAME?</v>
      </c>
      <c r="ES10" s="40">
        <f ca="1">COUNTIF($ER$2:$ER$92, ER10)/(COUNTIF($ER$2:$ER$92, "&lt;&gt;""") - COUNTIF($ER$2:$ER$92, ""))</f>
        <v>1</v>
      </c>
      <c r="ET10" s="36">
        <f t="shared" si="26"/>
        <v>1</v>
      </c>
      <c r="EU10" s="40">
        <f>COUNTIF($ET$2:$ET$92, ET10)/(COUNTIF($ET$2:$ET$92, "&lt;&gt;""") - COUNTIF($ET$2:$ET$92, ""))</f>
        <v>0.45555555555555555</v>
      </c>
      <c r="EV10" s="36">
        <f t="shared" si="27"/>
        <v>1</v>
      </c>
      <c r="EW10" s="40">
        <f>COUNTIF($EV$2:$EV$92, EV10)/(COUNTIF($EV$2:$EV$92, "&lt;&gt;""") - COUNTIF($EV$2:$EV$92, ""))</f>
        <v>7.7777777777777779E-2</v>
      </c>
      <c r="EX10" s="36" t="str">
        <f t="shared" si="28"/>
        <v>No</v>
      </c>
      <c r="EY10" s="40">
        <f>COUNTIF($EX$2:$EX$92, EX10)/(COUNTIF($EX$2:$EX$92, "&lt;&gt;""") - COUNTIF($EX$2:$EX$92, ""))</f>
        <v>0.72222222222222221</v>
      </c>
      <c r="EZ10" s="36" t="str">
        <f t="shared" ref="EZ10:FB10" si="60">BM10</f>
        <v>No</v>
      </c>
      <c r="FA10" s="36" t="str">
        <f t="shared" si="60"/>
        <v>Yes</v>
      </c>
      <c r="FB10" s="36" t="str">
        <f t="shared" si="60"/>
        <v>No</v>
      </c>
      <c r="FC10" s="207"/>
      <c r="FD10" s="36" t="str">
        <f t="shared" si="30"/>
        <v>Recurring</v>
      </c>
      <c r="FE10" s="40">
        <f>COUNTIF($FD$2:$FD$92, FD10)/(COUNTIF($FD$2:$FD$92, "&lt;&gt;""") - COUNTIF($FD$2:$FD$92, ""))</f>
        <v>0.4</v>
      </c>
      <c r="FF10" s="36" t="str">
        <f t="shared" si="31"/>
        <v>B2C</v>
      </c>
      <c r="FG10" s="40">
        <f>COUNTIF($FF$2:$FF$92, FF10)/(COUNTIF($FF$2:$FF$92, "&lt;&gt;""") - COUNTIF($FF$2:$FF$92, ""))</f>
        <v>0.41111111111111109</v>
      </c>
      <c r="FH10" s="36" t="str">
        <f t="shared" si="32"/>
        <v>Low</v>
      </c>
      <c r="FI10" s="40">
        <f>COUNTIF($FH$2:$FH$92, FH10)/(COUNTIF($FH$2:$FH$92, "&lt;&gt;""") - COUNTIF($FH$2:$FH$92, ""))</f>
        <v>0.46666666666666667</v>
      </c>
      <c r="FJ10" s="36" t="str">
        <f t="shared" si="33"/>
        <v>Low</v>
      </c>
      <c r="FK10" s="40">
        <f>COUNTIF($FJ$2:$FJ$92, FJ10)/(COUNTIF($FJ$2:$FJ$92, "&lt;&gt;""") - COUNTIF($FJ$2:$FJ$92, ""))</f>
        <v>0.41111111111111109</v>
      </c>
      <c r="FL10" s="207"/>
      <c r="FM10" s="192">
        <f t="shared" si="34"/>
        <v>5</v>
      </c>
      <c r="FN10" s="192" t="e">
        <f t="shared" ca="1" si="35"/>
        <v>#NAME?</v>
      </c>
      <c r="FO10" s="192" t="e">
        <f t="shared" ca="1" si="36"/>
        <v>#NAME?</v>
      </c>
      <c r="FP10" s="192" t="e">
        <f t="shared" ca="1" si="37"/>
        <v>#NAME?</v>
      </c>
      <c r="FQ10" s="209" t="e">
        <f t="shared" ca="1" si="38"/>
        <v>#NAME?</v>
      </c>
      <c r="FR10" s="208" t="e">
        <f t="shared" ca="1" si="39"/>
        <v>#NAME?</v>
      </c>
      <c r="FS10" s="36" t="str">
        <f t="shared" si="40"/>
        <v>Pre-Profit</v>
      </c>
      <c r="FT10" s="196">
        <f>COUNTIF($FS$2:$FS$92, FS10)/(COUNTIF($FS$2:$FS$92, "&lt;&gt;""") - COUNTIF($FZ$2:$FZ$92, ""))</f>
        <v>0.51111111111111107</v>
      </c>
      <c r="FU10" s="207"/>
      <c r="FV10" s="192">
        <f t="shared" si="41"/>
        <v>3</v>
      </c>
      <c r="FW10" s="197" t="e">
        <f t="shared" ca="1" si="42"/>
        <v>#NAME?</v>
      </c>
      <c r="FX10" s="209" t="e">
        <f t="shared" ca="1" si="43"/>
        <v>#NAME?</v>
      </c>
      <c r="FY10" s="211" t="e">
        <f t="shared" ca="1" si="44"/>
        <v>#NAME?</v>
      </c>
      <c r="FZ10" s="36" t="str">
        <f t="shared" si="45"/>
        <v>No</v>
      </c>
      <c r="GA10" s="196">
        <f>COUNTIF($FZ$2:$FZ$92, FZ10)/(COUNTIF($FZ$2:$FZ$92, "&lt;&gt;""") - COUNTIF($FZ$2:$FZ$92, ""))</f>
        <v>0.76666666666666672</v>
      </c>
      <c r="GB10" s="196" t="str">
        <f t="shared" si="46"/>
        <v>Low</v>
      </c>
      <c r="GC10" s="196">
        <f>COUNTIF($GB$2:$GB$92, GB10)/(COUNTIF($GB$2:$GB$92, "&lt;&gt;""") - COUNTIF($GB$2:$GB$92, ""))</f>
        <v>0.55555555555555558</v>
      </c>
      <c r="GD10" s="196" t="str">
        <f t="shared" si="47"/>
        <v>High</v>
      </c>
      <c r="GE10" s="196">
        <f>COUNTIF($GD$2:$GD$92, GD10)/(COUNTIF($GD$2:$GD$92, "&lt;&gt;""") - COUNTIF($GD$2:$GD$92, ""))</f>
        <v>0.8</v>
      </c>
      <c r="GF10" s="207"/>
      <c r="GG10" s="36"/>
      <c r="GH10" s="209" t="e">
        <f t="shared" ca="1" si="48"/>
        <v>#NAME?</v>
      </c>
      <c r="GI10" s="212" t="e">
        <f t="shared" ca="1" si="49"/>
        <v>#NAME?</v>
      </c>
    </row>
    <row r="11" spans="1:191" ht="15.75" customHeight="1">
      <c r="A11" s="29" t="s">
        <v>156</v>
      </c>
      <c r="B11" s="29" t="s">
        <v>355</v>
      </c>
      <c r="C11" s="30">
        <v>1808106</v>
      </c>
      <c r="D11" s="29" t="s">
        <v>720</v>
      </c>
      <c r="E11" s="31"/>
      <c r="F11" s="29" t="s">
        <v>337</v>
      </c>
      <c r="G11" s="32" t="s">
        <v>721</v>
      </c>
      <c r="H11" s="32" t="s">
        <v>722</v>
      </c>
      <c r="I11" s="33">
        <v>43941</v>
      </c>
      <c r="J11" s="29" t="s">
        <v>723</v>
      </c>
      <c r="K11" s="29" t="s">
        <v>720</v>
      </c>
      <c r="L11" s="16" t="s">
        <v>724</v>
      </c>
      <c r="M11" s="29" t="s">
        <v>253</v>
      </c>
      <c r="N11" s="29" t="s">
        <v>315</v>
      </c>
      <c r="O11" s="29" t="s">
        <v>30</v>
      </c>
      <c r="P11" s="29" t="s">
        <v>174</v>
      </c>
      <c r="Q11" s="29" t="s">
        <v>35</v>
      </c>
      <c r="R11" s="176"/>
      <c r="S11" s="29" t="s">
        <v>216</v>
      </c>
      <c r="T11" s="177"/>
      <c r="U11" s="178"/>
      <c r="V11" s="179">
        <v>4500000</v>
      </c>
      <c r="W11" s="180"/>
      <c r="X11" s="181"/>
      <c r="Y11" s="55"/>
      <c r="Z11" s="274">
        <f t="shared" si="0"/>
        <v>4500000</v>
      </c>
      <c r="AA11" s="183" t="e">
        <f t="shared" ca="1" si="1"/>
        <v>#NAME?</v>
      </c>
      <c r="AB11" s="29" t="s">
        <v>36</v>
      </c>
      <c r="AC11" s="29" t="s">
        <v>200</v>
      </c>
      <c r="AD11" s="29" t="s">
        <v>38</v>
      </c>
      <c r="AE11" s="29" t="s">
        <v>190</v>
      </c>
      <c r="AF11" s="29" t="s">
        <v>181</v>
      </c>
      <c r="AG11" s="29" t="s">
        <v>181</v>
      </c>
      <c r="AH11" s="29" t="s">
        <v>190</v>
      </c>
      <c r="AI11" s="16" t="s">
        <v>725</v>
      </c>
      <c r="AJ11" s="277">
        <v>1000000000</v>
      </c>
      <c r="AK11" s="30" t="s">
        <v>282</v>
      </c>
      <c r="AL11" s="277">
        <v>500000000</v>
      </c>
      <c r="AM11" s="30" t="s">
        <v>290</v>
      </c>
      <c r="AN11" s="277">
        <v>0.05</v>
      </c>
      <c r="AO11" s="185" t="e">
        <f t="shared" ca="1" si="2"/>
        <v>#NAME?</v>
      </c>
      <c r="AP11" s="202" t="s">
        <v>264</v>
      </c>
      <c r="AQ11" s="29" t="s">
        <v>39</v>
      </c>
      <c r="AR11" s="29" t="s">
        <v>181</v>
      </c>
      <c r="AS11" s="29" t="s">
        <v>42</v>
      </c>
      <c r="AT11" s="29" t="s">
        <v>181</v>
      </c>
      <c r="AU11" s="29" t="s">
        <v>39</v>
      </c>
      <c r="AV11" s="29" t="s">
        <v>190</v>
      </c>
      <c r="AW11" s="29" t="s">
        <v>190</v>
      </c>
      <c r="AX11" s="29" t="s">
        <v>227</v>
      </c>
      <c r="AY11" s="29" t="s">
        <v>227</v>
      </c>
      <c r="AZ11" s="179">
        <v>367187</v>
      </c>
      <c r="BA11" s="55" t="e">
        <f t="shared" ca="1" si="54"/>
        <v>#NAME?</v>
      </c>
      <c r="BB11" s="277">
        <v>13896.83</v>
      </c>
      <c r="BC11" s="277">
        <v>0</v>
      </c>
      <c r="BD11" s="62" t="e">
        <f t="shared" ca="1" si="55"/>
        <v>#NAME?</v>
      </c>
      <c r="BE11" s="277">
        <f t="shared" si="56"/>
        <v>1</v>
      </c>
      <c r="BF11" s="62" t="e">
        <f t="shared" ca="1" si="57"/>
        <v>#NAME?</v>
      </c>
      <c r="BG11" s="29" t="s">
        <v>202</v>
      </c>
      <c r="BH11" s="176"/>
      <c r="BI11" s="29" t="s">
        <v>190</v>
      </c>
      <c r="BJ11" s="30">
        <v>0</v>
      </c>
      <c r="BK11" s="277">
        <v>1</v>
      </c>
      <c r="BL11" s="29" t="s">
        <v>190</v>
      </c>
      <c r="BM11" s="29" t="s">
        <v>227</v>
      </c>
      <c r="BN11" s="29" t="s">
        <v>190</v>
      </c>
      <c r="BO11" s="29" t="s">
        <v>190</v>
      </c>
      <c r="BP11" s="30">
        <v>1</v>
      </c>
      <c r="BQ11" s="30">
        <v>7</v>
      </c>
      <c r="BR11" s="30">
        <v>0</v>
      </c>
      <c r="BS11" s="30">
        <v>0</v>
      </c>
      <c r="BT11" s="203"/>
      <c r="BU11" s="30">
        <v>12</v>
      </c>
      <c r="BV11" s="30">
        <v>0</v>
      </c>
      <c r="BW11" s="30">
        <v>38</v>
      </c>
      <c r="BX11" s="29" t="s">
        <v>190</v>
      </c>
      <c r="BY11" s="203"/>
      <c r="BZ11" s="186"/>
      <c r="CA11" s="186"/>
      <c r="CB11" s="186"/>
      <c r="CC11" s="57"/>
      <c r="CD11" s="203"/>
      <c r="CE11" s="57"/>
      <c r="CF11" s="57"/>
      <c r="CG11" s="57"/>
      <c r="CH11" s="57"/>
      <c r="CI11" s="203"/>
      <c r="CJ11" s="57"/>
      <c r="CK11" s="57"/>
      <c r="CL11" s="57"/>
      <c r="CM11" s="57"/>
      <c r="CN11" s="203"/>
      <c r="CO11" s="186"/>
      <c r="CP11" s="186"/>
      <c r="CQ11" s="186"/>
      <c r="CR11" s="57"/>
      <c r="CS11" s="203"/>
      <c r="CT11" s="186"/>
      <c r="CU11" s="186"/>
      <c r="CV11" s="186"/>
      <c r="CW11" s="57"/>
      <c r="CX11" s="203"/>
      <c r="CY11" s="186"/>
      <c r="CZ11" s="186"/>
      <c r="DA11" s="186"/>
      <c r="DB11" s="57"/>
      <c r="DC11" s="203"/>
      <c r="DD11" s="186"/>
      <c r="DE11" s="186"/>
      <c r="DF11" s="186"/>
      <c r="DG11" s="57"/>
      <c r="DH11" s="203"/>
      <c r="DI11" s="186"/>
      <c r="DJ11" s="186"/>
      <c r="DK11" s="186"/>
      <c r="DL11" s="57"/>
      <c r="DM11" s="204"/>
      <c r="DN11" s="205"/>
      <c r="DO11" s="205"/>
      <c r="DQ11" s="206"/>
      <c r="DR11" s="188">
        <f t="shared" si="5"/>
        <v>12</v>
      </c>
      <c r="DS11" s="188"/>
      <c r="DT11" s="189">
        <f t="shared" si="6"/>
        <v>0</v>
      </c>
      <c r="DU11" s="189"/>
      <c r="DV11" s="188">
        <f t="shared" si="7"/>
        <v>38</v>
      </c>
      <c r="DW11" s="183" t="e">
        <f t="shared" ca="1" si="8"/>
        <v>#NAME?</v>
      </c>
      <c r="DX11" s="207"/>
      <c r="DY11" s="190" t="e">
        <f t="shared" ca="1" si="9"/>
        <v>#NAME?</v>
      </c>
      <c r="DZ11" s="191" t="str">
        <f t="shared" si="10"/>
        <v/>
      </c>
      <c r="EA11" s="191" t="str">
        <f t="shared" si="11"/>
        <v/>
      </c>
      <c r="EB11" s="191" t="str">
        <f t="shared" si="12"/>
        <v/>
      </c>
      <c r="EC11" s="208" t="e">
        <f t="shared" ca="1" si="13"/>
        <v>#NAME?</v>
      </c>
      <c r="ED11" s="36" t="str">
        <f t="shared" si="14"/>
        <v>Equity - Common</v>
      </c>
      <c r="EE11" s="193">
        <f>COUNTIF($ED$2:$ED$92, ED11)/(COUNTIF($ED$2:$ED$92, "&lt;&gt;""") - COUNTIF($ED$2:$ED$92, ""))</f>
        <v>0.32222222222222224</v>
      </c>
      <c r="EF11" s="36" t="str">
        <f t="shared" si="15"/>
        <v>Early</v>
      </c>
      <c r="EG11" s="207"/>
      <c r="EH11" s="194" t="e">
        <f t="shared" ca="1" si="16"/>
        <v>#NAME?</v>
      </c>
      <c r="EI11" s="194" t="e">
        <f t="shared" ca="1" si="17"/>
        <v>#NAME?</v>
      </c>
      <c r="EJ11" s="209" t="e">
        <f t="shared" ca="1" si="18"/>
        <v>#NAME?</v>
      </c>
      <c r="EK11" s="208" t="e">
        <f t="shared" ca="1" si="19"/>
        <v>#NAME?</v>
      </c>
      <c r="EL11" s="36" t="str">
        <f t="shared" si="20"/>
        <v>No</v>
      </c>
      <c r="EM11" s="207"/>
      <c r="EN11" s="192">
        <f t="shared" si="21"/>
        <v>2.1428571428571428</v>
      </c>
      <c r="EO11" s="192">
        <f t="shared" si="22"/>
        <v>1</v>
      </c>
      <c r="EP11" s="209">
        <f t="shared" si="23"/>
        <v>3.1428571428571428</v>
      </c>
      <c r="EQ11" s="210">
        <f t="shared" si="24"/>
        <v>1.8971962616822431</v>
      </c>
      <c r="ER11" s="36" t="e">
        <f t="shared" ca="1" si="25"/>
        <v>#NAME?</v>
      </c>
      <c r="ES11" s="40">
        <f ca="1">COUNTIF($ER$2:$ER$92, ER11)/(COUNTIF($ER$2:$ER$92, "&lt;&gt;""") - COUNTIF($ER$2:$ER$92, ""))</f>
        <v>1</v>
      </c>
      <c r="ET11" s="36">
        <f t="shared" si="26"/>
        <v>1</v>
      </c>
      <c r="EU11" s="40">
        <f>COUNTIF($ET$2:$ET$92, ET11)/(COUNTIF($ET$2:$ET$92, "&lt;&gt;""") - COUNTIF($ET$2:$ET$92, ""))</f>
        <v>0.45555555555555555</v>
      </c>
      <c r="EV11" s="36">
        <f t="shared" si="27"/>
        <v>7</v>
      </c>
      <c r="EW11" s="40">
        <f>COUNTIF($EV$2:$EV$92, EV11)/(COUNTIF($EV$2:$EV$92, "&lt;&gt;""") - COUNTIF($EV$2:$EV$92, ""))</f>
        <v>4.4444444444444446E-2</v>
      </c>
      <c r="EX11" s="36" t="str">
        <f t="shared" si="28"/>
        <v>No</v>
      </c>
      <c r="EY11" s="40">
        <f>COUNTIF($EX$2:$EX$92, EX11)/(COUNTIF($EX$2:$EX$92, "&lt;&gt;""") - COUNTIF($EX$2:$EX$92, ""))</f>
        <v>0.72222222222222221</v>
      </c>
      <c r="EZ11" s="36" t="str">
        <f t="shared" ref="EZ11:FB11" si="61">BM11</f>
        <v>Yes</v>
      </c>
      <c r="FA11" s="36" t="str">
        <f t="shared" si="61"/>
        <v>No</v>
      </c>
      <c r="FB11" s="36" t="str">
        <f t="shared" si="61"/>
        <v>No</v>
      </c>
      <c r="FC11" s="207"/>
      <c r="FD11" s="36" t="str">
        <f t="shared" si="30"/>
        <v>Transactional</v>
      </c>
      <c r="FE11" s="40">
        <f>COUNTIF($FD$2:$FD$92, FD11)/(COUNTIF($FD$2:$FD$92, "&lt;&gt;""") - COUNTIF($FD$2:$FD$92, ""))</f>
        <v>0.6</v>
      </c>
      <c r="FF11" s="36" t="str">
        <f t="shared" si="31"/>
        <v>B2B2C</v>
      </c>
      <c r="FG11" s="40">
        <f>COUNTIF($FF$2:$FF$92, FF11)/(COUNTIF($FF$2:$FF$92, "&lt;&gt;""") - COUNTIF($FF$2:$FF$92, ""))</f>
        <v>6.6666666666666666E-2</v>
      </c>
      <c r="FH11" s="36" t="str">
        <f t="shared" si="32"/>
        <v>Low</v>
      </c>
      <c r="FI11" s="40">
        <f>COUNTIF($FH$2:$FH$92, FH11)/(COUNTIF($FH$2:$FH$92, "&lt;&gt;""") - COUNTIF($FH$2:$FH$92, ""))</f>
        <v>0.46666666666666667</v>
      </c>
      <c r="FJ11" s="36" t="str">
        <f t="shared" si="33"/>
        <v>Low</v>
      </c>
      <c r="FK11" s="40">
        <f>COUNTIF($FJ$2:$FJ$92, FJ11)/(COUNTIF($FJ$2:$FJ$92, "&lt;&gt;""") - COUNTIF($FJ$2:$FJ$92, ""))</f>
        <v>0.41111111111111109</v>
      </c>
      <c r="FL11" s="207"/>
      <c r="FM11" s="192">
        <f t="shared" si="34"/>
        <v>5</v>
      </c>
      <c r="FN11" s="192" t="e">
        <f t="shared" ca="1" si="35"/>
        <v>#NAME?</v>
      </c>
      <c r="FO11" s="192" t="e">
        <f t="shared" ca="1" si="36"/>
        <v>#NAME?</v>
      </c>
      <c r="FP11" s="192" t="e">
        <f t="shared" ca="1" si="37"/>
        <v>#NAME?</v>
      </c>
      <c r="FQ11" s="209" t="e">
        <f t="shared" ca="1" si="38"/>
        <v>#NAME?</v>
      </c>
      <c r="FR11" s="208" t="e">
        <f t="shared" ca="1" si="39"/>
        <v>#NAME?</v>
      </c>
      <c r="FS11" s="36" t="str">
        <f t="shared" si="40"/>
        <v>Pre-Profit</v>
      </c>
      <c r="FT11" s="196">
        <f>COUNTIF($FS$2:$FS$92, FS11)/(COUNTIF($FS$2:$FS$92, "&lt;&gt;""") - COUNTIF($FZ$2:$FZ$92, ""))</f>
        <v>0.51111111111111107</v>
      </c>
      <c r="FU11" s="207"/>
      <c r="FV11" s="192">
        <f t="shared" si="41"/>
        <v>3</v>
      </c>
      <c r="FW11" s="197" t="e">
        <f t="shared" ca="1" si="42"/>
        <v>#NAME?</v>
      </c>
      <c r="FX11" s="209" t="e">
        <f t="shared" ca="1" si="43"/>
        <v>#NAME?</v>
      </c>
      <c r="FY11" s="211" t="e">
        <f t="shared" ca="1" si="44"/>
        <v>#NAME?</v>
      </c>
      <c r="FZ11" s="36" t="str">
        <f t="shared" si="45"/>
        <v>No</v>
      </c>
      <c r="GA11" s="196">
        <f>COUNTIF($FZ$2:$FZ$92, FZ11)/(COUNTIF($FZ$2:$FZ$92, "&lt;&gt;""") - COUNTIF($FZ$2:$FZ$92, ""))</f>
        <v>0.76666666666666672</v>
      </c>
      <c r="GB11" s="196" t="str">
        <f t="shared" si="46"/>
        <v>Low</v>
      </c>
      <c r="GC11" s="196">
        <f>COUNTIF($GB$2:$GB$92, GB11)/(COUNTIF($GB$2:$GB$92, "&lt;&gt;""") - COUNTIF($GB$2:$GB$92, ""))</f>
        <v>0.55555555555555558</v>
      </c>
      <c r="GD11" s="196" t="str">
        <f t="shared" si="47"/>
        <v>High</v>
      </c>
      <c r="GE11" s="196">
        <f>COUNTIF($GD$2:$GD$92, GD11)/(COUNTIF($GD$2:$GD$92, "&lt;&gt;""") - COUNTIF($GD$2:$GD$92, ""))</f>
        <v>0.8</v>
      </c>
      <c r="GF11" s="207"/>
      <c r="GG11" s="36"/>
      <c r="GH11" s="209" t="e">
        <f t="shared" ca="1" si="48"/>
        <v>#NAME?</v>
      </c>
      <c r="GI11" s="212" t="e">
        <f t="shared" ca="1" si="49"/>
        <v>#NAME?</v>
      </c>
    </row>
    <row r="12" spans="1:191" ht="15.75" customHeight="1">
      <c r="A12" s="29" t="s">
        <v>156</v>
      </c>
      <c r="B12" s="29" t="s">
        <v>355</v>
      </c>
      <c r="C12" s="30">
        <v>1744408</v>
      </c>
      <c r="D12" s="29" t="s">
        <v>726</v>
      </c>
      <c r="E12" s="31"/>
      <c r="F12" s="29" t="s">
        <v>337</v>
      </c>
      <c r="G12" s="32" t="s">
        <v>727</v>
      </c>
      <c r="H12" s="32" t="s">
        <v>728</v>
      </c>
      <c r="I12" s="33">
        <v>43941</v>
      </c>
      <c r="J12" s="29" t="s">
        <v>729</v>
      </c>
      <c r="K12" s="220" t="s">
        <v>730</v>
      </c>
      <c r="L12" s="16" t="s">
        <v>731</v>
      </c>
      <c r="M12" s="29" t="s">
        <v>323</v>
      </c>
      <c r="N12" s="29" t="s">
        <v>29</v>
      </c>
      <c r="O12" s="29" t="s">
        <v>30</v>
      </c>
      <c r="P12" s="29" t="s">
        <v>174</v>
      </c>
      <c r="Q12" s="29" t="s">
        <v>35</v>
      </c>
      <c r="R12" s="176"/>
      <c r="S12" s="29" t="s">
        <v>216</v>
      </c>
      <c r="T12" s="177"/>
      <c r="U12" s="178"/>
      <c r="V12" s="179">
        <v>9773510</v>
      </c>
      <c r="W12" s="180"/>
      <c r="X12" s="181"/>
      <c r="Y12" s="55"/>
      <c r="Z12" s="274">
        <f t="shared" si="0"/>
        <v>9773510</v>
      </c>
      <c r="AA12" s="183" t="e">
        <f t="shared" ca="1" si="1"/>
        <v>#NAME?</v>
      </c>
      <c r="AB12" s="29" t="s">
        <v>36</v>
      </c>
      <c r="AC12" s="29" t="s">
        <v>37</v>
      </c>
      <c r="AD12" s="29" t="s">
        <v>180</v>
      </c>
      <c r="AE12" s="29" t="s">
        <v>227</v>
      </c>
      <c r="AF12" s="29" t="s">
        <v>181</v>
      </c>
      <c r="AG12" s="29" t="s">
        <v>181</v>
      </c>
      <c r="AH12" s="29" t="s">
        <v>190</v>
      </c>
      <c r="AI12" s="16" t="s">
        <v>732</v>
      </c>
      <c r="AJ12" s="277">
        <v>70000000000</v>
      </c>
      <c r="AK12" s="30" t="s">
        <v>236</v>
      </c>
      <c r="AL12" s="277">
        <v>3000000000</v>
      </c>
      <c r="AM12" s="30" t="s">
        <v>282</v>
      </c>
      <c r="AN12" s="277">
        <v>0.14000000000000001</v>
      </c>
      <c r="AO12" s="185" t="e">
        <f t="shared" ca="1" si="2"/>
        <v>#NAME?</v>
      </c>
      <c r="AP12" s="202" t="s">
        <v>211</v>
      </c>
      <c r="AQ12" s="29" t="s">
        <v>181</v>
      </c>
      <c r="AR12" s="29" t="s">
        <v>181</v>
      </c>
      <c r="AS12" s="29" t="s">
        <v>42</v>
      </c>
      <c r="AT12" s="29" t="s">
        <v>39</v>
      </c>
      <c r="AU12" s="29" t="s">
        <v>39</v>
      </c>
      <c r="AV12" s="29" t="s">
        <v>190</v>
      </c>
      <c r="AW12" s="29" t="s">
        <v>190</v>
      </c>
      <c r="AX12" s="29" t="s">
        <v>227</v>
      </c>
      <c r="AY12" s="29" t="s">
        <v>227</v>
      </c>
      <c r="AZ12" s="179">
        <v>5105222</v>
      </c>
      <c r="BA12" s="55" t="e">
        <f t="shared" ca="1" si="54"/>
        <v>#NAME?</v>
      </c>
      <c r="BB12" s="277">
        <v>0</v>
      </c>
      <c r="BC12" s="277">
        <v>1500000</v>
      </c>
      <c r="BD12" s="62" t="e">
        <f t="shared" ca="1" si="55"/>
        <v>#NAME?</v>
      </c>
      <c r="BE12" s="277">
        <f t="shared" si="56"/>
        <v>1</v>
      </c>
      <c r="BF12" s="62" t="e">
        <f t="shared" ca="1" si="57"/>
        <v>#NAME?</v>
      </c>
      <c r="BG12" s="29" t="s">
        <v>219</v>
      </c>
      <c r="BH12" s="176"/>
      <c r="BI12" s="29" t="s">
        <v>227</v>
      </c>
      <c r="BJ12" s="30">
        <v>5</v>
      </c>
      <c r="BK12" s="277">
        <v>1</v>
      </c>
      <c r="BL12" s="29" t="s">
        <v>190</v>
      </c>
      <c r="BM12" s="29" t="s">
        <v>190</v>
      </c>
      <c r="BN12" s="29" t="s">
        <v>190</v>
      </c>
      <c r="BO12" s="29" t="s">
        <v>190</v>
      </c>
      <c r="BP12" s="30">
        <v>1</v>
      </c>
      <c r="BQ12" s="30">
        <v>8</v>
      </c>
      <c r="BR12" s="30">
        <v>0</v>
      </c>
      <c r="BS12" s="30">
        <v>0</v>
      </c>
      <c r="BT12" s="203"/>
      <c r="BU12" s="30">
        <v>20</v>
      </c>
      <c r="BV12" s="30">
        <v>1</v>
      </c>
      <c r="BW12" s="30">
        <v>40</v>
      </c>
      <c r="BX12" s="29" t="s">
        <v>190</v>
      </c>
      <c r="BY12" s="203"/>
      <c r="BZ12" s="186"/>
      <c r="CA12" s="186"/>
      <c r="CB12" s="186"/>
      <c r="CC12" s="57"/>
      <c r="CD12" s="203"/>
      <c r="CE12" s="57"/>
      <c r="CF12" s="57"/>
      <c r="CG12" s="57"/>
      <c r="CH12" s="57"/>
      <c r="CI12" s="203"/>
      <c r="CJ12" s="57"/>
      <c r="CK12" s="57"/>
      <c r="CL12" s="57"/>
      <c r="CM12" s="57"/>
      <c r="CN12" s="203"/>
      <c r="CO12" s="186"/>
      <c r="CP12" s="186"/>
      <c r="CQ12" s="186"/>
      <c r="CR12" s="57"/>
      <c r="CS12" s="203"/>
      <c r="CT12" s="186"/>
      <c r="CU12" s="186"/>
      <c r="CV12" s="186"/>
      <c r="CW12" s="57"/>
      <c r="CX12" s="203"/>
      <c r="CY12" s="186"/>
      <c r="CZ12" s="186"/>
      <c r="DA12" s="186"/>
      <c r="DB12" s="57"/>
      <c r="DC12" s="203"/>
      <c r="DD12" s="186"/>
      <c r="DE12" s="186"/>
      <c r="DF12" s="186"/>
      <c r="DG12" s="57"/>
      <c r="DH12" s="203"/>
      <c r="DI12" s="186"/>
      <c r="DJ12" s="186"/>
      <c r="DK12" s="186"/>
      <c r="DL12" s="57"/>
      <c r="DM12" s="204"/>
      <c r="DN12" s="205"/>
      <c r="DO12" s="205"/>
      <c r="DQ12" s="206"/>
      <c r="DR12" s="188">
        <f t="shared" si="5"/>
        <v>20</v>
      </c>
      <c r="DS12" s="188"/>
      <c r="DT12" s="189">
        <f t="shared" si="6"/>
        <v>1</v>
      </c>
      <c r="DU12" s="189"/>
      <c r="DV12" s="188">
        <f t="shared" si="7"/>
        <v>40</v>
      </c>
      <c r="DW12" s="183" t="e">
        <f t="shared" ca="1" si="8"/>
        <v>#NAME?</v>
      </c>
      <c r="DX12" s="207"/>
      <c r="DY12" s="190" t="e">
        <f t="shared" ca="1" si="9"/>
        <v>#NAME?</v>
      </c>
      <c r="DZ12" s="191" t="str">
        <f t="shared" si="10"/>
        <v/>
      </c>
      <c r="EA12" s="191" t="str">
        <f t="shared" si="11"/>
        <v/>
      </c>
      <c r="EB12" s="191" t="str">
        <f t="shared" si="12"/>
        <v/>
      </c>
      <c r="EC12" s="208" t="e">
        <f t="shared" ca="1" si="13"/>
        <v>#NAME?</v>
      </c>
      <c r="ED12" s="36" t="str">
        <f t="shared" si="14"/>
        <v>Equity - Common</v>
      </c>
      <c r="EE12" s="193">
        <f>COUNTIF($ED$2:$ED$92, ED12)/(COUNTIF($ED$2:$ED$92, "&lt;&gt;""") - COUNTIF($ED$2:$ED$92, ""))</f>
        <v>0.32222222222222224</v>
      </c>
      <c r="EF12" s="36" t="str">
        <f t="shared" si="15"/>
        <v>Early</v>
      </c>
      <c r="EG12" s="207"/>
      <c r="EH12" s="194" t="e">
        <f t="shared" ca="1" si="16"/>
        <v>#NAME?</v>
      </c>
      <c r="EI12" s="194" t="e">
        <f t="shared" ca="1" si="17"/>
        <v>#NAME?</v>
      </c>
      <c r="EJ12" s="209" t="e">
        <f t="shared" ca="1" si="18"/>
        <v>#NAME?</v>
      </c>
      <c r="EK12" s="208" t="e">
        <f t="shared" ca="1" si="19"/>
        <v>#NAME?</v>
      </c>
      <c r="EL12" s="36" t="str">
        <f t="shared" si="20"/>
        <v>No</v>
      </c>
      <c r="EM12" s="207"/>
      <c r="EN12" s="192">
        <f t="shared" si="21"/>
        <v>2.9047619047619047</v>
      </c>
      <c r="EO12" s="192">
        <f t="shared" si="22"/>
        <v>2</v>
      </c>
      <c r="EP12" s="209">
        <f t="shared" si="23"/>
        <v>4.9047619047619051</v>
      </c>
      <c r="EQ12" s="210">
        <f t="shared" si="24"/>
        <v>3.2803738317757012</v>
      </c>
      <c r="ER12" s="36" t="e">
        <f t="shared" ca="1" si="25"/>
        <v>#NAME?</v>
      </c>
      <c r="ES12" s="40">
        <f ca="1">COUNTIF($ER$2:$ER$92, ER12)/(COUNTIF($ER$2:$ER$92, "&lt;&gt;""") - COUNTIF($ER$2:$ER$92, ""))</f>
        <v>1</v>
      </c>
      <c r="ET12" s="36">
        <f t="shared" si="26"/>
        <v>1</v>
      </c>
      <c r="EU12" s="40">
        <f>COUNTIF($ET$2:$ET$92, ET12)/(COUNTIF($ET$2:$ET$92, "&lt;&gt;""") - COUNTIF($ET$2:$ET$92, ""))</f>
        <v>0.45555555555555555</v>
      </c>
      <c r="EV12" s="36">
        <f t="shared" si="27"/>
        <v>8</v>
      </c>
      <c r="EW12" s="40">
        <f>COUNTIF($EV$2:$EV$92, EV12)/(COUNTIF($EV$2:$EV$92, "&lt;&gt;""") - COUNTIF($EV$2:$EV$92, ""))</f>
        <v>5.5555555555555552E-2</v>
      </c>
      <c r="EX12" s="36" t="str">
        <f t="shared" si="28"/>
        <v>No</v>
      </c>
      <c r="EY12" s="40">
        <f>COUNTIF($EX$2:$EX$92, EX12)/(COUNTIF($EX$2:$EX$92, "&lt;&gt;""") - COUNTIF($EX$2:$EX$92, ""))</f>
        <v>0.72222222222222221</v>
      </c>
      <c r="EZ12" s="36" t="str">
        <f t="shared" ref="EZ12:FB12" si="62">BM12</f>
        <v>No</v>
      </c>
      <c r="FA12" s="36" t="str">
        <f t="shared" si="62"/>
        <v>No</v>
      </c>
      <c r="FB12" s="36" t="str">
        <f t="shared" si="62"/>
        <v>No</v>
      </c>
      <c r="FC12" s="207"/>
      <c r="FD12" s="36" t="str">
        <f t="shared" si="30"/>
        <v>Transactional</v>
      </c>
      <c r="FE12" s="40">
        <f>COUNTIF($FD$2:$FD$92, FD12)/(COUNTIF($FD$2:$FD$92, "&lt;&gt;""") - COUNTIF($FD$2:$FD$92, ""))</f>
        <v>0.6</v>
      </c>
      <c r="FF12" s="36" t="str">
        <f t="shared" si="31"/>
        <v>B2B</v>
      </c>
      <c r="FG12" s="40">
        <f>COUNTIF($FF$2:$FF$92, FF12)/(COUNTIF($FF$2:$FF$92, "&lt;&gt;""") - COUNTIF($FF$2:$FF$92, ""))</f>
        <v>0.24444444444444444</v>
      </c>
      <c r="FH12" s="36" t="str">
        <f t="shared" si="32"/>
        <v>Low</v>
      </c>
      <c r="FI12" s="40">
        <f>COUNTIF($FH$2:$FH$92, FH12)/(COUNTIF($FH$2:$FH$92, "&lt;&gt;""") - COUNTIF($FH$2:$FH$92, ""))</f>
        <v>0.46666666666666667</v>
      </c>
      <c r="FJ12" s="36" t="str">
        <f t="shared" si="33"/>
        <v>Low</v>
      </c>
      <c r="FK12" s="40">
        <f>COUNTIF($FJ$2:$FJ$92, FJ12)/(COUNTIF($FJ$2:$FJ$92, "&lt;&gt;""") - COUNTIF($FJ$2:$FJ$92, ""))</f>
        <v>0.41111111111111109</v>
      </c>
      <c r="FL12" s="207"/>
      <c r="FM12" s="192">
        <f t="shared" si="34"/>
        <v>5</v>
      </c>
      <c r="FN12" s="192" t="e">
        <f t="shared" ca="1" si="35"/>
        <v>#NAME?</v>
      </c>
      <c r="FO12" s="192" t="e">
        <f t="shared" ca="1" si="36"/>
        <v>#NAME?</v>
      </c>
      <c r="FP12" s="192" t="e">
        <f t="shared" ca="1" si="37"/>
        <v>#NAME?</v>
      </c>
      <c r="FQ12" s="209" t="e">
        <f t="shared" ca="1" si="38"/>
        <v>#NAME?</v>
      </c>
      <c r="FR12" s="208" t="e">
        <f t="shared" ca="1" si="39"/>
        <v>#NAME?</v>
      </c>
      <c r="FS12" s="36" t="str">
        <f t="shared" si="40"/>
        <v>Profitable</v>
      </c>
      <c r="FT12" s="196">
        <f>COUNTIF($FS$2:$FS$92, FS12)/(COUNTIF($FS$2:$FS$92, "&lt;&gt;""") - COUNTIF($FZ$2:$FZ$92, ""))</f>
        <v>6.6666666666666666E-2</v>
      </c>
      <c r="FU12" s="207"/>
      <c r="FV12" s="192" t="e">
        <f t="shared" ca="1" si="41"/>
        <v>#NAME?</v>
      </c>
      <c r="FW12" s="197" t="e">
        <f t="shared" ca="1" si="42"/>
        <v>#NAME?</v>
      </c>
      <c r="FX12" s="209" t="e">
        <f t="shared" ca="1" si="43"/>
        <v>#NAME?</v>
      </c>
      <c r="FY12" s="211" t="e">
        <f t="shared" ca="1" si="44"/>
        <v>#NAME?</v>
      </c>
      <c r="FZ12" s="36" t="str">
        <f t="shared" si="45"/>
        <v>No</v>
      </c>
      <c r="GA12" s="196">
        <f>COUNTIF($FZ$2:$FZ$92, FZ12)/(COUNTIF($FZ$2:$FZ$92, "&lt;&gt;""") - COUNTIF($FZ$2:$FZ$92, ""))</f>
        <v>0.76666666666666672</v>
      </c>
      <c r="GB12" s="196" t="str">
        <f t="shared" si="46"/>
        <v>High</v>
      </c>
      <c r="GC12" s="196">
        <f>COUNTIF($GB$2:$GB$92, GB12)/(COUNTIF($GB$2:$GB$92, "&lt;&gt;""") - COUNTIF($GB$2:$GB$92, ""))</f>
        <v>0.43333333333333335</v>
      </c>
      <c r="GD12" s="196" t="str">
        <f t="shared" si="47"/>
        <v>High</v>
      </c>
      <c r="GE12" s="196">
        <f>COUNTIF($GD$2:$GD$92, GD12)/(COUNTIF($GD$2:$GD$92, "&lt;&gt;""") - COUNTIF($GD$2:$GD$92, ""))</f>
        <v>0.8</v>
      </c>
      <c r="GF12" s="207"/>
      <c r="GG12" s="36"/>
      <c r="GH12" s="209" t="e">
        <f t="shared" ca="1" si="48"/>
        <v>#NAME?</v>
      </c>
      <c r="GI12" s="212" t="e">
        <f t="shared" ca="1" si="49"/>
        <v>#NAME?</v>
      </c>
    </row>
    <row r="13" spans="1:191" ht="15.75" customHeight="1">
      <c r="A13" s="29" t="s">
        <v>394</v>
      </c>
      <c r="B13" s="29" t="s">
        <v>409</v>
      </c>
      <c r="C13" s="30">
        <v>1804161</v>
      </c>
      <c r="D13" s="29" t="s">
        <v>733</v>
      </c>
      <c r="E13" s="31"/>
      <c r="F13" s="29" t="s">
        <v>270</v>
      </c>
      <c r="G13" s="32" t="s">
        <v>734</v>
      </c>
      <c r="H13" s="32" t="s">
        <v>735</v>
      </c>
      <c r="I13" s="33">
        <v>43928</v>
      </c>
      <c r="J13" s="29" t="s">
        <v>736</v>
      </c>
      <c r="K13" s="29" t="s">
        <v>736</v>
      </c>
      <c r="M13" s="29" t="s">
        <v>28</v>
      </c>
      <c r="N13" s="29" t="s">
        <v>168</v>
      </c>
      <c r="O13" s="29" t="s">
        <v>30</v>
      </c>
      <c r="P13" s="29" t="s">
        <v>31</v>
      </c>
      <c r="Q13" s="29" t="s">
        <v>35</v>
      </c>
      <c r="R13" s="176"/>
      <c r="S13" s="29" t="s">
        <v>216</v>
      </c>
      <c r="T13" s="177"/>
      <c r="U13" s="178"/>
      <c r="V13" s="179">
        <v>3275000</v>
      </c>
      <c r="W13" s="180"/>
      <c r="X13" s="181"/>
      <c r="Y13" s="55"/>
      <c r="Z13" s="274">
        <v>3275000</v>
      </c>
      <c r="AA13" s="78" t="s">
        <v>208</v>
      </c>
      <c r="AB13" s="29" t="s">
        <v>36</v>
      </c>
      <c r="AC13" s="29" t="s">
        <v>179</v>
      </c>
      <c r="AD13" s="29" t="s">
        <v>38</v>
      </c>
      <c r="AE13" s="29" t="s">
        <v>190</v>
      </c>
      <c r="AF13" s="29" t="s">
        <v>181</v>
      </c>
      <c r="AG13" s="29" t="s">
        <v>39</v>
      </c>
      <c r="AH13" s="29" t="s">
        <v>190</v>
      </c>
      <c r="AI13" s="16" t="s">
        <v>737</v>
      </c>
      <c r="AJ13" s="277">
        <v>553700000</v>
      </c>
      <c r="AK13" s="30" t="s">
        <v>290</v>
      </c>
      <c r="AL13" s="277">
        <v>45078</v>
      </c>
      <c r="AM13" s="30" t="s">
        <v>207</v>
      </c>
      <c r="AN13" s="277">
        <v>0.44</v>
      </c>
      <c r="AO13" s="185" t="e">
        <f t="shared" ref="AO13:AO289" ca="1" si="63">_xludf.IFS(
AN13&lt;0, "&lt; 0% (Shrinking Market)",
AN13&lt;=0.1, "0%-10%",
AN13&lt;=0.2, "10%-20%",
AN13&lt;=0.3, "20%-30%",
AN13&lt;=0.4, "30%-40%",
AN13&gt;0.4, "&gt; 40%")</f>
        <v>#NAME?</v>
      </c>
      <c r="AP13" s="202" t="s">
        <v>264</v>
      </c>
      <c r="AQ13" s="29" t="s">
        <v>181</v>
      </c>
      <c r="AR13" s="29" t="s">
        <v>181</v>
      </c>
      <c r="AS13" s="29" t="s">
        <v>201</v>
      </c>
      <c r="AT13" s="29" t="s">
        <v>181</v>
      </c>
      <c r="AU13" s="29" t="s">
        <v>39</v>
      </c>
      <c r="AV13" s="29" t="s">
        <v>190</v>
      </c>
      <c r="AW13" s="29" t="s">
        <v>190</v>
      </c>
      <c r="AX13" s="29" t="s">
        <v>190</v>
      </c>
      <c r="AY13" s="29" t="s">
        <v>190</v>
      </c>
      <c r="AZ13" s="179">
        <v>0</v>
      </c>
      <c r="BA13" s="179" t="s">
        <v>162</v>
      </c>
      <c r="BB13" s="277">
        <v>802</v>
      </c>
      <c r="BC13" s="277">
        <v>0</v>
      </c>
      <c r="BD13" s="30" t="s">
        <v>162</v>
      </c>
      <c r="BE13" s="277">
        <v>1</v>
      </c>
      <c r="BF13" s="30" t="s">
        <v>240</v>
      </c>
      <c r="BG13" s="29" t="s">
        <v>43</v>
      </c>
      <c r="BH13" s="176"/>
      <c r="BI13" s="29" t="s">
        <v>190</v>
      </c>
      <c r="BJ13" s="30">
        <v>0</v>
      </c>
      <c r="BK13" s="277">
        <v>2</v>
      </c>
      <c r="BL13" s="29" t="s">
        <v>227</v>
      </c>
      <c r="BM13" s="29" t="s">
        <v>227</v>
      </c>
      <c r="BN13" s="29" t="s">
        <v>227</v>
      </c>
      <c r="BO13" s="29" t="s">
        <v>190</v>
      </c>
      <c r="BP13" s="30">
        <v>1</v>
      </c>
      <c r="BQ13" s="30">
        <v>2</v>
      </c>
      <c r="BR13" s="30">
        <v>0</v>
      </c>
      <c r="BS13" s="30">
        <v>0</v>
      </c>
      <c r="BT13" s="203"/>
      <c r="BU13" s="30">
        <v>0</v>
      </c>
      <c r="BV13" s="30">
        <v>0</v>
      </c>
      <c r="BW13" s="30">
        <v>54</v>
      </c>
      <c r="BX13" s="29" t="s">
        <v>190</v>
      </c>
      <c r="BY13" s="203"/>
      <c r="BZ13" s="30">
        <v>0</v>
      </c>
      <c r="CA13" s="30">
        <v>0</v>
      </c>
      <c r="CB13" s="30">
        <v>42</v>
      </c>
      <c r="CC13" s="29" t="s">
        <v>190</v>
      </c>
      <c r="CD13" s="203"/>
      <c r="CE13" s="57"/>
      <c r="CF13" s="57"/>
      <c r="CG13" s="57"/>
      <c r="CH13" s="57"/>
      <c r="CI13" s="203"/>
      <c r="CJ13" s="57"/>
      <c r="CK13" s="57"/>
      <c r="CL13" s="57"/>
      <c r="CM13" s="57"/>
      <c r="CN13" s="203"/>
      <c r="CO13" s="186"/>
      <c r="CP13" s="186"/>
      <c r="CQ13" s="186"/>
      <c r="CR13" s="57"/>
      <c r="CS13" s="203"/>
      <c r="CT13" s="186"/>
      <c r="CU13" s="186"/>
      <c r="CV13" s="186"/>
      <c r="CW13" s="57"/>
      <c r="CX13" s="203"/>
      <c r="CY13" s="186"/>
      <c r="CZ13" s="186"/>
      <c r="DA13" s="186"/>
      <c r="DB13" s="57"/>
      <c r="DC13" s="203"/>
      <c r="DD13" s="186"/>
      <c r="DE13" s="186"/>
      <c r="DF13" s="186"/>
      <c r="DG13" s="57"/>
      <c r="DH13" s="203"/>
      <c r="DI13" s="186"/>
      <c r="DJ13" s="186"/>
      <c r="DK13" s="186"/>
      <c r="DL13" s="57"/>
      <c r="DM13" s="204"/>
      <c r="DN13" s="205"/>
      <c r="DO13" s="205"/>
      <c r="DQ13" s="206"/>
      <c r="DR13" s="188">
        <f t="shared" ref="DR13:DR289" si="64">AVERAGE(BU13,BZ13,CE13,CJ13,CO13,CT13,CY13,DD13,DI13)</f>
        <v>0</v>
      </c>
      <c r="DS13" s="188"/>
      <c r="DT13" s="189">
        <f t="shared" ref="DT13:DT289" si="65">SUM(BV13,CA13,CF13,CK13,CP13,CU13,CZ13,DE13,DJ13)</f>
        <v>0</v>
      </c>
      <c r="DU13" s="189"/>
      <c r="DV13" s="188">
        <f t="shared" ref="DV13:DV289" si="66">AVERAGE(BW13,CB13,CG13,CL13,CQ13,CV13,DA13,DF13,DK13)</f>
        <v>48</v>
      </c>
      <c r="DW13" s="183" t="e">
        <f t="shared" ref="DW13:DW289" ca="1" si="67">_xludf.IFS(DV13 &lt;= 34, "20 - 34", DV13 &lt;= 54, "35 - 54", DV13 &gt; 54, "55+")</f>
        <v>#NAME?</v>
      </c>
      <c r="DX13" s="207"/>
      <c r="DY13" s="190" t="e">
        <f t="shared" ref="DY13:DY289" ca="1" si="68">_xludf.IFS(
AA13= "&lt; $1M",5,
AA13= "$1M - $2M",4.8,
AA13= "$2M - $4M",4.6,
AA13= "$4M - $6M",4.4,
AA13= "$6M - $8M",4.2,
AA13= "$8M - $10M",4,
AA13= "$10M - $12M",3.9,
AA13= "$12M - $14M",3.7,
AA13= "$14M - $16M",3.5,
AA13= "$16M - $18M",3.3,
AA13= "$18M - $20M",3.1,
AA13= "$20M - $22M",2.9,
AA13= "$22M - $24M",2.7,
AA13= "$24M - $26M",2.5,
AA13= "$26M - $28M",2.3,
AA13= "$28M - $30M",2.1,
AA13= "$30M - $32M",2,
AA13= "$32M - $34M",1.8,
AA13= "$34M - $36M",1.6,
AA13= "$36M - $38M",1.4,
AA13= "$38M - $40M",1.2,
AA13= "&lt; $40M",1)</f>
        <v>#NAME?</v>
      </c>
      <c r="DZ13" s="191" t="str">
        <f t="shared" ref="DZ13:DZ76" si="69">IF(X13 &lt;&gt; "", 1+((X13-MIN(discount_rates))*(4)/(MAX(discount_rates) - MIN(discount_rates))), "")</f>
        <v/>
      </c>
      <c r="EA13" s="191" t="str">
        <f t="shared" ref="EA13:EA76" si="70">IF(S13="Debt", (1+((U13-MIN(interest_rates))*(4)/(MAX(interest_rates) - MIN(interest_rates)))), "")</f>
        <v/>
      </c>
      <c r="EB13" s="191" t="str">
        <f t="shared" ref="EB13:EB76" si="71">IF(OR(S13="Revenue Share", S13="Profit Share"), (1+((T13-MIN(return_mutiples))*(4)/(MAX(return_mutiples) - MIN(return_mutiples)))), "")</f>
        <v/>
      </c>
      <c r="EC13" s="208" t="e">
        <f t="shared" ref="EC13:EC289" ca="1" si="72">DY13</f>
        <v>#NAME?</v>
      </c>
      <c r="ED13" s="36" t="str">
        <f t="shared" ref="ED13:ED289" si="73">S13</f>
        <v>Equity - Common</v>
      </c>
      <c r="EE13" s="193">
        <f>COUNTIF($ED$2:$ED$92, ED13)/(COUNTIF($ED$2:$ED$92, "&lt;&gt;""") - COUNTIF($ED$2:$ED$92, ""))</f>
        <v>0.32222222222222224</v>
      </c>
      <c r="EF13" s="36" t="str">
        <f t="shared" ref="EF13:EF289" si="74">O13</f>
        <v>Early</v>
      </c>
      <c r="EG13" s="207"/>
      <c r="EH13" s="194" t="e">
        <f t="shared" ref="EH13:EH289" ca="1" si="75">_xludf.IFS(
AM13="&gt; $1T", 5,
AM13="$500B-$1T", 4.7,
AM13="$250B-$500B", 4.4,
AM13="$100B-$250B", 4.1,
AM13="$50B-$100B", 3.9,
AM13="$25B-$50B", 3.6,
AM13="$10B-$25B", 3.3,
AM13="$5B-$10B", 3,
AM13="$1B-$5B", 2.7,
AM13="$500M-$1B", 2.4,
AM13="$250M-$500M", 2.1,
AM13="$100M-$250M", 1.9,
AM13="$50M-$100M", 1.6,
AM13="$25M-$50M", 1.3,
AM13="&lt; $25M", 1)</f>
        <v>#NAME?</v>
      </c>
      <c r="EI13" s="194" t="e">
        <f t="shared" ref="EI13:EI289" ca="1" si="76">_xludf.IFS(
AO13= "&lt; 0% (Shrinking Market)",1,
AO13= "0%-10%",1.8,
AO13= "10%-20%",2.6,
AO13= "20%-30%",3.4,
AO13= "30%-40%",4.2,
AO13= "&gt; 40%",5)</f>
        <v>#NAME?</v>
      </c>
      <c r="EJ13" s="209" t="e">
        <f t="shared" ref="EJ13:EJ289" ca="1" si="77">EH13+EI13</f>
        <v>#NAME?</v>
      </c>
      <c r="EK13" s="208" t="e">
        <f t="shared" ref="EK13:EK76" ca="1" si="78">1+((EJ13-MIN(market_ratings_sums))*(4)/(MAX(market_ratings_sums) - MIN(market_ratings_sums)))</f>
        <v>#NAME?</v>
      </c>
      <c r="EL13" s="36" t="str">
        <f t="shared" ref="EL13:EL289" si="79">AV13</f>
        <v>No</v>
      </c>
      <c r="EM13" s="207"/>
      <c r="EN13" s="192">
        <f t="shared" ref="EN13:EN76" si="80">1+((DR13-MIN(industry_experiences))*(4)/(MAX(industry_experiences) - MIN(industry_experiences)))</f>
        <v>1</v>
      </c>
      <c r="EO13" s="192">
        <f t="shared" ref="EO13:EO76" si="81">1+((DT13-MIN(exits))*(4)/(MAX(exits) - MIN(exits)))</f>
        <v>1</v>
      </c>
      <c r="EP13" s="209">
        <f t="shared" ref="EP13:EP289" si="82">SUM(EN13:EO13)</f>
        <v>2</v>
      </c>
      <c r="EQ13" s="210">
        <f t="shared" ref="EQ13:EQ76" si="83">1+((EP13-MIN(team_ratings_sums))*(4)/(MAX(team_ratings_sums) - MIN(team_ratings_sums)))</f>
        <v>1</v>
      </c>
      <c r="ER13" s="36" t="e">
        <f t="shared" ref="ER13:ER289" ca="1" si="84">DW13</f>
        <v>#NAME?</v>
      </c>
      <c r="ES13" s="40">
        <f ca="1">COUNTIF($ER$2:$ER$92, ER13)/(COUNTIF($ER$2:$ER$92, "&lt;&gt;""") - COUNTIF($ER$2:$ER$92, ""))</f>
        <v>1</v>
      </c>
      <c r="ET13" s="36">
        <f t="shared" ref="ET13:ET289" si="85">BK13</f>
        <v>2</v>
      </c>
      <c r="EU13" s="40">
        <f>COUNTIF($ET$2:$ET$92, ET13)/(COUNTIF($ET$2:$ET$92, "&lt;&gt;""") - COUNTIF($ET$2:$ET$92, ""))</f>
        <v>0.45555555555555555</v>
      </c>
      <c r="EV13" s="36">
        <f t="shared" ref="EV13:EV289" si="86">BQ13</f>
        <v>2</v>
      </c>
      <c r="EW13" s="40">
        <f>COUNTIF($EV$2:$EV$92, EV13)/(COUNTIF($EV$2:$EV$92, "&lt;&gt;""") - COUNTIF($EV$2:$EV$92, ""))</f>
        <v>0.15555555555555556</v>
      </c>
      <c r="EX13" s="36" t="str">
        <f t="shared" ref="EX13:EX289" si="87">BL13</f>
        <v>Yes</v>
      </c>
      <c r="EY13" s="40">
        <f>COUNTIF($EX$2:$EX$92, EX13)/(COUNTIF($EX$2:$EX$92, "&lt;&gt;""") - COUNTIF($EX$2:$EX$92, ""))</f>
        <v>0.27777777777777779</v>
      </c>
      <c r="EZ13" s="36" t="str">
        <f t="shared" ref="EZ13:FB13" si="88">BM13</f>
        <v>Yes</v>
      </c>
      <c r="FA13" s="36" t="str">
        <f t="shared" si="88"/>
        <v>Yes</v>
      </c>
      <c r="FB13" s="36" t="str">
        <f t="shared" si="88"/>
        <v>No</v>
      </c>
      <c r="FC13" s="207"/>
      <c r="FD13" s="36" t="str">
        <f t="shared" ref="FD13:FD289" si="89">AB13</f>
        <v>Transactional</v>
      </c>
      <c r="FE13" s="40">
        <f>COUNTIF($FD$2:$FD$92, FD13)/(COUNTIF($FD$2:$FD$92, "&lt;&gt;""") - COUNTIF($FD$2:$FD$92, ""))</f>
        <v>0.6</v>
      </c>
      <c r="FF13" s="36" t="str">
        <f t="shared" ref="FF13:FF289" si="90">AC13</f>
        <v>B2C</v>
      </c>
      <c r="FG13" s="40">
        <f>COUNTIF($FF$2:$FF$92, FF13)/(COUNTIF($FF$2:$FF$92, "&lt;&gt;""") - COUNTIF($FF$2:$FF$92, ""))</f>
        <v>0.41111111111111109</v>
      </c>
      <c r="FH13" s="36" t="str">
        <f t="shared" ref="FH13:FH289" si="91">AF13</f>
        <v>Low</v>
      </c>
      <c r="FI13" s="40">
        <f>COUNTIF($FH$2:$FH$92, FH13)/(COUNTIF($FH$2:$FH$92, "&lt;&gt;""") - COUNTIF($FH$2:$FH$92, ""))</f>
        <v>0.46666666666666667</v>
      </c>
      <c r="FJ13" s="36" t="str">
        <f t="shared" ref="FJ13:FJ289" si="92">AG13</f>
        <v>High</v>
      </c>
      <c r="FK13" s="40">
        <f>COUNTIF($FJ$2:$FJ$92, FJ13)/(COUNTIF($FJ$2:$FJ$92, "&lt;&gt;""") - COUNTIF($FJ$2:$FJ$92, ""))</f>
        <v>0.58888888888888891</v>
      </c>
      <c r="FL13" s="207"/>
      <c r="FM13" s="192">
        <f t="shared" ref="FM13:FM289" si="93">IF(AY13 = "Yes", 5, IF(AX13 = "Yes", 3,1))</f>
        <v>1</v>
      </c>
      <c r="FN13" s="192" t="e">
        <f t="shared" ref="FN13:FN289" ca="1" si="94">_xludf.IFS(
BA13= "&lt; $10K",1,
BA13= "$10K - $50K",1.4,
BA13= "$50K - $100K",1.9,
BA13= "$100K - $500K",2.3,
BA13= "$500K - $1M",2.8,
BA13= "$1M - $2M",3.2,
BA13= "$2M - $3M",3.7,
BA13= "$3M - $4M",4.1,
BA13= "$4M - $5M",4.6,
BA13= "&gt; $5M",5)</f>
        <v>#NAME?</v>
      </c>
      <c r="FO13" s="192" t="e">
        <f t="shared" ref="FO13:FO289" ca="1" si="95">_xludf.IFS(
BF13= "&lt; 10%",5,
BF13= "10% - 20%",4.6,
BF13= "20% - 30%",4.1,
BF13= "30% - 40%",3.7,
BF13= "40% - 50%",3.2,
BF13= "50% - 60%",2.8,
BF13= "60% - 70%",2.3,
BF13= "70% - 80%",1.9,
BF13= "80% - 90%",1.4,
BF13= "90% - 100%",1)</f>
        <v>#NAME?</v>
      </c>
      <c r="FP13" s="192" t="e">
        <f t="shared" ref="FP13:FP289" ca="1" si="96">_xludf.IFS(
BD13= "&lt; $10K",5,
BD13= "$10K - $50K",4.6,
BD13= "$50K - $100K",4.1,
BD13= "$100K - $500K",3.7,
BD13= "$500K - $1M",3.2,
BD13= "$1M - $2M",2.8,
BD13= "$2M - $3M",2.3,
BD13= "$3M - $4M",1.9,
BD13= "$4M - $5M",1.4,
BD13= "&gt; $5M",1)</f>
        <v>#NAME?</v>
      </c>
      <c r="FQ13" s="209" t="e">
        <f t="shared" ref="FQ13:FQ289" ca="1" si="97">SUM(FM13:FP13)</f>
        <v>#NAME?</v>
      </c>
      <c r="FR13" s="208" t="e">
        <f t="shared" ref="FR13:FR76" ca="1" si="98">1+((FQ13-MIN(performance_ratings_sums))*(4)/(MAX(performance_ratings_sums) - MIN(performance_ratings_sums)))</f>
        <v>#NAME?</v>
      </c>
      <c r="FS13" s="36" t="str">
        <f t="shared" ref="FS13:FS289" si="99">BG13</f>
        <v>Pre-Product</v>
      </c>
      <c r="FT13" s="196">
        <f>COUNTIF($FS$2:$FS$92, FS13)/(COUNTIF($FS$2:$FS$92, "&lt;&gt;""") - COUNTIF($FZ$2:$FZ$92, ""))</f>
        <v>0.22222222222222221</v>
      </c>
      <c r="FU13" s="207"/>
      <c r="FV13" s="192" t="e">
        <f t="shared" ref="FV13:FV289" ca="1" si="100">IF(AQ13 &lt;&gt; AR13, 3, _xludf.IFS(AND(AQ13 = "High", AR13 = "High"), 5, AND(AQ13 = "Low", AR13 = "Low"), 1))</f>
        <v>#NAME?</v>
      </c>
      <c r="FW13" s="197" t="e">
        <f t="shared" ref="FW13:FW289" ca="1" si="101">_xludf.IFS(
AP13 = "&lt; 5",5,
AP13 = "5-10",4.3,
AP13 = "10-20",3.7,
AP13 = "20-30",3,
AP13 = "30-40",2.3,
AP13 = "40-50",1.7,
AP13 = "&gt; 50",1)</f>
        <v>#NAME?</v>
      </c>
      <c r="FX13" s="209" t="e">
        <f t="shared" ref="FX13:FX289" ca="1" si="102">SUM(FV13:FW13)</f>
        <v>#NAME?</v>
      </c>
      <c r="FY13" s="211" t="e">
        <f t="shared" ref="FY13:FY76" ca="1" si="103">1+((FX13-MIN(diffrentiation_sums))*(4)/(MAX(diffrentiation_sums) - MIN(diffrentiation_sums)))</f>
        <v>#NAME?</v>
      </c>
      <c r="FZ13" s="36" t="str">
        <f t="shared" ref="FZ13:FZ289" si="104">AW13</f>
        <v>No</v>
      </c>
      <c r="GA13" s="196">
        <f>COUNTIF($FZ$2:$FZ$92, FZ13)/(COUNTIF($FZ$2:$FZ$92, "&lt;&gt;""") - COUNTIF($FZ$2:$FZ$92, ""))</f>
        <v>0.76666666666666672</v>
      </c>
      <c r="GB13" s="196" t="str">
        <f t="shared" ref="GB13:GB289" si="105">AT13</f>
        <v>Low</v>
      </c>
      <c r="GC13" s="196">
        <f>COUNTIF($GB$2:$GB$92, GB13)/(COUNTIF($GB$2:$GB$92, "&lt;&gt;""") - COUNTIF($GB$2:$GB$92, ""))</f>
        <v>0.55555555555555558</v>
      </c>
      <c r="GD13" s="196" t="str">
        <f t="shared" ref="GD13:GD289" si="106">AU13</f>
        <v>High</v>
      </c>
      <c r="GE13" s="196">
        <f>COUNTIF($GD$2:$GD$92, GD13)/(COUNTIF($GD$2:$GD$92, "&lt;&gt;""") - COUNTIF($GD$2:$GD$92, ""))</f>
        <v>0.8</v>
      </c>
      <c r="GF13" s="207"/>
      <c r="GG13" s="36"/>
      <c r="GH13" s="209" t="e">
        <f t="shared" ref="GH13:GH289" ca="1" si="107">SUM(EC13,EK13,EQ13,FR13,FY13)</f>
        <v>#NAME?</v>
      </c>
      <c r="GI13" s="212" t="e">
        <f t="shared" ref="GI13:GI76" ca="1" si="108">1+((GH13-MIN(ratings_sums))*(4)/(MAX(ratings_sums) - MIN(ratings_sums)))</f>
        <v>#NAME?</v>
      </c>
    </row>
    <row r="14" spans="1:191" ht="15.75" customHeight="1">
      <c r="A14" s="29" t="s">
        <v>394</v>
      </c>
      <c r="B14" s="29" t="s">
        <v>409</v>
      </c>
      <c r="C14" s="30">
        <v>1807583</v>
      </c>
      <c r="D14" s="29" t="s">
        <v>738</v>
      </c>
      <c r="E14" s="31"/>
      <c r="F14" s="29" t="s">
        <v>344</v>
      </c>
      <c r="G14" s="32" t="s">
        <v>739</v>
      </c>
      <c r="H14" s="32" t="s">
        <v>740</v>
      </c>
      <c r="I14" s="33">
        <v>43920</v>
      </c>
      <c r="J14" s="29" t="s">
        <v>741</v>
      </c>
      <c r="K14" s="29" t="s">
        <v>738</v>
      </c>
      <c r="M14" s="29" t="s">
        <v>331</v>
      </c>
      <c r="N14" s="29" t="s">
        <v>278</v>
      </c>
      <c r="O14" s="29" t="s">
        <v>30</v>
      </c>
      <c r="P14" s="29" t="s">
        <v>31</v>
      </c>
      <c r="Q14" s="29" t="s">
        <v>35</v>
      </c>
      <c r="R14" s="176"/>
      <c r="S14" s="29" t="s">
        <v>269</v>
      </c>
      <c r="T14" s="177"/>
      <c r="U14" s="178"/>
      <c r="V14" s="55"/>
      <c r="W14" s="200">
        <v>25000000</v>
      </c>
      <c r="X14" s="201">
        <v>0.2</v>
      </c>
      <c r="Y14" s="179">
        <v>20000000</v>
      </c>
      <c r="Z14" s="274">
        <v>20000000</v>
      </c>
      <c r="AA14" s="78" t="s">
        <v>298</v>
      </c>
      <c r="AB14" s="29" t="s">
        <v>36</v>
      </c>
      <c r="AC14" s="29" t="s">
        <v>179</v>
      </c>
      <c r="AD14" s="29" t="s">
        <v>38</v>
      </c>
      <c r="AE14" s="29" t="s">
        <v>190</v>
      </c>
      <c r="AF14" s="29" t="s">
        <v>181</v>
      </c>
      <c r="AG14" s="29" t="s">
        <v>39</v>
      </c>
      <c r="AH14" s="29" t="s">
        <v>190</v>
      </c>
      <c r="AI14" s="184"/>
      <c r="AJ14" s="277">
        <v>100100000000</v>
      </c>
      <c r="AK14" s="30" t="s">
        <v>222</v>
      </c>
      <c r="AL14" s="277">
        <v>1200000000</v>
      </c>
      <c r="AM14" s="30" t="s">
        <v>282</v>
      </c>
      <c r="AN14" s="277">
        <v>0.25</v>
      </c>
      <c r="AO14" s="185" t="e">
        <f t="shared" ca="1" si="63"/>
        <v>#NAME?</v>
      </c>
      <c r="AP14" s="202" t="s">
        <v>211</v>
      </c>
      <c r="AQ14" s="29" t="s">
        <v>181</v>
      </c>
      <c r="AR14" s="29" t="s">
        <v>181</v>
      </c>
      <c r="AS14" s="29" t="s">
        <v>42</v>
      </c>
      <c r="AT14" s="29" t="s">
        <v>181</v>
      </c>
      <c r="AU14" s="29" t="s">
        <v>39</v>
      </c>
      <c r="AV14" s="29" t="s">
        <v>227</v>
      </c>
      <c r="AW14" s="29" t="s">
        <v>190</v>
      </c>
      <c r="AX14" s="29" t="s">
        <v>190</v>
      </c>
      <c r="AY14" s="29" t="s">
        <v>190</v>
      </c>
      <c r="AZ14" s="179">
        <v>0</v>
      </c>
      <c r="BA14" s="179" t="s">
        <v>162</v>
      </c>
      <c r="BB14" s="277">
        <v>0</v>
      </c>
      <c r="BC14" s="277">
        <v>0</v>
      </c>
      <c r="BD14" s="30" t="s">
        <v>162</v>
      </c>
      <c r="BE14" s="277">
        <v>1</v>
      </c>
      <c r="BF14" s="30" t="s">
        <v>240</v>
      </c>
      <c r="BG14" s="29" t="s">
        <v>43</v>
      </c>
      <c r="BH14" s="176"/>
      <c r="BI14" s="29" t="s">
        <v>190</v>
      </c>
      <c r="BJ14" s="30">
        <v>0</v>
      </c>
      <c r="BK14" s="277">
        <v>2</v>
      </c>
      <c r="BL14" s="29" t="s">
        <v>190</v>
      </c>
      <c r="BM14" s="29" t="s">
        <v>190</v>
      </c>
      <c r="BN14" s="29" t="s">
        <v>227</v>
      </c>
      <c r="BO14" s="29" t="s">
        <v>227</v>
      </c>
      <c r="BP14" s="30">
        <v>2</v>
      </c>
      <c r="BQ14" s="30">
        <v>4</v>
      </c>
      <c r="BR14" s="30">
        <v>1</v>
      </c>
      <c r="BS14" s="30">
        <v>0</v>
      </c>
      <c r="BT14" s="203"/>
      <c r="BU14" s="30">
        <v>1</v>
      </c>
      <c r="BV14" s="30">
        <v>0</v>
      </c>
      <c r="BW14" s="30">
        <v>42</v>
      </c>
      <c r="BX14" s="29" t="s">
        <v>227</v>
      </c>
      <c r="BY14" s="203"/>
      <c r="BZ14" s="30">
        <v>0</v>
      </c>
      <c r="CA14" s="30">
        <v>0</v>
      </c>
      <c r="CB14" s="30">
        <v>28</v>
      </c>
      <c r="CC14" s="29" t="s">
        <v>190</v>
      </c>
      <c r="CD14" s="203"/>
      <c r="CE14" s="57"/>
      <c r="CF14" s="57"/>
      <c r="CG14" s="57"/>
      <c r="CH14" s="57"/>
      <c r="CI14" s="203"/>
      <c r="CJ14" s="57"/>
      <c r="CK14" s="57"/>
      <c r="CL14" s="57"/>
      <c r="CM14" s="57"/>
      <c r="CN14" s="203"/>
      <c r="CO14" s="186"/>
      <c r="CP14" s="186"/>
      <c r="CQ14" s="186"/>
      <c r="CR14" s="57"/>
      <c r="CS14" s="203"/>
      <c r="CT14" s="186"/>
      <c r="CU14" s="186"/>
      <c r="CV14" s="186"/>
      <c r="CW14" s="57"/>
      <c r="CX14" s="203"/>
      <c r="CY14" s="186"/>
      <c r="CZ14" s="186"/>
      <c r="DA14" s="186"/>
      <c r="DB14" s="57"/>
      <c r="DC14" s="203"/>
      <c r="DD14" s="186"/>
      <c r="DE14" s="186"/>
      <c r="DF14" s="186"/>
      <c r="DG14" s="57"/>
      <c r="DH14" s="203"/>
      <c r="DI14" s="186"/>
      <c r="DJ14" s="186"/>
      <c r="DK14" s="186"/>
      <c r="DL14" s="57"/>
      <c r="DM14" s="204"/>
      <c r="DN14" s="205"/>
      <c r="DO14" s="205"/>
      <c r="DQ14" s="206"/>
      <c r="DR14" s="188">
        <f t="shared" si="64"/>
        <v>0.5</v>
      </c>
      <c r="DS14" s="188"/>
      <c r="DT14" s="189">
        <f t="shared" si="65"/>
        <v>0</v>
      </c>
      <c r="DU14" s="189"/>
      <c r="DV14" s="188">
        <f t="shared" si="66"/>
        <v>35</v>
      </c>
      <c r="DW14" s="183" t="e">
        <f t="shared" ca="1" si="67"/>
        <v>#NAME?</v>
      </c>
      <c r="DX14" s="207"/>
      <c r="DY14" s="190" t="e">
        <f t="shared" ca="1" si="68"/>
        <v>#NAME?</v>
      </c>
      <c r="DZ14" s="191">
        <f t="shared" si="69"/>
        <v>3.1052631578947367</v>
      </c>
      <c r="EA14" s="191" t="str">
        <f t="shared" si="70"/>
        <v/>
      </c>
      <c r="EB14" s="191" t="str">
        <f t="shared" si="71"/>
        <v/>
      </c>
      <c r="EC14" s="208" t="e">
        <f t="shared" ca="1" si="72"/>
        <v>#NAME?</v>
      </c>
      <c r="ED14" s="36" t="str">
        <f t="shared" si="73"/>
        <v>SAFE</v>
      </c>
      <c r="EE14" s="193">
        <f>COUNTIF($ED$2:$ED$92, ED14)/(COUNTIF($ED$2:$ED$92, "&lt;&gt;""") - COUNTIF($ED$2:$ED$92, ""))</f>
        <v>0.37777777777777777</v>
      </c>
      <c r="EF14" s="36" t="str">
        <f t="shared" si="74"/>
        <v>Early</v>
      </c>
      <c r="EG14" s="207"/>
      <c r="EH14" s="194" t="e">
        <f t="shared" ca="1" si="75"/>
        <v>#NAME?</v>
      </c>
      <c r="EI14" s="194" t="e">
        <f t="shared" ca="1" si="76"/>
        <v>#NAME?</v>
      </c>
      <c r="EJ14" s="209" t="e">
        <f t="shared" ca="1" si="77"/>
        <v>#NAME?</v>
      </c>
      <c r="EK14" s="208" t="e">
        <f t="shared" ca="1" si="78"/>
        <v>#NAME?</v>
      </c>
      <c r="EL14" s="36" t="str">
        <f t="shared" si="79"/>
        <v>Yes</v>
      </c>
      <c r="EM14" s="207"/>
      <c r="EN14" s="192">
        <f t="shared" si="80"/>
        <v>1.0476190476190477</v>
      </c>
      <c r="EO14" s="192">
        <f t="shared" si="81"/>
        <v>1</v>
      </c>
      <c r="EP14" s="209">
        <f t="shared" si="82"/>
        <v>2.0476190476190474</v>
      </c>
      <c r="EQ14" s="210">
        <f t="shared" si="83"/>
        <v>1.0373831775700932</v>
      </c>
      <c r="ER14" s="36" t="e">
        <f t="shared" ca="1" si="84"/>
        <v>#NAME?</v>
      </c>
      <c r="ES14" s="40">
        <f ca="1">COUNTIF($ER$2:$ER$92, ER14)/(COUNTIF($ER$2:$ER$92, "&lt;&gt;""") - COUNTIF($ER$2:$ER$92, ""))</f>
        <v>1</v>
      </c>
      <c r="ET14" s="36">
        <f t="shared" si="85"/>
        <v>2</v>
      </c>
      <c r="EU14" s="40">
        <f>COUNTIF($ET$2:$ET$92, ET14)/(COUNTIF($ET$2:$ET$92, "&lt;&gt;""") - COUNTIF($ET$2:$ET$92, ""))</f>
        <v>0.45555555555555555</v>
      </c>
      <c r="EV14" s="36">
        <f t="shared" si="86"/>
        <v>4</v>
      </c>
      <c r="EW14" s="40">
        <f>COUNTIF($EV$2:$EV$92, EV14)/(COUNTIF($EV$2:$EV$92, "&lt;&gt;""") - COUNTIF($EV$2:$EV$92, ""))</f>
        <v>0.12222222222222222</v>
      </c>
      <c r="EX14" s="36" t="str">
        <f t="shared" si="87"/>
        <v>No</v>
      </c>
      <c r="EY14" s="40">
        <f>COUNTIF($EX$2:$EX$92, EX14)/(COUNTIF($EX$2:$EX$92, "&lt;&gt;""") - COUNTIF($EX$2:$EX$92, ""))</f>
        <v>0.72222222222222221</v>
      </c>
      <c r="EZ14" s="36" t="str">
        <f t="shared" ref="EZ14:FB14" si="109">BM14</f>
        <v>No</v>
      </c>
      <c r="FA14" s="36" t="str">
        <f t="shared" si="109"/>
        <v>Yes</v>
      </c>
      <c r="FB14" s="36" t="str">
        <f t="shared" si="109"/>
        <v>Yes</v>
      </c>
      <c r="FC14" s="207"/>
      <c r="FD14" s="36" t="str">
        <f t="shared" si="89"/>
        <v>Transactional</v>
      </c>
      <c r="FE14" s="40">
        <f>COUNTIF($FD$2:$FD$92, FD14)/(COUNTIF($FD$2:$FD$92, "&lt;&gt;""") - COUNTIF($FD$2:$FD$92, ""))</f>
        <v>0.6</v>
      </c>
      <c r="FF14" s="36" t="str">
        <f t="shared" si="90"/>
        <v>B2C</v>
      </c>
      <c r="FG14" s="40">
        <f>COUNTIF($FF$2:$FF$92, FF14)/(COUNTIF($FF$2:$FF$92, "&lt;&gt;""") - COUNTIF($FF$2:$FF$92, ""))</f>
        <v>0.41111111111111109</v>
      </c>
      <c r="FH14" s="36" t="str">
        <f t="shared" si="91"/>
        <v>Low</v>
      </c>
      <c r="FI14" s="40">
        <f>COUNTIF($FH$2:$FH$92, FH14)/(COUNTIF($FH$2:$FH$92, "&lt;&gt;""") - COUNTIF($FH$2:$FH$92, ""))</f>
        <v>0.46666666666666667</v>
      </c>
      <c r="FJ14" s="36" t="str">
        <f t="shared" si="92"/>
        <v>High</v>
      </c>
      <c r="FK14" s="40">
        <f>COUNTIF($FJ$2:$FJ$92, FJ14)/(COUNTIF($FJ$2:$FJ$92, "&lt;&gt;""") - COUNTIF($FJ$2:$FJ$92, ""))</f>
        <v>0.58888888888888891</v>
      </c>
      <c r="FL14" s="207"/>
      <c r="FM14" s="192">
        <f t="shared" si="93"/>
        <v>1</v>
      </c>
      <c r="FN14" s="192" t="e">
        <f t="shared" ca="1" si="94"/>
        <v>#NAME?</v>
      </c>
      <c r="FO14" s="192" t="e">
        <f t="shared" ca="1" si="95"/>
        <v>#NAME?</v>
      </c>
      <c r="FP14" s="192" t="e">
        <f t="shared" ca="1" si="96"/>
        <v>#NAME?</v>
      </c>
      <c r="FQ14" s="209" t="e">
        <f t="shared" ca="1" si="97"/>
        <v>#NAME?</v>
      </c>
      <c r="FR14" s="208" t="e">
        <f t="shared" ca="1" si="98"/>
        <v>#NAME?</v>
      </c>
      <c r="FS14" s="36" t="str">
        <f t="shared" si="99"/>
        <v>Pre-Product</v>
      </c>
      <c r="FT14" s="196">
        <f>COUNTIF($FS$2:$FS$92, FS14)/(COUNTIF($FS$2:$FS$92, "&lt;&gt;""") - COUNTIF($FZ$2:$FZ$92, ""))</f>
        <v>0.22222222222222221</v>
      </c>
      <c r="FU14" s="207"/>
      <c r="FV14" s="192" t="e">
        <f t="shared" ca="1" si="100"/>
        <v>#NAME?</v>
      </c>
      <c r="FW14" s="197" t="e">
        <f t="shared" ca="1" si="101"/>
        <v>#NAME?</v>
      </c>
      <c r="FX14" s="209" t="e">
        <f t="shared" ca="1" si="102"/>
        <v>#NAME?</v>
      </c>
      <c r="FY14" s="211" t="e">
        <f t="shared" ca="1" si="103"/>
        <v>#NAME?</v>
      </c>
      <c r="FZ14" s="36" t="str">
        <f t="shared" si="104"/>
        <v>No</v>
      </c>
      <c r="GA14" s="196">
        <f>COUNTIF($FZ$2:$FZ$92, FZ14)/(COUNTIF($FZ$2:$FZ$92, "&lt;&gt;""") - COUNTIF($FZ$2:$FZ$92, ""))</f>
        <v>0.76666666666666672</v>
      </c>
      <c r="GB14" s="196" t="str">
        <f t="shared" si="105"/>
        <v>Low</v>
      </c>
      <c r="GC14" s="196">
        <f>COUNTIF($GB$2:$GB$92, GB14)/(COUNTIF($GB$2:$GB$92, "&lt;&gt;""") - COUNTIF($GB$2:$GB$92, ""))</f>
        <v>0.55555555555555558</v>
      </c>
      <c r="GD14" s="196" t="str">
        <f t="shared" si="106"/>
        <v>High</v>
      </c>
      <c r="GE14" s="196">
        <f>COUNTIF($GD$2:$GD$92, GD14)/(COUNTIF($GD$2:$GD$92, "&lt;&gt;""") - COUNTIF($GD$2:$GD$92, ""))</f>
        <v>0.8</v>
      </c>
      <c r="GF14" s="207"/>
      <c r="GG14" s="36"/>
      <c r="GH14" s="209" t="e">
        <f t="shared" ca="1" si="107"/>
        <v>#NAME?</v>
      </c>
      <c r="GI14" s="212" t="e">
        <f t="shared" ca="1" si="108"/>
        <v>#NAME?</v>
      </c>
    </row>
    <row r="15" spans="1:191" ht="15.75" customHeight="1">
      <c r="A15" s="29" t="s">
        <v>394</v>
      </c>
      <c r="B15" s="29" t="s">
        <v>409</v>
      </c>
      <c r="C15" s="30">
        <v>1805018</v>
      </c>
      <c r="D15" s="29" t="s">
        <v>742</v>
      </c>
      <c r="E15" s="31"/>
      <c r="F15" s="29" t="s">
        <v>329</v>
      </c>
      <c r="G15" s="32" t="s">
        <v>743</v>
      </c>
      <c r="H15" s="32" t="s">
        <v>744</v>
      </c>
      <c r="I15" s="33">
        <v>43934</v>
      </c>
      <c r="J15" s="29" t="s">
        <v>745</v>
      </c>
      <c r="K15" s="29" t="s">
        <v>746</v>
      </c>
      <c r="M15" s="29" t="s">
        <v>747</v>
      </c>
      <c r="N15" s="29" t="s">
        <v>300</v>
      </c>
      <c r="O15" s="29" t="s">
        <v>30</v>
      </c>
      <c r="P15" s="29" t="s">
        <v>174</v>
      </c>
      <c r="Q15" s="29" t="s">
        <v>35</v>
      </c>
      <c r="R15" s="176"/>
      <c r="S15" s="29" t="s">
        <v>269</v>
      </c>
      <c r="T15" s="177"/>
      <c r="U15" s="178"/>
      <c r="V15" s="55"/>
      <c r="W15" s="200">
        <v>12000000</v>
      </c>
      <c r="X15" s="201">
        <v>0</v>
      </c>
      <c r="Y15" s="55"/>
      <c r="Z15" s="274">
        <v>12000000</v>
      </c>
      <c r="AA15" s="78" t="s">
        <v>261</v>
      </c>
      <c r="AB15" s="29" t="s">
        <v>178</v>
      </c>
      <c r="AC15" s="29" t="s">
        <v>37</v>
      </c>
      <c r="AD15" s="29" t="s">
        <v>180</v>
      </c>
      <c r="AE15" s="29" t="s">
        <v>227</v>
      </c>
      <c r="AF15" s="29" t="s">
        <v>39</v>
      </c>
      <c r="AG15" s="29" t="s">
        <v>181</v>
      </c>
      <c r="AH15" s="29" t="s">
        <v>227</v>
      </c>
      <c r="AI15" s="16" t="s">
        <v>748</v>
      </c>
      <c r="AJ15" s="277">
        <v>430000000000000</v>
      </c>
      <c r="AK15" s="30" t="s">
        <v>205</v>
      </c>
      <c r="AL15" s="278">
        <v>1400000000</v>
      </c>
      <c r="AM15" s="30" t="s">
        <v>282</v>
      </c>
      <c r="AN15" s="277">
        <v>0.13200000000000001</v>
      </c>
      <c r="AO15" s="185" t="e">
        <f t="shared" ca="1" si="63"/>
        <v>#NAME?</v>
      </c>
      <c r="AP15" s="202" t="s">
        <v>169</v>
      </c>
      <c r="AQ15" s="29" t="s">
        <v>39</v>
      </c>
      <c r="AR15" s="29" t="s">
        <v>181</v>
      </c>
      <c r="AS15" s="29" t="s">
        <v>182</v>
      </c>
      <c r="AT15" s="29" t="s">
        <v>39</v>
      </c>
      <c r="AU15" s="29" t="s">
        <v>181</v>
      </c>
      <c r="AV15" s="29" t="s">
        <v>227</v>
      </c>
      <c r="AW15" s="29" t="s">
        <v>190</v>
      </c>
      <c r="AX15" s="29" t="s">
        <v>227</v>
      </c>
      <c r="AY15" s="29" t="s">
        <v>227</v>
      </c>
      <c r="AZ15" s="179">
        <v>603763</v>
      </c>
      <c r="BA15" s="179" t="s">
        <v>239</v>
      </c>
      <c r="BB15" s="277">
        <v>93121</v>
      </c>
      <c r="BC15" s="277">
        <v>1420000</v>
      </c>
      <c r="BD15" s="30" t="s">
        <v>188</v>
      </c>
      <c r="BE15" s="277">
        <v>6.5000000000000002E-2</v>
      </c>
      <c r="BF15" s="30" t="s">
        <v>163</v>
      </c>
      <c r="BG15" s="29" t="s">
        <v>202</v>
      </c>
      <c r="BH15" s="176"/>
      <c r="BI15" s="29" t="s">
        <v>227</v>
      </c>
      <c r="BJ15" s="30">
        <v>10</v>
      </c>
      <c r="BK15" s="277">
        <v>2</v>
      </c>
      <c r="BL15" s="29" t="s">
        <v>227</v>
      </c>
      <c r="BM15" s="29" t="s">
        <v>190</v>
      </c>
      <c r="BN15" s="29" t="s">
        <v>227</v>
      </c>
      <c r="BO15" s="29" t="s">
        <v>190</v>
      </c>
      <c r="BP15" s="30">
        <v>4</v>
      </c>
      <c r="BQ15" s="30">
        <v>20</v>
      </c>
      <c r="BR15" s="30">
        <v>0</v>
      </c>
      <c r="BS15" s="30">
        <v>4</v>
      </c>
      <c r="BT15" s="203"/>
      <c r="BU15" s="30">
        <v>20</v>
      </c>
      <c r="BV15" s="30">
        <v>0</v>
      </c>
      <c r="BW15" s="30">
        <v>53</v>
      </c>
      <c r="BX15" s="29" t="s">
        <v>227</v>
      </c>
      <c r="BY15" s="203"/>
      <c r="BZ15" s="30">
        <v>24</v>
      </c>
      <c r="CA15" s="30">
        <v>0</v>
      </c>
      <c r="CB15" s="30">
        <v>52</v>
      </c>
      <c r="CC15" s="29" t="s">
        <v>227</v>
      </c>
      <c r="CD15" s="203"/>
      <c r="CE15" s="57"/>
      <c r="CF15" s="57"/>
      <c r="CG15" s="57"/>
      <c r="CH15" s="57"/>
      <c r="CI15" s="203"/>
      <c r="CJ15" s="57"/>
      <c r="CK15" s="57"/>
      <c r="CL15" s="57"/>
      <c r="CM15" s="57"/>
      <c r="CN15" s="203"/>
      <c r="CO15" s="186"/>
      <c r="CP15" s="186"/>
      <c r="CQ15" s="186"/>
      <c r="CR15" s="57"/>
      <c r="CS15" s="203"/>
      <c r="CT15" s="186"/>
      <c r="CU15" s="186"/>
      <c r="CV15" s="186"/>
      <c r="CW15" s="57"/>
      <c r="CX15" s="203"/>
      <c r="CY15" s="186"/>
      <c r="CZ15" s="186"/>
      <c r="DA15" s="186"/>
      <c r="DB15" s="57"/>
      <c r="DC15" s="203"/>
      <c r="DD15" s="186"/>
      <c r="DE15" s="186"/>
      <c r="DF15" s="186"/>
      <c r="DG15" s="57"/>
      <c r="DH15" s="203"/>
      <c r="DI15" s="186"/>
      <c r="DJ15" s="186"/>
      <c r="DK15" s="186"/>
      <c r="DL15" s="57"/>
      <c r="DM15" s="204"/>
      <c r="DN15" s="205"/>
      <c r="DO15" s="205"/>
      <c r="DQ15" s="206"/>
      <c r="DR15" s="188">
        <f t="shared" si="64"/>
        <v>22</v>
      </c>
      <c r="DS15" s="188"/>
      <c r="DT15" s="189">
        <f t="shared" si="65"/>
        <v>0</v>
      </c>
      <c r="DU15" s="189"/>
      <c r="DV15" s="188">
        <f t="shared" si="66"/>
        <v>52.5</v>
      </c>
      <c r="DW15" s="183" t="e">
        <f t="shared" ca="1" si="67"/>
        <v>#NAME?</v>
      </c>
      <c r="DX15" s="207"/>
      <c r="DY15" s="190" t="e">
        <f t="shared" ca="1" si="68"/>
        <v>#NAME?</v>
      </c>
      <c r="DZ15" s="191">
        <f t="shared" si="69"/>
        <v>1</v>
      </c>
      <c r="EA15" s="191" t="str">
        <f t="shared" si="70"/>
        <v/>
      </c>
      <c r="EB15" s="191" t="str">
        <f t="shared" si="71"/>
        <v/>
      </c>
      <c r="EC15" s="208" t="e">
        <f t="shared" ca="1" si="72"/>
        <v>#NAME?</v>
      </c>
      <c r="ED15" s="36" t="str">
        <f t="shared" si="73"/>
        <v>SAFE</v>
      </c>
      <c r="EE15" s="193">
        <f>COUNTIF($ED$2:$ED$92, ED15)/(COUNTIF($ED$2:$ED$92, "&lt;&gt;""") - COUNTIF($ED$2:$ED$92, ""))</f>
        <v>0.37777777777777777</v>
      </c>
      <c r="EF15" s="36" t="str">
        <f t="shared" si="74"/>
        <v>Early</v>
      </c>
      <c r="EG15" s="207"/>
      <c r="EH15" s="194" t="e">
        <f t="shared" ca="1" si="75"/>
        <v>#NAME?</v>
      </c>
      <c r="EI15" s="194" t="e">
        <f t="shared" ca="1" si="76"/>
        <v>#NAME?</v>
      </c>
      <c r="EJ15" s="209" t="e">
        <f t="shared" ca="1" si="77"/>
        <v>#NAME?</v>
      </c>
      <c r="EK15" s="208" t="e">
        <f t="shared" ca="1" si="78"/>
        <v>#NAME?</v>
      </c>
      <c r="EL15" s="36" t="str">
        <f t="shared" si="79"/>
        <v>Yes</v>
      </c>
      <c r="EM15" s="207"/>
      <c r="EN15" s="192">
        <f t="shared" si="80"/>
        <v>3.0952380952380953</v>
      </c>
      <c r="EO15" s="192">
        <f t="shared" si="81"/>
        <v>1</v>
      </c>
      <c r="EP15" s="209">
        <f t="shared" si="82"/>
        <v>4.0952380952380949</v>
      </c>
      <c r="EQ15" s="210">
        <f t="shared" si="83"/>
        <v>2.6448598130841119</v>
      </c>
      <c r="ER15" s="36" t="e">
        <f t="shared" ca="1" si="84"/>
        <v>#NAME?</v>
      </c>
      <c r="ES15" s="40">
        <f ca="1">COUNTIF($ER$2:$ER$92, ER15)/(COUNTIF($ER$2:$ER$92, "&lt;&gt;""") - COUNTIF($ER$2:$ER$92, ""))</f>
        <v>1</v>
      </c>
      <c r="ET15" s="36">
        <f t="shared" si="85"/>
        <v>2</v>
      </c>
      <c r="EU15" s="40">
        <f>COUNTIF($ET$2:$ET$92, ET15)/(COUNTIF($ET$2:$ET$92, "&lt;&gt;""") - COUNTIF($ET$2:$ET$92, ""))</f>
        <v>0.45555555555555555</v>
      </c>
      <c r="EV15" s="36">
        <f t="shared" si="86"/>
        <v>20</v>
      </c>
      <c r="EW15" s="40">
        <f>COUNTIF($EV$2:$EV$92, EV15)/(COUNTIF($EV$2:$EV$92, "&lt;&gt;""") - COUNTIF($EV$2:$EV$92, ""))</f>
        <v>2.2222222222222223E-2</v>
      </c>
      <c r="EX15" s="36" t="str">
        <f t="shared" si="87"/>
        <v>Yes</v>
      </c>
      <c r="EY15" s="40">
        <f>COUNTIF($EX$2:$EX$92, EX15)/(COUNTIF($EX$2:$EX$92, "&lt;&gt;""") - COUNTIF($EX$2:$EX$92, ""))</f>
        <v>0.27777777777777779</v>
      </c>
      <c r="EZ15" s="36" t="str">
        <f t="shared" ref="EZ15:FB15" si="110">BM15</f>
        <v>No</v>
      </c>
      <c r="FA15" s="36" t="str">
        <f t="shared" si="110"/>
        <v>Yes</v>
      </c>
      <c r="FB15" s="36" t="str">
        <f t="shared" si="110"/>
        <v>No</v>
      </c>
      <c r="FC15" s="207"/>
      <c r="FD15" s="36" t="str">
        <f t="shared" si="89"/>
        <v>Recurring</v>
      </c>
      <c r="FE15" s="40">
        <f>COUNTIF($FD$2:$FD$92, FD15)/(COUNTIF($FD$2:$FD$92, "&lt;&gt;""") - COUNTIF($FD$2:$FD$92, ""))</f>
        <v>0.4</v>
      </c>
      <c r="FF15" s="36" t="str">
        <f t="shared" si="90"/>
        <v>B2B</v>
      </c>
      <c r="FG15" s="40">
        <f>COUNTIF($FF$2:$FF$92, FF15)/(COUNTIF($FF$2:$FF$92, "&lt;&gt;""") - COUNTIF($FF$2:$FF$92, ""))</f>
        <v>0.24444444444444444</v>
      </c>
      <c r="FH15" s="36" t="str">
        <f t="shared" si="91"/>
        <v>High</v>
      </c>
      <c r="FI15" s="40">
        <f>COUNTIF($FH$2:$FH$92, FH15)/(COUNTIF($FH$2:$FH$92, "&lt;&gt;""") - COUNTIF($FH$2:$FH$92, ""))</f>
        <v>0.53333333333333333</v>
      </c>
      <c r="FJ15" s="36" t="str">
        <f t="shared" si="92"/>
        <v>Low</v>
      </c>
      <c r="FK15" s="40">
        <f>COUNTIF($FJ$2:$FJ$92, FJ15)/(COUNTIF($FJ$2:$FJ$92, "&lt;&gt;""") - COUNTIF($FJ$2:$FJ$92, ""))</f>
        <v>0.41111111111111109</v>
      </c>
      <c r="FL15" s="207"/>
      <c r="FM15" s="192">
        <f t="shared" si="93"/>
        <v>5</v>
      </c>
      <c r="FN15" s="192" t="e">
        <f t="shared" ca="1" si="94"/>
        <v>#NAME?</v>
      </c>
      <c r="FO15" s="192" t="e">
        <f t="shared" ca="1" si="95"/>
        <v>#NAME?</v>
      </c>
      <c r="FP15" s="192" t="e">
        <f t="shared" ca="1" si="96"/>
        <v>#NAME?</v>
      </c>
      <c r="FQ15" s="209" t="e">
        <f t="shared" ca="1" si="97"/>
        <v>#NAME?</v>
      </c>
      <c r="FR15" s="208" t="e">
        <f t="shared" ca="1" si="98"/>
        <v>#NAME?</v>
      </c>
      <c r="FS15" s="36" t="str">
        <f t="shared" si="99"/>
        <v>Pre-Profit</v>
      </c>
      <c r="FT15" s="196">
        <f>COUNTIF($FS$2:$FS$92, FS15)/(COUNTIF($FS$2:$FS$92, "&lt;&gt;""") - COUNTIF($FZ$2:$FZ$92, ""))</f>
        <v>0.51111111111111107</v>
      </c>
      <c r="FU15" s="207"/>
      <c r="FV15" s="192">
        <f t="shared" si="100"/>
        <v>3</v>
      </c>
      <c r="FW15" s="197" t="e">
        <f t="shared" ca="1" si="101"/>
        <v>#NAME?</v>
      </c>
      <c r="FX15" s="209" t="e">
        <f t="shared" ca="1" si="102"/>
        <v>#NAME?</v>
      </c>
      <c r="FY15" s="211" t="e">
        <f t="shared" ca="1" si="103"/>
        <v>#NAME?</v>
      </c>
      <c r="FZ15" s="36" t="str">
        <f t="shared" si="104"/>
        <v>No</v>
      </c>
      <c r="GA15" s="196">
        <f>COUNTIF($FZ$2:$FZ$92, FZ15)/(COUNTIF($FZ$2:$FZ$92, "&lt;&gt;""") - COUNTIF($FZ$2:$FZ$92, ""))</f>
        <v>0.76666666666666672</v>
      </c>
      <c r="GB15" s="196" t="str">
        <f t="shared" si="105"/>
        <v>High</v>
      </c>
      <c r="GC15" s="196">
        <f>COUNTIF($GB$2:$GB$92, GB15)/(COUNTIF($GB$2:$GB$92, "&lt;&gt;""") - COUNTIF($GB$2:$GB$92, ""))</f>
        <v>0.43333333333333335</v>
      </c>
      <c r="GD15" s="196" t="str">
        <f t="shared" si="106"/>
        <v>Low</v>
      </c>
      <c r="GE15" s="196">
        <f>COUNTIF($GD$2:$GD$92, GD15)/(COUNTIF($GD$2:$GD$92, "&lt;&gt;""") - COUNTIF($GD$2:$GD$92, ""))</f>
        <v>0.18888888888888888</v>
      </c>
      <c r="GF15" s="207"/>
      <c r="GG15" s="36"/>
      <c r="GH15" s="209" t="e">
        <f t="shared" ca="1" si="107"/>
        <v>#NAME?</v>
      </c>
      <c r="GI15" s="212" t="e">
        <f t="shared" ca="1" si="108"/>
        <v>#NAME?</v>
      </c>
    </row>
    <row r="16" spans="1:191" ht="15.75" customHeight="1">
      <c r="A16" s="29" t="s">
        <v>394</v>
      </c>
      <c r="B16" s="29" t="s">
        <v>409</v>
      </c>
      <c r="C16" s="30">
        <v>1796790</v>
      </c>
      <c r="D16" s="29" t="s">
        <v>749</v>
      </c>
      <c r="E16" s="31"/>
      <c r="F16" s="29" t="s">
        <v>329</v>
      </c>
      <c r="G16" s="32" t="s">
        <v>750</v>
      </c>
      <c r="H16" s="32" t="s">
        <v>751</v>
      </c>
      <c r="I16" s="33">
        <v>43936</v>
      </c>
      <c r="J16" s="29" t="s">
        <v>752</v>
      </c>
      <c r="K16" s="29" t="s">
        <v>749</v>
      </c>
      <c r="M16" s="29" t="s">
        <v>747</v>
      </c>
      <c r="N16" s="29" t="s">
        <v>300</v>
      </c>
      <c r="O16" s="29" t="s">
        <v>30</v>
      </c>
      <c r="P16" s="29" t="s">
        <v>174</v>
      </c>
      <c r="Q16" s="29" t="s">
        <v>35</v>
      </c>
      <c r="R16" s="176"/>
      <c r="S16" s="29" t="s">
        <v>269</v>
      </c>
      <c r="T16" s="177"/>
      <c r="U16" s="178"/>
      <c r="V16" s="55"/>
      <c r="W16" s="200">
        <v>10000000</v>
      </c>
      <c r="X16" s="201">
        <v>0.2</v>
      </c>
      <c r="Y16" s="179">
        <v>8000000</v>
      </c>
      <c r="Z16" s="274">
        <v>8000000</v>
      </c>
      <c r="AA16" s="78" t="s">
        <v>238</v>
      </c>
      <c r="AB16" s="29" t="s">
        <v>178</v>
      </c>
      <c r="AC16" s="29" t="s">
        <v>179</v>
      </c>
      <c r="AD16" s="29" t="s">
        <v>180</v>
      </c>
      <c r="AE16" s="29" t="s">
        <v>227</v>
      </c>
      <c r="AF16" s="29" t="s">
        <v>39</v>
      </c>
      <c r="AG16" s="29" t="s">
        <v>181</v>
      </c>
      <c r="AH16" s="29" t="s">
        <v>227</v>
      </c>
      <c r="AI16" s="16" t="s">
        <v>753</v>
      </c>
      <c r="AJ16" s="278">
        <v>300000000000</v>
      </c>
      <c r="AK16" s="30" t="s">
        <v>205</v>
      </c>
      <c r="AL16" s="278">
        <v>756000000</v>
      </c>
      <c r="AM16" s="30" t="s">
        <v>290</v>
      </c>
      <c r="AN16" s="277">
        <v>0.44700000000000001</v>
      </c>
      <c r="AO16" s="185" t="e">
        <f t="shared" ca="1" si="63"/>
        <v>#NAME?</v>
      </c>
      <c r="AP16" s="202" t="s">
        <v>192</v>
      </c>
      <c r="AQ16" s="29" t="s">
        <v>39</v>
      </c>
      <c r="AR16" s="29" t="s">
        <v>181</v>
      </c>
      <c r="AS16" s="29" t="s">
        <v>182</v>
      </c>
      <c r="AT16" s="29" t="s">
        <v>181</v>
      </c>
      <c r="AU16" s="29" t="s">
        <v>39</v>
      </c>
      <c r="AV16" s="29" t="s">
        <v>190</v>
      </c>
      <c r="AW16" s="29" t="s">
        <v>190</v>
      </c>
      <c r="AX16" s="29" t="s">
        <v>227</v>
      </c>
      <c r="AY16" s="29" t="s">
        <v>227</v>
      </c>
      <c r="AZ16" s="179">
        <v>358834</v>
      </c>
      <c r="BA16" s="179" t="s">
        <v>225</v>
      </c>
      <c r="BB16" s="277">
        <v>16530</v>
      </c>
      <c r="BC16" s="277">
        <v>1500000</v>
      </c>
      <c r="BD16" s="30" t="s">
        <v>188</v>
      </c>
      <c r="BE16" s="277">
        <v>1.0999999999999999E-2</v>
      </c>
      <c r="BF16" s="30" t="s">
        <v>163</v>
      </c>
      <c r="BG16" s="29" t="s">
        <v>202</v>
      </c>
      <c r="BH16" s="176"/>
      <c r="BI16" s="29" t="s">
        <v>227</v>
      </c>
      <c r="BJ16" s="30">
        <v>2</v>
      </c>
      <c r="BK16" s="277">
        <v>2</v>
      </c>
      <c r="BL16" s="29" t="s">
        <v>227</v>
      </c>
      <c r="BM16" s="29" t="s">
        <v>190</v>
      </c>
      <c r="BN16" s="29" t="s">
        <v>190</v>
      </c>
      <c r="BO16" s="29" t="s">
        <v>190</v>
      </c>
      <c r="BP16" s="30">
        <v>3</v>
      </c>
      <c r="BQ16" s="30">
        <v>14</v>
      </c>
      <c r="BR16" s="30">
        <v>0</v>
      </c>
      <c r="BS16" s="30">
        <v>3</v>
      </c>
      <c r="BT16" s="203"/>
      <c r="BU16" s="30">
        <v>0</v>
      </c>
      <c r="BV16" s="30">
        <v>1</v>
      </c>
      <c r="BW16" s="30">
        <v>33</v>
      </c>
      <c r="BX16" s="29" t="s">
        <v>190</v>
      </c>
      <c r="BY16" s="203"/>
      <c r="BZ16" s="30">
        <v>0</v>
      </c>
      <c r="CA16" s="30">
        <v>0</v>
      </c>
      <c r="CB16" s="30">
        <v>30</v>
      </c>
      <c r="CC16" s="29" t="s">
        <v>190</v>
      </c>
      <c r="CD16" s="203"/>
      <c r="CE16" s="57"/>
      <c r="CF16" s="57"/>
      <c r="CG16" s="57"/>
      <c r="CH16" s="57"/>
      <c r="CI16" s="203"/>
      <c r="CJ16" s="57"/>
      <c r="CK16" s="57"/>
      <c r="CL16" s="57"/>
      <c r="CM16" s="57"/>
      <c r="CN16" s="203"/>
      <c r="CO16" s="186"/>
      <c r="CP16" s="186"/>
      <c r="CQ16" s="186"/>
      <c r="CR16" s="57"/>
      <c r="CS16" s="203"/>
      <c r="CT16" s="186"/>
      <c r="CU16" s="186"/>
      <c r="CV16" s="186"/>
      <c r="CW16" s="57"/>
      <c r="CX16" s="203"/>
      <c r="CY16" s="186"/>
      <c r="CZ16" s="186"/>
      <c r="DA16" s="186"/>
      <c r="DB16" s="57"/>
      <c r="DC16" s="203"/>
      <c r="DD16" s="186"/>
      <c r="DE16" s="186"/>
      <c r="DF16" s="186"/>
      <c r="DG16" s="57"/>
      <c r="DH16" s="203"/>
      <c r="DI16" s="186"/>
      <c r="DJ16" s="186"/>
      <c r="DK16" s="186"/>
      <c r="DL16" s="57"/>
      <c r="DM16" s="204"/>
      <c r="DN16" s="205"/>
      <c r="DO16" s="205"/>
      <c r="DQ16" s="206"/>
      <c r="DR16" s="188">
        <f t="shared" si="64"/>
        <v>0</v>
      </c>
      <c r="DS16" s="188"/>
      <c r="DT16" s="189">
        <f t="shared" si="65"/>
        <v>1</v>
      </c>
      <c r="DU16" s="189"/>
      <c r="DV16" s="188">
        <f t="shared" si="66"/>
        <v>31.5</v>
      </c>
      <c r="DW16" s="183" t="e">
        <f t="shared" ca="1" si="67"/>
        <v>#NAME?</v>
      </c>
      <c r="DX16" s="207"/>
      <c r="DY16" s="190" t="e">
        <f t="shared" ca="1" si="68"/>
        <v>#NAME?</v>
      </c>
      <c r="DZ16" s="191">
        <f t="shared" si="69"/>
        <v>3.1052631578947367</v>
      </c>
      <c r="EA16" s="191" t="str">
        <f t="shared" si="70"/>
        <v/>
      </c>
      <c r="EB16" s="191" t="str">
        <f t="shared" si="71"/>
        <v/>
      </c>
      <c r="EC16" s="208" t="e">
        <f t="shared" ca="1" si="72"/>
        <v>#NAME?</v>
      </c>
      <c r="ED16" s="36" t="str">
        <f t="shared" si="73"/>
        <v>SAFE</v>
      </c>
      <c r="EE16" s="193">
        <f>COUNTIF($ED$2:$ED$92, ED16)/(COUNTIF($ED$2:$ED$92, "&lt;&gt;""") - COUNTIF($ED$2:$ED$92, ""))</f>
        <v>0.37777777777777777</v>
      </c>
      <c r="EF16" s="36" t="str">
        <f t="shared" si="74"/>
        <v>Early</v>
      </c>
      <c r="EG16" s="207"/>
      <c r="EH16" s="194" t="e">
        <f t="shared" ca="1" si="75"/>
        <v>#NAME?</v>
      </c>
      <c r="EI16" s="194" t="e">
        <f t="shared" ca="1" si="76"/>
        <v>#NAME?</v>
      </c>
      <c r="EJ16" s="209" t="e">
        <f t="shared" ca="1" si="77"/>
        <v>#NAME?</v>
      </c>
      <c r="EK16" s="208" t="e">
        <f t="shared" ca="1" si="78"/>
        <v>#NAME?</v>
      </c>
      <c r="EL16" s="36" t="str">
        <f t="shared" si="79"/>
        <v>No</v>
      </c>
      <c r="EM16" s="207"/>
      <c r="EN16" s="192">
        <f t="shared" si="80"/>
        <v>1</v>
      </c>
      <c r="EO16" s="192">
        <f t="shared" si="81"/>
        <v>2</v>
      </c>
      <c r="EP16" s="209">
        <f t="shared" si="82"/>
        <v>3</v>
      </c>
      <c r="EQ16" s="210">
        <f t="shared" si="83"/>
        <v>1.7850467289719627</v>
      </c>
      <c r="ER16" s="36" t="e">
        <f t="shared" ca="1" si="84"/>
        <v>#NAME?</v>
      </c>
      <c r="ES16" s="40">
        <f ca="1">COUNTIF($ER$2:$ER$92, ER16)/(COUNTIF($ER$2:$ER$92, "&lt;&gt;""") - COUNTIF($ER$2:$ER$92, ""))</f>
        <v>1</v>
      </c>
      <c r="ET16" s="36">
        <f t="shared" si="85"/>
        <v>2</v>
      </c>
      <c r="EU16" s="40">
        <f>COUNTIF($ET$2:$ET$92, ET16)/(COUNTIF($ET$2:$ET$92, "&lt;&gt;""") - COUNTIF($ET$2:$ET$92, ""))</f>
        <v>0.45555555555555555</v>
      </c>
      <c r="EV16" s="36">
        <f t="shared" si="86"/>
        <v>14</v>
      </c>
      <c r="EW16" s="40">
        <f>COUNTIF($EV$2:$EV$92, EV16)/(COUNTIF($EV$2:$EV$92, "&lt;&gt;""") - COUNTIF($EV$2:$EV$92, ""))</f>
        <v>3.3333333333333333E-2</v>
      </c>
      <c r="EX16" s="36" t="str">
        <f t="shared" si="87"/>
        <v>Yes</v>
      </c>
      <c r="EY16" s="40">
        <f>COUNTIF($EX$2:$EX$92, EX16)/(COUNTIF($EX$2:$EX$92, "&lt;&gt;""") - COUNTIF($EX$2:$EX$92, ""))</f>
        <v>0.27777777777777779</v>
      </c>
      <c r="EZ16" s="36" t="str">
        <f t="shared" ref="EZ16:FB16" si="111">BM16</f>
        <v>No</v>
      </c>
      <c r="FA16" s="36" t="str">
        <f t="shared" si="111"/>
        <v>No</v>
      </c>
      <c r="FB16" s="36" t="str">
        <f t="shared" si="111"/>
        <v>No</v>
      </c>
      <c r="FC16" s="207"/>
      <c r="FD16" s="36" t="str">
        <f t="shared" si="89"/>
        <v>Recurring</v>
      </c>
      <c r="FE16" s="40">
        <f>COUNTIF($FD$2:$FD$92, FD16)/(COUNTIF($FD$2:$FD$92, "&lt;&gt;""") - COUNTIF($FD$2:$FD$92, ""))</f>
        <v>0.4</v>
      </c>
      <c r="FF16" s="36" t="str">
        <f t="shared" si="90"/>
        <v>B2C</v>
      </c>
      <c r="FG16" s="40">
        <f>COUNTIF($FF$2:$FF$92, FF16)/(COUNTIF($FF$2:$FF$92, "&lt;&gt;""") - COUNTIF($FF$2:$FF$92, ""))</f>
        <v>0.41111111111111109</v>
      </c>
      <c r="FH16" s="36" t="str">
        <f t="shared" si="91"/>
        <v>High</v>
      </c>
      <c r="FI16" s="40">
        <f>COUNTIF($FH$2:$FH$92, FH16)/(COUNTIF($FH$2:$FH$92, "&lt;&gt;""") - COUNTIF($FH$2:$FH$92, ""))</f>
        <v>0.53333333333333333</v>
      </c>
      <c r="FJ16" s="36" t="str">
        <f t="shared" si="92"/>
        <v>Low</v>
      </c>
      <c r="FK16" s="40">
        <f>COUNTIF($FJ$2:$FJ$92, FJ16)/(COUNTIF($FJ$2:$FJ$92, "&lt;&gt;""") - COUNTIF($FJ$2:$FJ$92, ""))</f>
        <v>0.41111111111111109</v>
      </c>
      <c r="FL16" s="207"/>
      <c r="FM16" s="192">
        <f t="shared" si="93"/>
        <v>5</v>
      </c>
      <c r="FN16" s="192" t="e">
        <f t="shared" ca="1" si="94"/>
        <v>#NAME?</v>
      </c>
      <c r="FO16" s="192" t="e">
        <f t="shared" ca="1" si="95"/>
        <v>#NAME?</v>
      </c>
      <c r="FP16" s="192" t="e">
        <f t="shared" ca="1" si="96"/>
        <v>#NAME?</v>
      </c>
      <c r="FQ16" s="209" t="e">
        <f t="shared" ca="1" si="97"/>
        <v>#NAME?</v>
      </c>
      <c r="FR16" s="208" t="e">
        <f t="shared" ca="1" si="98"/>
        <v>#NAME?</v>
      </c>
      <c r="FS16" s="36" t="str">
        <f t="shared" si="99"/>
        <v>Pre-Profit</v>
      </c>
      <c r="FT16" s="196">
        <f>COUNTIF($FS$2:$FS$92, FS16)/(COUNTIF($FS$2:$FS$92, "&lt;&gt;""") - COUNTIF($FZ$2:$FZ$92, ""))</f>
        <v>0.51111111111111107</v>
      </c>
      <c r="FU16" s="207"/>
      <c r="FV16" s="192">
        <f t="shared" si="100"/>
        <v>3</v>
      </c>
      <c r="FW16" s="197" t="e">
        <f t="shared" ca="1" si="101"/>
        <v>#NAME?</v>
      </c>
      <c r="FX16" s="209" t="e">
        <f t="shared" ca="1" si="102"/>
        <v>#NAME?</v>
      </c>
      <c r="FY16" s="211" t="e">
        <f t="shared" ca="1" si="103"/>
        <v>#NAME?</v>
      </c>
      <c r="FZ16" s="36" t="str">
        <f t="shared" si="104"/>
        <v>No</v>
      </c>
      <c r="GA16" s="196">
        <f>COUNTIF($FZ$2:$FZ$92, FZ16)/(COUNTIF($FZ$2:$FZ$92, "&lt;&gt;""") - COUNTIF($FZ$2:$FZ$92, ""))</f>
        <v>0.76666666666666672</v>
      </c>
      <c r="GB16" s="196" t="str">
        <f t="shared" si="105"/>
        <v>Low</v>
      </c>
      <c r="GC16" s="196">
        <f>COUNTIF($GB$2:$GB$92, GB16)/(COUNTIF($GB$2:$GB$92, "&lt;&gt;""") - COUNTIF($GB$2:$GB$92, ""))</f>
        <v>0.55555555555555558</v>
      </c>
      <c r="GD16" s="196" t="str">
        <f t="shared" si="106"/>
        <v>High</v>
      </c>
      <c r="GE16" s="196">
        <f>COUNTIF($GD$2:$GD$92, GD16)/(COUNTIF($GD$2:$GD$92, "&lt;&gt;""") - COUNTIF($GD$2:$GD$92, ""))</f>
        <v>0.8</v>
      </c>
      <c r="GF16" s="207"/>
      <c r="GG16" s="36"/>
      <c r="GH16" s="209" t="e">
        <f t="shared" ca="1" si="107"/>
        <v>#NAME?</v>
      </c>
      <c r="GI16" s="212" t="e">
        <f t="shared" ca="1" si="108"/>
        <v>#NAME?</v>
      </c>
    </row>
    <row r="17" spans="1:191" ht="15.75" customHeight="1">
      <c r="A17" s="29" t="s">
        <v>394</v>
      </c>
      <c r="B17" s="29" t="s">
        <v>355</v>
      </c>
      <c r="C17" s="30">
        <v>1804789</v>
      </c>
      <c r="D17" s="29" t="s">
        <v>754</v>
      </c>
      <c r="E17" s="31"/>
      <c r="F17" s="29" t="s">
        <v>344</v>
      </c>
      <c r="G17" s="32" t="s">
        <v>755</v>
      </c>
      <c r="H17" s="32" t="s">
        <v>756</v>
      </c>
      <c r="I17" s="33">
        <v>43887</v>
      </c>
      <c r="J17" s="29" t="s">
        <v>757</v>
      </c>
      <c r="K17" s="29" t="s">
        <v>754</v>
      </c>
      <c r="M17" s="29" t="s">
        <v>758</v>
      </c>
      <c r="N17" s="29" t="s">
        <v>278</v>
      </c>
      <c r="O17" s="29" t="s">
        <v>30</v>
      </c>
      <c r="P17" s="29" t="s">
        <v>31</v>
      </c>
      <c r="Q17" s="29" t="s">
        <v>35</v>
      </c>
      <c r="R17" s="176"/>
      <c r="S17" s="29" t="s">
        <v>269</v>
      </c>
      <c r="T17" s="177"/>
      <c r="U17" s="178"/>
      <c r="V17" s="55"/>
      <c r="W17" s="200">
        <v>6000000</v>
      </c>
      <c r="X17" s="201">
        <v>0.2</v>
      </c>
      <c r="Y17" s="179">
        <v>4800000</v>
      </c>
      <c r="Z17" s="274">
        <v>4800000</v>
      </c>
      <c r="AA17" s="78" t="s">
        <v>224</v>
      </c>
      <c r="AB17" s="29" t="s">
        <v>178</v>
      </c>
      <c r="AC17" s="29" t="s">
        <v>37</v>
      </c>
      <c r="AD17" s="29" t="s">
        <v>180</v>
      </c>
      <c r="AE17" s="29" t="s">
        <v>227</v>
      </c>
      <c r="AF17" s="29" t="s">
        <v>39</v>
      </c>
      <c r="AG17" s="29" t="s">
        <v>181</v>
      </c>
      <c r="AH17" s="29" t="s">
        <v>190</v>
      </c>
      <c r="AI17" s="184"/>
      <c r="AJ17" s="277">
        <v>6500000000</v>
      </c>
      <c r="AK17" s="30" t="s">
        <v>271</v>
      </c>
      <c r="AL17" s="277">
        <v>650000000</v>
      </c>
      <c r="AM17" s="30" t="s">
        <v>259</v>
      </c>
      <c r="AN17" s="277">
        <v>0.13</v>
      </c>
      <c r="AO17" s="185" t="e">
        <f t="shared" ca="1" si="63"/>
        <v>#NAME?</v>
      </c>
      <c r="AP17" s="202" t="s">
        <v>211</v>
      </c>
      <c r="AQ17" s="29" t="s">
        <v>39</v>
      </c>
      <c r="AR17" s="29" t="s">
        <v>181</v>
      </c>
      <c r="AS17" s="29" t="s">
        <v>182</v>
      </c>
      <c r="AT17" s="29" t="s">
        <v>39</v>
      </c>
      <c r="AU17" s="29" t="s">
        <v>181</v>
      </c>
      <c r="AV17" s="29" t="s">
        <v>190</v>
      </c>
      <c r="AW17" s="29" t="s">
        <v>227</v>
      </c>
      <c r="AX17" s="29" t="s">
        <v>227</v>
      </c>
      <c r="AY17" s="29" t="s">
        <v>190</v>
      </c>
      <c r="AZ17" s="179">
        <v>0</v>
      </c>
      <c r="BA17" s="179" t="s">
        <v>162</v>
      </c>
      <c r="BB17" s="277">
        <v>0</v>
      </c>
      <c r="BC17" s="277">
        <v>247397</v>
      </c>
      <c r="BD17" s="30" t="s">
        <v>225</v>
      </c>
      <c r="BE17" s="277">
        <v>1</v>
      </c>
      <c r="BF17" s="30" t="s">
        <v>240</v>
      </c>
      <c r="BG17" s="29" t="s">
        <v>183</v>
      </c>
      <c r="BH17" s="176"/>
      <c r="BI17" s="29" t="s">
        <v>227</v>
      </c>
      <c r="BJ17" s="30">
        <v>1</v>
      </c>
      <c r="BK17" s="277">
        <v>2</v>
      </c>
      <c r="BL17" s="29" t="s">
        <v>227</v>
      </c>
      <c r="BM17" s="29" t="s">
        <v>190</v>
      </c>
      <c r="BN17" s="29" t="s">
        <v>227</v>
      </c>
      <c r="BO17" s="29" t="s">
        <v>190</v>
      </c>
      <c r="BP17" s="30">
        <v>4</v>
      </c>
      <c r="BQ17" s="30">
        <v>2</v>
      </c>
      <c r="BR17" s="30">
        <v>0</v>
      </c>
      <c r="BS17" s="30">
        <v>0</v>
      </c>
      <c r="BT17" s="203"/>
      <c r="BU17" s="30">
        <v>6</v>
      </c>
      <c r="BV17" s="30">
        <v>0</v>
      </c>
      <c r="BW17" s="30">
        <v>60</v>
      </c>
      <c r="BX17" s="29" t="s">
        <v>190</v>
      </c>
      <c r="BY17" s="203"/>
      <c r="BZ17" s="30">
        <v>15</v>
      </c>
      <c r="CA17" s="30">
        <v>0</v>
      </c>
      <c r="CB17" s="30">
        <v>38</v>
      </c>
      <c r="CC17" s="29" t="s">
        <v>190</v>
      </c>
      <c r="CD17" s="203"/>
      <c r="CE17" s="57"/>
      <c r="CF17" s="57"/>
      <c r="CG17" s="57"/>
      <c r="CH17" s="57"/>
      <c r="CI17" s="203"/>
      <c r="CJ17" s="57"/>
      <c r="CK17" s="57"/>
      <c r="CL17" s="57"/>
      <c r="CM17" s="57"/>
      <c r="CN17" s="203"/>
      <c r="CO17" s="186"/>
      <c r="CP17" s="186"/>
      <c r="CQ17" s="186"/>
      <c r="CR17" s="57"/>
      <c r="CS17" s="203"/>
      <c r="CT17" s="186"/>
      <c r="CU17" s="186"/>
      <c r="CV17" s="186"/>
      <c r="CW17" s="57"/>
      <c r="CX17" s="203"/>
      <c r="CY17" s="186"/>
      <c r="CZ17" s="186"/>
      <c r="DA17" s="186"/>
      <c r="DB17" s="57"/>
      <c r="DC17" s="203"/>
      <c r="DD17" s="186"/>
      <c r="DE17" s="186"/>
      <c r="DF17" s="186"/>
      <c r="DG17" s="57"/>
      <c r="DH17" s="203"/>
      <c r="DI17" s="186"/>
      <c r="DJ17" s="186"/>
      <c r="DK17" s="186"/>
      <c r="DL17" s="57"/>
      <c r="DM17" s="204"/>
      <c r="DN17" s="205"/>
      <c r="DO17" s="205"/>
      <c r="DQ17" s="206"/>
      <c r="DR17" s="188">
        <f t="shared" si="64"/>
        <v>10.5</v>
      </c>
      <c r="DS17" s="188"/>
      <c r="DT17" s="189">
        <f t="shared" si="65"/>
        <v>0</v>
      </c>
      <c r="DU17" s="189"/>
      <c r="DV17" s="188">
        <f t="shared" si="66"/>
        <v>49</v>
      </c>
      <c r="DW17" s="183" t="e">
        <f t="shared" ca="1" si="67"/>
        <v>#NAME?</v>
      </c>
      <c r="DX17" s="207"/>
      <c r="DY17" s="190" t="e">
        <f t="shared" ca="1" si="68"/>
        <v>#NAME?</v>
      </c>
      <c r="DZ17" s="191">
        <f t="shared" si="69"/>
        <v>3.1052631578947367</v>
      </c>
      <c r="EA17" s="191" t="str">
        <f t="shared" si="70"/>
        <v/>
      </c>
      <c r="EB17" s="191" t="str">
        <f t="shared" si="71"/>
        <v/>
      </c>
      <c r="EC17" s="208" t="e">
        <f t="shared" ca="1" si="72"/>
        <v>#NAME?</v>
      </c>
      <c r="ED17" s="36" t="str">
        <f t="shared" si="73"/>
        <v>SAFE</v>
      </c>
      <c r="EE17" s="193">
        <f>COUNTIF($ED$2:$ED$92, ED17)/(COUNTIF($ED$2:$ED$92, "&lt;&gt;""") - COUNTIF($ED$2:$ED$92, ""))</f>
        <v>0.37777777777777777</v>
      </c>
      <c r="EF17" s="36" t="str">
        <f t="shared" si="74"/>
        <v>Early</v>
      </c>
      <c r="EG17" s="207"/>
      <c r="EH17" s="194" t="e">
        <f t="shared" ca="1" si="75"/>
        <v>#NAME?</v>
      </c>
      <c r="EI17" s="194" t="e">
        <f t="shared" ca="1" si="76"/>
        <v>#NAME?</v>
      </c>
      <c r="EJ17" s="209" t="e">
        <f t="shared" ca="1" si="77"/>
        <v>#NAME?</v>
      </c>
      <c r="EK17" s="208" t="e">
        <f t="shared" ca="1" si="78"/>
        <v>#NAME?</v>
      </c>
      <c r="EL17" s="36" t="str">
        <f t="shared" si="79"/>
        <v>No</v>
      </c>
      <c r="EM17" s="207"/>
      <c r="EN17" s="192">
        <f t="shared" si="80"/>
        <v>2</v>
      </c>
      <c r="EO17" s="192">
        <f t="shared" si="81"/>
        <v>1</v>
      </c>
      <c r="EP17" s="209">
        <f t="shared" si="82"/>
        <v>3</v>
      </c>
      <c r="EQ17" s="210">
        <f t="shared" si="83"/>
        <v>1.7850467289719627</v>
      </c>
      <c r="ER17" s="36" t="e">
        <f t="shared" ca="1" si="84"/>
        <v>#NAME?</v>
      </c>
      <c r="ES17" s="40">
        <f ca="1">COUNTIF($ER$2:$ER$92, ER17)/(COUNTIF($ER$2:$ER$92, "&lt;&gt;""") - COUNTIF($ER$2:$ER$92, ""))</f>
        <v>1</v>
      </c>
      <c r="ET17" s="36">
        <f t="shared" si="85"/>
        <v>2</v>
      </c>
      <c r="EU17" s="40">
        <f>COUNTIF($ET$2:$ET$92, ET17)/(COUNTIF($ET$2:$ET$92, "&lt;&gt;""") - COUNTIF($ET$2:$ET$92, ""))</f>
        <v>0.45555555555555555</v>
      </c>
      <c r="EV17" s="36">
        <f t="shared" si="86"/>
        <v>2</v>
      </c>
      <c r="EW17" s="40">
        <f>COUNTIF($EV$2:$EV$92, EV17)/(COUNTIF($EV$2:$EV$92, "&lt;&gt;""") - COUNTIF($EV$2:$EV$92, ""))</f>
        <v>0.15555555555555556</v>
      </c>
      <c r="EX17" s="36" t="str">
        <f t="shared" si="87"/>
        <v>Yes</v>
      </c>
      <c r="EY17" s="40">
        <f>COUNTIF($EX$2:$EX$92, EX17)/(COUNTIF($EX$2:$EX$92, "&lt;&gt;""") - COUNTIF($EX$2:$EX$92, ""))</f>
        <v>0.27777777777777779</v>
      </c>
      <c r="EZ17" s="36" t="str">
        <f t="shared" ref="EZ17:FB17" si="112">BM17</f>
        <v>No</v>
      </c>
      <c r="FA17" s="36" t="str">
        <f t="shared" si="112"/>
        <v>Yes</v>
      </c>
      <c r="FB17" s="36" t="str">
        <f t="shared" si="112"/>
        <v>No</v>
      </c>
      <c r="FC17" s="207"/>
      <c r="FD17" s="36" t="str">
        <f t="shared" si="89"/>
        <v>Recurring</v>
      </c>
      <c r="FE17" s="40">
        <f>COUNTIF($FD$2:$FD$92, FD17)/(COUNTIF($FD$2:$FD$92, "&lt;&gt;""") - COUNTIF($FD$2:$FD$92, ""))</f>
        <v>0.4</v>
      </c>
      <c r="FF17" s="36" t="str">
        <f t="shared" si="90"/>
        <v>B2B</v>
      </c>
      <c r="FG17" s="40">
        <f>COUNTIF($FF$2:$FF$92, FF17)/(COUNTIF($FF$2:$FF$92, "&lt;&gt;""") - COUNTIF($FF$2:$FF$92, ""))</f>
        <v>0.24444444444444444</v>
      </c>
      <c r="FH17" s="36" t="str">
        <f t="shared" si="91"/>
        <v>High</v>
      </c>
      <c r="FI17" s="40">
        <f>COUNTIF($FH$2:$FH$92, FH17)/(COUNTIF($FH$2:$FH$92, "&lt;&gt;""") - COUNTIF($FH$2:$FH$92, ""))</f>
        <v>0.53333333333333333</v>
      </c>
      <c r="FJ17" s="36" t="str">
        <f t="shared" si="92"/>
        <v>Low</v>
      </c>
      <c r="FK17" s="40">
        <f>COUNTIF($FJ$2:$FJ$92, FJ17)/(COUNTIF($FJ$2:$FJ$92, "&lt;&gt;""") - COUNTIF($FJ$2:$FJ$92, ""))</f>
        <v>0.41111111111111109</v>
      </c>
      <c r="FL17" s="207"/>
      <c r="FM17" s="192">
        <f t="shared" si="93"/>
        <v>3</v>
      </c>
      <c r="FN17" s="192" t="e">
        <f t="shared" ca="1" si="94"/>
        <v>#NAME?</v>
      </c>
      <c r="FO17" s="192" t="e">
        <f t="shared" ca="1" si="95"/>
        <v>#NAME?</v>
      </c>
      <c r="FP17" s="192" t="e">
        <f t="shared" ca="1" si="96"/>
        <v>#NAME?</v>
      </c>
      <c r="FQ17" s="209" t="e">
        <f t="shared" ca="1" si="97"/>
        <v>#NAME?</v>
      </c>
      <c r="FR17" s="208" t="e">
        <f t="shared" ca="1" si="98"/>
        <v>#NAME?</v>
      </c>
      <c r="FS17" s="36" t="str">
        <f t="shared" si="99"/>
        <v>Pre-Revenue</v>
      </c>
      <c r="FT17" s="196">
        <f>COUNTIF($FS$2:$FS$92, FS17)/(COUNTIF($FS$2:$FS$92, "&lt;&gt;""") - COUNTIF($FZ$2:$FZ$92, ""))</f>
        <v>0.2</v>
      </c>
      <c r="FU17" s="207"/>
      <c r="FV17" s="192">
        <f t="shared" si="100"/>
        <v>3</v>
      </c>
      <c r="FW17" s="197" t="e">
        <f t="shared" ca="1" si="101"/>
        <v>#NAME?</v>
      </c>
      <c r="FX17" s="209" t="e">
        <f t="shared" ca="1" si="102"/>
        <v>#NAME?</v>
      </c>
      <c r="FY17" s="211" t="e">
        <f t="shared" ca="1" si="103"/>
        <v>#NAME?</v>
      </c>
      <c r="FZ17" s="36" t="str">
        <f t="shared" si="104"/>
        <v>Yes</v>
      </c>
      <c r="GA17" s="196">
        <f>COUNTIF($FZ$2:$FZ$92, FZ17)/(COUNTIF($FZ$2:$FZ$92, "&lt;&gt;""") - COUNTIF($FZ$2:$FZ$92, ""))</f>
        <v>0.23333333333333334</v>
      </c>
      <c r="GB17" s="196" t="str">
        <f t="shared" si="105"/>
        <v>High</v>
      </c>
      <c r="GC17" s="196">
        <f>COUNTIF($GB$2:$GB$92, GB17)/(COUNTIF($GB$2:$GB$92, "&lt;&gt;""") - COUNTIF($GB$2:$GB$92, ""))</f>
        <v>0.43333333333333335</v>
      </c>
      <c r="GD17" s="196" t="str">
        <f t="shared" si="106"/>
        <v>Low</v>
      </c>
      <c r="GE17" s="196">
        <f>COUNTIF($GD$2:$GD$92, GD17)/(COUNTIF($GD$2:$GD$92, "&lt;&gt;""") - COUNTIF($GD$2:$GD$92, ""))</f>
        <v>0.18888888888888888</v>
      </c>
      <c r="GF17" s="207"/>
      <c r="GG17" s="36"/>
      <c r="GH17" s="209" t="e">
        <f t="shared" ca="1" si="107"/>
        <v>#NAME?</v>
      </c>
      <c r="GI17" s="212" t="e">
        <f t="shared" ca="1" si="108"/>
        <v>#NAME?</v>
      </c>
    </row>
    <row r="18" spans="1:191" ht="15.75" customHeight="1">
      <c r="A18" s="29" t="s">
        <v>394</v>
      </c>
      <c r="B18" s="29" t="s">
        <v>355</v>
      </c>
      <c r="C18" s="30">
        <v>1800203</v>
      </c>
      <c r="D18" s="29" t="s">
        <v>759</v>
      </c>
      <c r="E18" s="31"/>
      <c r="F18" s="29" t="s">
        <v>344</v>
      </c>
      <c r="G18" s="32" t="s">
        <v>760</v>
      </c>
      <c r="H18" s="32" t="s">
        <v>761</v>
      </c>
      <c r="I18" s="33">
        <v>43881</v>
      </c>
      <c r="J18" s="29" t="s">
        <v>762</v>
      </c>
      <c r="K18" s="29" t="s">
        <v>759</v>
      </c>
      <c r="M18" s="29" t="s">
        <v>335</v>
      </c>
      <c r="N18" s="29" t="s">
        <v>294</v>
      </c>
      <c r="O18" s="29" t="s">
        <v>30</v>
      </c>
      <c r="P18" s="29" t="s">
        <v>31</v>
      </c>
      <c r="Q18" s="29" t="s">
        <v>35</v>
      </c>
      <c r="R18" s="176"/>
      <c r="S18" s="29" t="s">
        <v>232</v>
      </c>
      <c r="T18" s="177"/>
      <c r="U18" s="178"/>
      <c r="V18" s="179">
        <v>6800000</v>
      </c>
      <c r="W18" s="180"/>
      <c r="X18" s="181"/>
      <c r="Y18" s="55"/>
      <c r="Z18" s="274">
        <v>6800000</v>
      </c>
      <c r="AA18" s="78" t="s">
        <v>238</v>
      </c>
      <c r="AB18" s="29" t="s">
        <v>36</v>
      </c>
      <c r="AC18" s="29" t="s">
        <v>200</v>
      </c>
      <c r="AD18" s="29" t="s">
        <v>180</v>
      </c>
      <c r="AE18" s="29" t="s">
        <v>190</v>
      </c>
      <c r="AF18" s="29" t="s">
        <v>181</v>
      </c>
      <c r="AG18" s="29" t="s">
        <v>39</v>
      </c>
      <c r="AH18" s="29" t="s">
        <v>190</v>
      </c>
      <c r="AI18" s="184"/>
      <c r="AJ18" s="277">
        <v>16729625000</v>
      </c>
      <c r="AK18" s="30" t="s">
        <v>259</v>
      </c>
      <c r="AL18" s="277">
        <v>1400000000</v>
      </c>
      <c r="AM18" s="30" t="s">
        <v>290</v>
      </c>
      <c r="AN18" s="277">
        <v>0.14000000000000001</v>
      </c>
      <c r="AO18" s="185" t="e">
        <f t="shared" ca="1" si="63"/>
        <v>#NAME?</v>
      </c>
      <c r="AP18" s="202" t="s">
        <v>211</v>
      </c>
      <c r="AQ18" s="29" t="s">
        <v>181</v>
      </c>
      <c r="AR18" s="29" t="s">
        <v>39</v>
      </c>
      <c r="AS18" s="29" t="s">
        <v>42</v>
      </c>
      <c r="AT18" s="29" t="s">
        <v>39</v>
      </c>
      <c r="AU18" s="29" t="s">
        <v>39</v>
      </c>
      <c r="AV18" s="29" t="s">
        <v>190</v>
      </c>
      <c r="AW18" s="29" t="s">
        <v>227</v>
      </c>
      <c r="AX18" s="29" t="s">
        <v>227</v>
      </c>
      <c r="AY18" s="29" t="s">
        <v>227</v>
      </c>
      <c r="AZ18" s="179">
        <v>21349</v>
      </c>
      <c r="BA18" s="179" t="s">
        <v>189</v>
      </c>
      <c r="BB18" s="277">
        <v>27146</v>
      </c>
      <c r="BC18" s="277">
        <v>147845</v>
      </c>
      <c r="BD18" s="30" t="s">
        <v>225</v>
      </c>
      <c r="BE18" s="277">
        <v>0.18360000000000001</v>
      </c>
      <c r="BF18" s="30" t="s">
        <v>191</v>
      </c>
      <c r="BG18" s="29" t="s">
        <v>202</v>
      </c>
      <c r="BH18" s="176"/>
      <c r="BI18" s="29" t="s">
        <v>227</v>
      </c>
      <c r="BJ18" s="30">
        <v>3</v>
      </c>
      <c r="BK18" s="277">
        <v>1</v>
      </c>
      <c r="BL18" s="29" t="s">
        <v>190</v>
      </c>
      <c r="BM18" s="29" t="s">
        <v>190</v>
      </c>
      <c r="BN18" s="29" t="s">
        <v>227</v>
      </c>
      <c r="BO18" s="29" t="s">
        <v>190</v>
      </c>
      <c r="BP18" s="30">
        <v>2</v>
      </c>
      <c r="BQ18" s="30">
        <v>3</v>
      </c>
      <c r="BR18" s="30">
        <v>0</v>
      </c>
      <c r="BS18" s="30">
        <v>0</v>
      </c>
      <c r="BT18" s="203"/>
      <c r="BU18" s="30">
        <v>10</v>
      </c>
      <c r="BV18" s="30">
        <v>1</v>
      </c>
      <c r="BW18" s="30">
        <v>52</v>
      </c>
      <c r="BX18" s="29" t="s">
        <v>227</v>
      </c>
      <c r="BY18" s="203"/>
      <c r="BZ18" s="186"/>
      <c r="CA18" s="186"/>
      <c r="CB18" s="186"/>
      <c r="CC18" s="57"/>
      <c r="CD18" s="203"/>
      <c r="CE18" s="57"/>
      <c r="CF18" s="57"/>
      <c r="CG18" s="57"/>
      <c r="CH18" s="57"/>
      <c r="CI18" s="203"/>
      <c r="CJ18" s="57"/>
      <c r="CK18" s="57"/>
      <c r="CL18" s="57"/>
      <c r="CM18" s="57"/>
      <c r="CN18" s="203"/>
      <c r="CO18" s="186"/>
      <c r="CP18" s="186"/>
      <c r="CQ18" s="186"/>
      <c r="CR18" s="57"/>
      <c r="CS18" s="203"/>
      <c r="CT18" s="186"/>
      <c r="CU18" s="186"/>
      <c r="CV18" s="186"/>
      <c r="CW18" s="57"/>
      <c r="CX18" s="203"/>
      <c r="CY18" s="186"/>
      <c r="CZ18" s="186"/>
      <c r="DA18" s="186"/>
      <c r="DB18" s="57"/>
      <c r="DC18" s="203"/>
      <c r="DD18" s="186"/>
      <c r="DE18" s="186"/>
      <c r="DF18" s="186"/>
      <c r="DG18" s="57"/>
      <c r="DH18" s="203"/>
      <c r="DI18" s="186"/>
      <c r="DJ18" s="186"/>
      <c r="DK18" s="186"/>
      <c r="DL18" s="57"/>
      <c r="DM18" s="204"/>
      <c r="DN18" s="205"/>
      <c r="DO18" s="205"/>
      <c r="DQ18" s="206"/>
      <c r="DR18" s="188">
        <f t="shared" si="64"/>
        <v>10</v>
      </c>
      <c r="DS18" s="188"/>
      <c r="DT18" s="189">
        <f t="shared" si="65"/>
        <v>1</v>
      </c>
      <c r="DU18" s="189"/>
      <c r="DV18" s="188">
        <f t="shared" si="66"/>
        <v>52</v>
      </c>
      <c r="DW18" s="183" t="e">
        <f t="shared" ca="1" si="67"/>
        <v>#NAME?</v>
      </c>
      <c r="DX18" s="207"/>
      <c r="DY18" s="190" t="e">
        <f t="shared" ca="1" si="68"/>
        <v>#NAME?</v>
      </c>
      <c r="DZ18" s="191" t="str">
        <f t="shared" si="69"/>
        <v/>
      </c>
      <c r="EA18" s="191" t="str">
        <f t="shared" si="70"/>
        <v/>
      </c>
      <c r="EB18" s="191" t="str">
        <f t="shared" si="71"/>
        <v/>
      </c>
      <c r="EC18" s="208" t="e">
        <f t="shared" ca="1" si="72"/>
        <v>#NAME?</v>
      </c>
      <c r="ED18" s="36" t="str">
        <f t="shared" si="73"/>
        <v>Equity - Preferred</v>
      </c>
      <c r="EE18" s="193">
        <f>COUNTIF($ED$2:$ED$92, ED18)/(COUNTIF($ED$2:$ED$92, "&lt;&gt;""") - COUNTIF($ED$2:$ED$92, ""))</f>
        <v>6.6666666666666666E-2</v>
      </c>
      <c r="EF18" s="36" t="str">
        <f t="shared" si="74"/>
        <v>Early</v>
      </c>
      <c r="EG18" s="207"/>
      <c r="EH18" s="194" t="e">
        <f t="shared" ca="1" si="75"/>
        <v>#NAME?</v>
      </c>
      <c r="EI18" s="194" t="e">
        <f t="shared" ca="1" si="76"/>
        <v>#NAME?</v>
      </c>
      <c r="EJ18" s="209" t="e">
        <f t="shared" ca="1" si="77"/>
        <v>#NAME?</v>
      </c>
      <c r="EK18" s="208" t="e">
        <f t="shared" ca="1" si="78"/>
        <v>#NAME?</v>
      </c>
      <c r="EL18" s="36" t="str">
        <f t="shared" si="79"/>
        <v>No</v>
      </c>
      <c r="EM18" s="207"/>
      <c r="EN18" s="192">
        <f t="shared" si="80"/>
        <v>1.9523809523809523</v>
      </c>
      <c r="EO18" s="192">
        <f t="shared" si="81"/>
        <v>2</v>
      </c>
      <c r="EP18" s="209">
        <f t="shared" si="82"/>
        <v>3.9523809523809526</v>
      </c>
      <c r="EQ18" s="210">
        <f t="shared" si="83"/>
        <v>2.5327102803738319</v>
      </c>
      <c r="ER18" s="36" t="e">
        <f t="shared" ca="1" si="84"/>
        <v>#NAME?</v>
      </c>
      <c r="ES18" s="40">
        <f ca="1">COUNTIF($ER$2:$ER$92, ER18)/(COUNTIF($ER$2:$ER$92, "&lt;&gt;""") - COUNTIF($ER$2:$ER$92, ""))</f>
        <v>1</v>
      </c>
      <c r="ET18" s="36">
        <f t="shared" si="85"/>
        <v>1</v>
      </c>
      <c r="EU18" s="40">
        <f>COUNTIF($ET$2:$ET$92, ET18)/(COUNTIF($ET$2:$ET$92, "&lt;&gt;""") - COUNTIF($ET$2:$ET$92, ""))</f>
        <v>0.45555555555555555</v>
      </c>
      <c r="EV18" s="36">
        <f t="shared" si="86"/>
        <v>3</v>
      </c>
      <c r="EW18" s="40">
        <f>COUNTIF($EV$2:$EV$92, EV18)/(COUNTIF($EV$2:$EV$92, "&lt;&gt;""") - COUNTIF($EV$2:$EV$92, ""))</f>
        <v>8.8888888888888892E-2</v>
      </c>
      <c r="EX18" s="36" t="str">
        <f t="shared" si="87"/>
        <v>No</v>
      </c>
      <c r="EY18" s="40">
        <f>COUNTIF($EX$2:$EX$92, EX18)/(COUNTIF($EX$2:$EX$92, "&lt;&gt;""") - COUNTIF($EX$2:$EX$92, ""))</f>
        <v>0.72222222222222221</v>
      </c>
      <c r="EZ18" s="36" t="str">
        <f t="shared" ref="EZ18:FB18" si="113">BM18</f>
        <v>No</v>
      </c>
      <c r="FA18" s="36" t="str">
        <f t="shared" si="113"/>
        <v>Yes</v>
      </c>
      <c r="FB18" s="36" t="str">
        <f t="shared" si="113"/>
        <v>No</v>
      </c>
      <c r="FC18" s="207"/>
      <c r="FD18" s="36" t="str">
        <f t="shared" si="89"/>
        <v>Transactional</v>
      </c>
      <c r="FE18" s="40">
        <f>COUNTIF($FD$2:$FD$92, FD18)/(COUNTIF($FD$2:$FD$92, "&lt;&gt;""") - COUNTIF($FD$2:$FD$92, ""))</f>
        <v>0.6</v>
      </c>
      <c r="FF18" s="36" t="str">
        <f t="shared" si="90"/>
        <v>B2B2C</v>
      </c>
      <c r="FG18" s="40">
        <f>COUNTIF($FF$2:$FF$92, FF18)/(COUNTIF($FF$2:$FF$92, "&lt;&gt;""") - COUNTIF($FF$2:$FF$92, ""))</f>
        <v>6.6666666666666666E-2</v>
      </c>
      <c r="FH18" s="36" t="str">
        <f t="shared" si="91"/>
        <v>Low</v>
      </c>
      <c r="FI18" s="40">
        <f>COUNTIF($FH$2:$FH$92, FH18)/(COUNTIF($FH$2:$FH$92, "&lt;&gt;""") - COUNTIF($FH$2:$FH$92, ""))</f>
        <v>0.46666666666666667</v>
      </c>
      <c r="FJ18" s="36" t="str">
        <f t="shared" si="92"/>
        <v>High</v>
      </c>
      <c r="FK18" s="40">
        <f>COUNTIF($FJ$2:$FJ$92, FJ18)/(COUNTIF($FJ$2:$FJ$92, "&lt;&gt;""") - COUNTIF($FJ$2:$FJ$92, ""))</f>
        <v>0.58888888888888891</v>
      </c>
      <c r="FL18" s="207"/>
      <c r="FM18" s="192">
        <f t="shared" si="93"/>
        <v>5</v>
      </c>
      <c r="FN18" s="192" t="e">
        <f t="shared" ca="1" si="94"/>
        <v>#NAME?</v>
      </c>
      <c r="FO18" s="192" t="e">
        <f t="shared" ca="1" si="95"/>
        <v>#NAME?</v>
      </c>
      <c r="FP18" s="192" t="e">
        <f t="shared" ca="1" si="96"/>
        <v>#NAME?</v>
      </c>
      <c r="FQ18" s="209" t="e">
        <f t="shared" ca="1" si="97"/>
        <v>#NAME?</v>
      </c>
      <c r="FR18" s="208" t="e">
        <f t="shared" ca="1" si="98"/>
        <v>#NAME?</v>
      </c>
      <c r="FS18" s="36" t="str">
        <f t="shared" si="99"/>
        <v>Pre-Profit</v>
      </c>
      <c r="FT18" s="196">
        <f>COUNTIF($FS$2:$FS$92, FS18)/(COUNTIF($FS$2:$FS$92, "&lt;&gt;""") - COUNTIF($FZ$2:$FZ$92, ""))</f>
        <v>0.51111111111111107</v>
      </c>
      <c r="FU18" s="207"/>
      <c r="FV18" s="192">
        <f t="shared" si="100"/>
        <v>3</v>
      </c>
      <c r="FW18" s="197" t="e">
        <f t="shared" ca="1" si="101"/>
        <v>#NAME?</v>
      </c>
      <c r="FX18" s="209" t="e">
        <f t="shared" ca="1" si="102"/>
        <v>#NAME?</v>
      </c>
      <c r="FY18" s="211" t="e">
        <f t="shared" ca="1" si="103"/>
        <v>#NAME?</v>
      </c>
      <c r="FZ18" s="36" t="str">
        <f t="shared" si="104"/>
        <v>Yes</v>
      </c>
      <c r="GA18" s="196">
        <f>COUNTIF($FZ$2:$FZ$92, FZ18)/(COUNTIF($FZ$2:$FZ$92, "&lt;&gt;""") - COUNTIF($FZ$2:$FZ$92, ""))</f>
        <v>0.23333333333333334</v>
      </c>
      <c r="GB18" s="196" t="str">
        <f t="shared" si="105"/>
        <v>High</v>
      </c>
      <c r="GC18" s="196">
        <f>COUNTIF($GB$2:$GB$92, GB18)/(COUNTIF($GB$2:$GB$92, "&lt;&gt;""") - COUNTIF($GB$2:$GB$92, ""))</f>
        <v>0.43333333333333335</v>
      </c>
      <c r="GD18" s="196" t="str">
        <f t="shared" si="106"/>
        <v>High</v>
      </c>
      <c r="GE18" s="196">
        <f>COUNTIF($GD$2:$GD$92, GD18)/(COUNTIF($GD$2:$GD$92, "&lt;&gt;""") - COUNTIF($GD$2:$GD$92, ""))</f>
        <v>0.8</v>
      </c>
      <c r="GF18" s="207"/>
      <c r="GG18" s="36"/>
      <c r="GH18" s="209" t="e">
        <f t="shared" ca="1" si="107"/>
        <v>#NAME?</v>
      </c>
      <c r="GI18" s="212" t="e">
        <f t="shared" ca="1" si="108"/>
        <v>#NAME?</v>
      </c>
    </row>
    <row r="19" spans="1:191" ht="15.75" customHeight="1">
      <c r="A19" s="29" t="s">
        <v>394</v>
      </c>
      <c r="B19" s="29" t="s">
        <v>355</v>
      </c>
      <c r="C19" s="30">
        <v>1808580</v>
      </c>
      <c r="D19" s="29" t="s">
        <v>763</v>
      </c>
      <c r="E19" s="31"/>
      <c r="F19" s="29" t="s">
        <v>333</v>
      </c>
      <c r="G19" s="32" t="s">
        <v>764</v>
      </c>
      <c r="H19" s="32" t="s">
        <v>765</v>
      </c>
      <c r="I19" s="33">
        <v>43931</v>
      </c>
      <c r="J19" s="29" t="s">
        <v>766</v>
      </c>
      <c r="K19" s="29" t="s">
        <v>763</v>
      </c>
      <c r="M19" s="29" t="s">
        <v>28</v>
      </c>
      <c r="N19" s="29" t="s">
        <v>315</v>
      </c>
      <c r="O19" s="29" t="s">
        <v>30</v>
      </c>
      <c r="P19" s="29" t="s">
        <v>174</v>
      </c>
      <c r="Q19" s="29" t="s">
        <v>35</v>
      </c>
      <c r="R19" s="29" t="s">
        <v>199</v>
      </c>
      <c r="S19" s="29" t="s">
        <v>176</v>
      </c>
      <c r="T19" s="177"/>
      <c r="U19" s="178"/>
      <c r="V19" s="55"/>
      <c r="W19" s="200">
        <v>6000000</v>
      </c>
      <c r="X19" s="201">
        <v>0.2</v>
      </c>
      <c r="Y19" s="179">
        <v>4800000</v>
      </c>
      <c r="Z19" s="274">
        <v>4800000</v>
      </c>
      <c r="AA19" s="78" t="s">
        <v>224</v>
      </c>
      <c r="AB19" s="29" t="s">
        <v>36</v>
      </c>
      <c r="AC19" s="29" t="s">
        <v>179</v>
      </c>
      <c r="AD19" s="29" t="s">
        <v>180</v>
      </c>
      <c r="AE19" s="29" t="s">
        <v>227</v>
      </c>
      <c r="AF19" s="29" t="s">
        <v>181</v>
      </c>
      <c r="AG19" s="29" t="s">
        <v>181</v>
      </c>
      <c r="AH19" s="29" t="s">
        <v>190</v>
      </c>
      <c r="AI19" s="184"/>
      <c r="AJ19" s="277">
        <v>70000000000</v>
      </c>
      <c r="AK19" s="30" t="s">
        <v>236</v>
      </c>
      <c r="AL19" s="277">
        <v>3000000000</v>
      </c>
      <c r="AM19" s="30" t="s">
        <v>282</v>
      </c>
      <c r="AN19" s="277">
        <v>0.11</v>
      </c>
      <c r="AO19" s="185" t="e">
        <f t="shared" ca="1" si="63"/>
        <v>#NAME?</v>
      </c>
      <c r="AP19" s="202" t="s">
        <v>211</v>
      </c>
      <c r="AQ19" s="29" t="s">
        <v>181</v>
      </c>
      <c r="AR19" s="29" t="s">
        <v>181</v>
      </c>
      <c r="AS19" s="29" t="s">
        <v>42</v>
      </c>
      <c r="AT19" s="29" t="s">
        <v>181</v>
      </c>
      <c r="AU19" s="29" t="s">
        <v>39</v>
      </c>
      <c r="AV19" s="29" t="s">
        <v>190</v>
      </c>
      <c r="AW19" s="29" t="s">
        <v>190</v>
      </c>
      <c r="AX19" s="29" t="s">
        <v>190</v>
      </c>
      <c r="AY19" s="29" t="s">
        <v>190</v>
      </c>
      <c r="AZ19" s="179">
        <v>0</v>
      </c>
      <c r="BA19" s="179" t="s">
        <v>162</v>
      </c>
      <c r="BB19" s="277">
        <v>16633</v>
      </c>
      <c r="BC19" s="277">
        <v>0</v>
      </c>
      <c r="BD19" s="30" t="s">
        <v>162</v>
      </c>
      <c r="BE19" s="277">
        <v>1</v>
      </c>
      <c r="BF19" s="30" t="s">
        <v>240</v>
      </c>
      <c r="BG19" s="29" t="s">
        <v>43</v>
      </c>
      <c r="BH19" s="176"/>
      <c r="BI19" s="29" t="s">
        <v>227</v>
      </c>
      <c r="BJ19" s="30">
        <v>2</v>
      </c>
      <c r="BK19" s="277">
        <v>2</v>
      </c>
      <c r="BL19" s="29" t="s">
        <v>227</v>
      </c>
      <c r="BM19" s="29" t="s">
        <v>227</v>
      </c>
      <c r="BN19" s="29" t="s">
        <v>190</v>
      </c>
      <c r="BO19" s="29" t="s">
        <v>190</v>
      </c>
      <c r="BP19" s="30">
        <v>2</v>
      </c>
      <c r="BQ19" s="30">
        <v>2</v>
      </c>
      <c r="BR19" s="30">
        <v>0</v>
      </c>
      <c r="BS19" s="30">
        <v>0</v>
      </c>
      <c r="BT19" s="203"/>
      <c r="BU19" s="30">
        <v>35</v>
      </c>
      <c r="BV19" s="30">
        <v>0</v>
      </c>
      <c r="BW19" s="30">
        <v>66</v>
      </c>
      <c r="BX19" s="29" t="s">
        <v>190</v>
      </c>
      <c r="BY19" s="203"/>
      <c r="BZ19" s="186"/>
      <c r="CA19" s="186"/>
      <c r="CB19" s="186"/>
      <c r="CC19" s="57"/>
      <c r="CD19" s="203"/>
      <c r="CE19" s="57"/>
      <c r="CF19" s="57"/>
      <c r="CG19" s="57"/>
      <c r="CH19" s="57"/>
      <c r="CI19" s="203"/>
      <c r="CJ19" s="57"/>
      <c r="CK19" s="57"/>
      <c r="CL19" s="57"/>
      <c r="CM19" s="57"/>
      <c r="CN19" s="203"/>
      <c r="CO19" s="186"/>
      <c r="CP19" s="186"/>
      <c r="CQ19" s="186"/>
      <c r="CR19" s="57"/>
      <c r="CS19" s="203"/>
      <c r="CT19" s="186"/>
      <c r="CU19" s="186"/>
      <c r="CV19" s="186"/>
      <c r="CW19" s="57"/>
      <c r="CX19" s="203"/>
      <c r="CY19" s="186"/>
      <c r="CZ19" s="186"/>
      <c r="DA19" s="186"/>
      <c r="DB19" s="57"/>
      <c r="DC19" s="203"/>
      <c r="DD19" s="186"/>
      <c r="DE19" s="186"/>
      <c r="DF19" s="186"/>
      <c r="DG19" s="57"/>
      <c r="DH19" s="203"/>
      <c r="DI19" s="186"/>
      <c r="DJ19" s="186"/>
      <c r="DK19" s="186"/>
      <c r="DL19" s="57"/>
      <c r="DM19" s="204"/>
      <c r="DN19" s="205"/>
      <c r="DO19" s="205"/>
      <c r="DQ19" s="206"/>
      <c r="DR19" s="188">
        <f t="shared" si="64"/>
        <v>35</v>
      </c>
      <c r="DS19" s="188"/>
      <c r="DT19" s="189">
        <f t="shared" si="65"/>
        <v>0</v>
      </c>
      <c r="DU19" s="189"/>
      <c r="DV19" s="188">
        <f t="shared" si="66"/>
        <v>66</v>
      </c>
      <c r="DW19" s="183" t="e">
        <f t="shared" ca="1" si="67"/>
        <v>#NAME?</v>
      </c>
      <c r="DX19" s="207"/>
      <c r="DY19" s="190" t="e">
        <f t="shared" ca="1" si="68"/>
        <v>#NAME?</v>
      </c>
      <c r="DZ19" s="191">
        <f t="shared" si="69"/>
        <v>3.1052631578947367</v>
      </c>
      <c r="EA19" s="191" t="str">
        <f t="shared" si="70"/>
        <v/>
      </c>
      <c r="EB19" s="191" t="str">
        <f t="shared" si="71"/>
        <v/>
      </c>
      <c r="EC19" s="208" t="e">
        <f t="shared" ca="1" si="72"/>
        <v>#NAME?</v>
      </c>
      <c r="ED19" s="36" t="str">
        <f t="shared" si="73"/>
        <v>Convertible Note</v>
      </c>
      <c r="EE19" s="193">
        <f>COUNTIF($ED$2:$ED$92, ED19)/(COUNTIF($ED$2:$ED$92, "&lt;&gt;""") - COUNTIF($ED$2:$ED$92, ""))</f>
        <v>0.13333333333333333</v>
      </c>
      <c r="EF19" s="36" t="str">
        <f t="shared" si="74"/>
        <v>Early</v>
      </c>
      <c r="EG19" s="207"/>
      <c r="EH19" s="194" t="e">
        <f t="shared" ca="1" si="75"/>
        <v>#NAME?</v>
      </c>
      <c r="EI19" s="194" t="e">
        <f t="shared" ca="1" si="76"/>
        <v>#NAME?</v>
      </c>
      <c r="EJ19" s="209" t="e">
        <f t="shared" ca="1" si="77"/>
        <v>#NAME?</v>
      </c>
      <c r="EK19" s="208" t="e">
        <f t="shared" ca="1" si="78"/>
        <v>#NAME?</v>
      </c>
      <c r="EL19" s="36" t="str">
        <f t="shared" si="79"/>
        <v>No</v>
      </c>
      <c r="EM19" s="207"/>
      <c r="EN19" s="192">
        <f t="shared" si="80"/>
        <v>4.3333333333333339</v>
      </c>
      <c r="EO19" s="192">
        <f t="shared" si="81"/>
        <v>1</v>
      </c>
      <c r="EP19" s="209">
        <f t="shared" si="82"/>
        <v>5.3333333333333339</v>
      </c>
      <c r="EQ19" s="210">
        <f t="shared" si="83"/>
        <v>3.6168224299065428</v>
      </c>
      <c r="ER19" s="36" t="e">
        <f t="shared" ca="1" si="84"/>
        <v>#NAME?</v>
      </c>
      <c r="ES19" s="40">
        <f ca="1">COUNTIF($ER$2:$ER$92, ER19)/(COUNTIF($ER$2:$ER$92, "&lt;&gt;""") - COUNTIF($ER$2:$ER$92, ""))</f>
        <v>1</v>
      </c>
      <c r="ET19" s="36">
        <f t="shared" si="85"/>
        <v>2</v>
      </c>
      <c r="EU19" s="40">
        <f>COUNTIF($ET$2:$ET$92, ET19)/(COUNTIF($ET$2:$ET$92, "&lt;&gt;""") - COUNTIF($ET$2:$ET$92, ""))</f>
        <v>0.45555555555555555</v>
      </c>
      <c r="EV19" s="36">
        <f t="shared" si="86"/>
        <v>2</v>
      </c>
      <c r="EW19" s="40">
        <f>COUNTIF($EV$2:$EV$92, EV19)/(COUNTIF($EV$2:$EV$92, "&lt;&gt;""") - COUNTIF($EV$2:$EV$92, ""))</f>
        <v>0.15555555555555556</v>
      </c>
      <c r="EX19" s="36" t="str">
        <f t="shared" si="87"/>
        <v>Yes</v>
      </c>
      <c r="EY19" s="40">
        <f>COUNTIF($EX$2:$EX$92, EX19)/(COUNTIF($EX$2:$EX$92, "&lt;&gt;""") - COUNTIF($EX$2:$EX$92, ""))</f>
        <v>0.27777777777777779</v>
      </c>
      <c r="EZ19" s="36" t="str">
        <f t="shared" ref="EZ19:FB19" si="114">BM19</f>
        <v>Yes</v>
      </c>
      <c r="FA19" s="36" t="str">
        <f t="shared" si="114"/>
        <v>No</v>
      </c>
      <c r="FB19" s="36" t="str">
        <f t="shared" si="114"/>
        <v>No</v>
      </c>
      <c r="FC19" s="207"/>
      <c r="FD19" s="36" t="str">
        <f t="shared" si="89"/>
        <v>Transactional</v>
      </c>
      <c r="FE19" s="40">
        <f>COUNTIF($FD$2:$FD$92, FD19)/(COUNTIF($FD$2:$FD$92, "&lt;&gt;""") - COUNTIF($FD$2:$FD$92, ""))</f>
        <v>0.6</v>
      </c>
      <c r="FF19" s="36" t="str">
        <f t="shared" si="90"/>
        <v>B2C</v>
      </c>
      <c r="FG19" s="40">
        <f>COUNTIF($FF$2:$FF$92, FF19)/(COUNTIF($FF$2:$FF$92, "&lt;&gt;""") - COUNTIF($FF$2:$FF$92, ""))</f>
        <v>0.41111111111111109</v>
      </c>
      <c r="FH19" s="36" t="str">
        <f t="shared" si="91"/>
        <v>Low</v>
      </c>
      <c r="FI19" s="40">
        <f>COUNTIF($FH$2:$FH$92, FH19)/(COUNTIF($FH$2:$FH$92, "&lt;&gt;""") - COUNTIF($FH$2:$FH$92, ""))</f>
        <v>0.46666666666666667</v>
      </c>
      <c r="FJ19" s="36" t="str">
        <f t="shared" si="92"/>
        <v>Low</v>
      </c>
      <c r="FK19" s="40">
        <f>COUNTIF($FJ$2:$FJ$92, FJ19)/(COUNTIF($FJ$2:$FJ$92, "&lt;&gt;""") - COUNTIF($FJ$2:$FJ$92, ""))</f>
        <v>0.41111111111111109</v>
      </c>
      <c r="FL19" s="207"/>
      <c r="FM19" s="192">
        <f t="shared" si="93"/>
        <v>1</v>
      </c>
      <c r="FN19" s="192" t="e">
        <f t="shared" ca="1" si="94"/>
        <v>#NAME?</v>
      </c>
      <c r="FO19" s="192" t="e">
        <f t="shared" ca="1" si="95"/>
        <v>#NAME?</v>
      </c>
      <c r="FP19" s="192" t="e">
        <f t="shared" ca="1" si="96"/>
        <v>#NAME?</v>
      </c>
      <c r="FQ19" s="209" t="e">
        <f t="shared" ca="1" si="97"/>
        <v>#NAME?</v>
      </c>
      <c r="FR19" s="208" t="e">
        <f t="shared" ca="1" si="98"/>
        <v>#NAME?</v>
      </c>
      <c r="FS19" s="36" t="str">
        <f t="shared" si="99"/>
        <v>Pre-Product</v>
      </c>
      <c r="FT19" s="196">
        <f>COUNTIF($FS$2:$FS$92, FS19)/(COUNTIF($FS$2:$FS$92, "&lt;&gt;""") - COUNTIF($FZ$2:$FZ$92, ""))</f>
        <v>0.22222222222222221</v>
      </c>
      <c r="FU19" s="207"/>
      <c r="FV19" s="192" t="e">
        <f t="shared" ca="1" si="100"/>
        <v>#NAME?</v>
      </c>
      <c r="FW19" s="197" t="e">
        <f t="shared" ca="1" si="101"/>
        <v>#NAME?</v>
      </c>
      <c r="FX19" s="209" t="e">
        <f t="shared" ca="1" si="102"/>
        <v>#NAME?</v>
      </c>
      <c r="FY19" s="211" t="e">
        <f t="shared" ca="1" si="103"/>
        <v>#NAME?</v>
      </c>
      <c r="FZ19" s="36" t="str">
        <f t="shared" si="104"/>
        <v>No</v>
      </c>
      <c r="GA19" s="196">
        <f>COUNTIF($FZ$2:$FZ$92, FZ19)/(COUNTIF($FZ$2:$FZ$92, "&lt;&gt;""") - COUNTIF($FZ$2:$FZ$92, ""))</f>
        <v>0.76666666666666672</v>
      </c>
      <c r="GB19" s="196" t="str">
        <f t="shared" si="105"/>
        <v>Low</v>
      </c>
      <c r="GC19" s="196">
        <f>COUNTIF($GB$2:$GB$92, GB19)/(COUNTIF($GB$2:$GB$92, "&lt;&gt;""") - COUNTIF($GB$2:$GB$92, ""))</f>
        <v>0.55555555555555558</v>
      </c>
      <c r="GD19" s="196" t="str">
        <f t="shared" si="106"/>
        <v>High</v>
      </c>
      <c r="GE19" s="196">
        <f>COUNTIF($GD$2:$GD$92, GD19)/(COUNTIF($GD$2:$GD$92, "&lt;&gt;""") - COUNTIF($GD$2:$GD$92, ""))</f>
        <v>0.8</v>
      </c>
      <c r="GF19" s="207"/>
      <c r="GG19" s="36"/>
      <c r="GH19" s="209" t="e">
        <f t="shared" ca="1" si="107"/>
        <v>#NAME?</v>
      </c>
      <c r="GI19" s="212" t="e">
        <f t="shared" ca="1" si="108"/>
        <v>#NAME?</v>
      </c>
    </row>
    <row r="20" spans="1:191" ht="15.75" customHeight="1">
      <c r="A20" s="57"/>
      <c r="B20" s="57" t="s">
        <v>409</v>
      </c>
      <c r="C20" s="185">
        <v>1720258</v>
      </c>
      <c r="D20" s="57" t="s">
        <v>767</v>
      </c>
      <c r="E20" s="31">
        <v>43650.371527777781</v>
      </c>
      <c r="F20" s="176" t="s">
        <v>337</v>
      </c>
      <c r="G20" s="221" t="s">
        <v>768</v>
      </c>
      <c r="H20" s="221" t="s">
        <v>769</v>
      </c>
      <c r="I20" s="222">
        <v>43649</v>
      </c>
      <c r="J20" s="57" t="s">
        <v>767</v>
      </c>
      <c r="K20" s="57" t="s">
        <v>767</v>
      </c>
      <c r="M20" s="29" t="s">
        <v>243</v>
      </c>
      <c r="N20" s="176" t="s">
        <v>213</v>
      </c>
      <c r="O20" s="176" t="s">
        <v>30</v>
      </c>
      <c r="P20" s="176" t="s">
        <v>31</v>
      </c>
      <c r="Q20" s="176" t="s">
        <v>35</v>
      </c>
      <c r="R20" s="176"/>
      <c r="S20" s="176" t="s">
        <v>216</v>
      </c>
      <c r="T20" s="177"/>
      <c r="U20" s="178"/>
      <c r="V20" s="55">
        <v>28100000</v>
      </c>
      <c r="W20" s="180"/>
      <c r="X20" s="181"/>
      <c r="Y20" s="55" t="str">
        <f t="shared" ref="Y20:Y43" si="115">IF(W20 &lt;&gt; 0, W20-(W20*X20), "")</f>
        <v/>
      </c>
      <c r="Z20" s="274">
        <f t="shared" ref="Z20:Z43" si="116">MAX(V20,Y20)</f>
        <v>28100000</v>
      </c>
      <c r="AA20" s="183" t="e">
        <f t="shared" ref="AA20:AA43" ca="1" si="117">_xludf.IFS(
Z20&lt;1000000, "&lt; $1M",
Z20&lt;=2000000, "$1M - $2M",
Z20&lt;=4000000, "$2M - $4M",
Z20&lt;=6000000, "$4M - $6M",
Z20&lt;=8000000, "$6M - $8M",
Z20&lt;=10000000, "$8M - $10M",
Z20&lt;=12000000, "$10M - $12M",
Z20&lt;=14000000, "$12M - $14M",
Z20&lt;=16000000, "$14M - $16M",
Z20&lt;=18000000, "$16M - $18M",
Z20&lt;=20000000, "$18M - $20M",
Z20&lt;=22000000, "$20M - $22M",
Z20&lt;=24000000, "$22M - $24M",
Z20&lt;=26000000, "$24M - $26M",
Z20&lt;=28000000, "$26M - $28M",
Z20&lt;=30000000, "$28M - $30M",
Z20&lt;=32000000, "$30M - $32M",
Z20&lt;=34000000, "$32M - $34M",
Z20&lt;=36000000, "$34M - $36M",
Z20&lt;=38000000, "$36M - $38M",
Z20&lt;=40000000, "$38M - $40M",
Z20&gt;40000000, "&lt; $40M")</f>
        <v>#NAME?</v>
      </c>
      <c r="AB20" s="176" t="s">
        <v>36</v>
      </c>
      <c r="AC20" s="176" t="s">
        <v>179</v>
      </c>
      <c r="AD20" s="176" t="s">
        <v>38</v>
      </c>
      <c r="AE20" s="176" t="s">
        <v>190</v>
      </c>
      <c r="AF20" s="176" t="s">
        <v>181</v>
      </c>
      <c r="AG20" s="29" t="s">
        <v>39</v>
      </c>
      <c r="AH20" s="176" t="s">
        <v>227</v>
      </c>
      <c r="AI20" s="223"/>
      <c r="AJ20" s="277">
        <v>8000000000</v>
      </c>
      <c r="AK20" s="224" t="e">
        <f t="shared" ref="AK20:AK43" ca="1" si="118">_xludf.IFS(
AJ20&gt;=1000000000000, "&gt; $1T",
AJ20&gt;=500000000000, "$500B-$1T",
AJ20&gt;=250000000000, "$250B-$500B",
AJ20&gt;=100000000000, "$100B-$250B",
AJ20&gt;=50000000000, "$50B-$100B",
AJ20&gt;=25000000000, "$25B-$50B",
AJ20&gt;=10000000000, "$10B-$25B",
AJ20&gt;=5000000000, "$5B-$10B",
AJ20&gt;=1000000000, "$1B-$5B",
AJ20&gt;=500000000, "$500M-$1B",
AJ20&gt;=250000000, "$250M-$500M",
AJ20&gt;=100000000, "$100M-$250M",
AJ20&gt;=50000000, "$50M-$100M",
AJ20&gt;=25000000, "$25M-$50M",
AJ20&lt;25000000, "&lt; $25M")</f>
        <v>#NAME?</v>
      </c>
      <c r="AL20" s="277">
        <v>400000000</v>
      </c>
      <c r="AM20" s="224" t="e">
        <f t="shared" ref="AM20:AM43" ca="1" si="119">_xludf.IFS(
AL20&gt;=1000000000000, "&gt; $1T",
AL20&gt;=500000000000, "$500B-$1T",
AL20&gt;=250000000000, "$250B-$500B",
AL20&gt;=100000000000, "$100B-$250B",
AL20&gt;=50000000000, "$50B-$100B",
AL20&gt;=25000000000, "$25B-$50B",
AL20&gt;=10000000000, "$10B-$25B",
AL20&gt;=5000000000, "$5B-$10B",
AL20&gt;=1000000000, "$1B-$5B",
AL20&gt;=500000000, "$500M-$1B",
AL20&gt;=250000000, "$250M-$500M",
AL20&gt;=100000000, "$100M-$250M",
AL20&gt;=50000000, "$50M-$100M",
AL20&gt;=25000000, "$25M-$50M",
AL20&lt;25000000, "&lt; $25M")</f>
        <v>#NAME?</v>
      </c>
      <c r="AN20" s="277">
        <v>0.38</v>
      </c>
      <c r="AO20" s="185" t="e">
        <f t="shared" ca="1" si="63"/>
        <v>#NAME?</v>
      </c>
      <c r="AP20" s="185" t="s">
        <v>192</v>
      </c>
      <c r="AQ20" s="29" t="s">
        <v>39</v>
      </c>
      <c r="AR20" s="176" t="s">
        <v>181</v>
      </c>
      <c r="AS20" s="176" t="s">
        <v>42</v>
      </c>
      <c r="AT20" s="57" t="s">
        <v>39</v>
      </c>
      <c r="AU20" s="29" t="s">
        <v>39</v>
      </c>
      <c r="AV20" s="176" t="s">
        <v>227</v>
      </c>
      <c r="AW20" s="176" t="s">
        <v>190</v>
      </c>
      <c r="AX20" s="176" t="s">
        <v>190</v>
      </c>
      <c r="AY20" s="176" t="s">
        <v>190</v>
      </c>
      <c r="AZ20" s="55">
        <v>0</v>
      </c>
      <c r="BA20" s="55" t="e">
        <f t="shared" ref="BA20:BA43" ca="1" si="120">_xludf.IFS(
AZ20&lt;10000, "&lt; $10K",
AZ20&lt;=50000, "$10K - $50K",
AZ20&lt;=100000, "$50K - $100K",
AZ20&lt;=500000, "$100K - $500K",
AZ20&lt;=1000000, "$500K - $1M",
AZ20&lt;=2000000, "$1M - $2M",
AZ20&lt;=3000000, "$2M - $3M",
AZ20&lt;=4000000, "$3M - $4M",
AZ20&lt;=5000000, "$4M - $5M",
AZ20&gt;5000000, "&gt; $5M")</f>
        <v>#NAME?</v>
      </c>
      <c r="BB20" s="277">
        <v>40745</v>
      </c>
      <c r="BC20" s="277">
        <v>659800</v>
      </c>
      <c r="BD20" s="62" t="e">
        <f t="shared" ref="BD20:BD43" ca="1" si="121">_xludf.IFS(
BC20&lt;10000, "&lt; $10K",
BC20&lt;=50000, "$10K - $50K",
BC20&lt;=100000, "$50K - $100K",
BC20&lt;=500000, "$100K - $500K",
BC20&lt;=1000000, "$500K - $1M",
BC20&lt;=2000000, "$1M - $2M",
BC20&lt;=3000000, "$2M - $3M",
BC20&lt;=4000000, "$3M - $4M",
BC20&lt;=5000000, "$4M - $5M",
BC20&gt;5000000, "&gt; $5M")</f>
        <v>#NAME?</v>
      </c>
      <c r="BE20" s="277">
        <f t="shared" ref="BE20:BE43" si="122">IF(OR(BB20=0, BC20=0), 1, BB20/BC20)</f>
        <v>6.1753561685359198E-2</v>
      </c>
      <c r="BF20" s="62" t="e">
        <f t="shared" ref="BF20:BF43" ca="1" si="123">_xludf.IFS(
BE20&lt;0.1, "&lt; 10%",
BE20&lt;=0.2, "10% - 20%",
BE20&lt;=0.3, "20% - 30%",
BE20&lt;=0.4, "30% - 40%",
BE20&lt;=0.5, "40% - 50%",
BE20&lt;=0.6, "50% - 60%",
BE20&lt;=0.7, "60% - 70%",
BE20&lt;=0.8, "70% - 80%",
BE20&lt;=0.9, "80% - 90%",
BE20&gt;0.9, "90% - 100%")</f>
        <v>#NAME?</v>
      </c>
      <c r="BG20" s="176" t="s">
        <v>183</v>
      </c>
      <c r="BH20" s="176"/>
      <c r="BI20" s="176" t="s">
        <v>227</v>
      </c>
      <c r="BJ20" s="185">
        <v>2</v>
      </c>
      <c r="BK20" s="277">
        <v>2</v>
      </c>
      <c r="BL20" s="176" t="s">
        <v>227</v>
      </c>
      <c r="BM20" s="176" t="s">
        <v>190</v>
      </c>
      <c r="BN20" s="176" t="s">
        <v>190</v>
      </c>
      <c r="BO20" s="176" t="s">
        <v>190</v>
      </c>
      <c r="BP20" s="185">
        <v>5</v>
      </c>
      <c r="BQ20" s="185">
        <v>4</v>
      </c>
      <c r="BR20" s="185">
        <v>7</v>
      </c>
      <c r="BS20" s="185">
        <v>0</v>
      </c>
      <c r="BT20" s="203"/>
      <c r="BU20" s="186">
        <v>1</v>
      </c>
      <c r="BV20" s="186">
        <v>0</v>
      </c>
      <c r="BW20" s="186">
        <v>53</v>
      </c>
      <c r="BX20" s="57" t="s">
        <v>190</v>
      </c>
      <c r="BY20" s="203"/>
      <c r="BZ20" s="57">
        <v>15</v>
      </c>
      <c r="CA20" s="57">
        <v>2</v>
      </c>
      <c r="CB20" s="57">
        <v>50</v>
      </c>
      <c r="CC20" s="57" t="s">
        <v>190</v>
      </c>
      <c r="CD20" s="203"/>
      <c r="CE20" s="57"/>
      <c r="CF20" s="57"/>
      <c r="CG20" s="57"/>
      <c r="CH20" s="57"/>
      <c r="CI20" s="203"/>
      <c r="CJ20" s="57"/>
      <c r="CK20" s="57"/>
      <c r="CL20" s="57"/>
      <c r="CM20" s="57"/>
      <c r="CN20" s="203"/>
      <c r="CO20" s="57"/>
      <c r="CP20" s="57"/>
      <c r="CQ20" s="57"/>
      <c r="CR20" s="57"/>
      <c r="CS20" s="203"/>
      <c r="CT20" s="57"/>
      <c r="CU20" s="57"/>
      <c r="CV20" s="57"/>
      <c r="CW20" s="57"/>
      <c r="CX20" s="203"/>
      <c r="CY20" s="57"/>
      <c r="CZ20" s="57"/>
      <c r="DA20" s="57"/>
      <c r="DB20" s="57"/>
      <c r="DC20" s="203"/>
      <c r="DD20" s="57"/>
      <c r="DE20" s="57"/>
      <c r="DF20" s="57"/>
      <c r="DG20" s="57"/>
      <c r="DH20" s="203"/>
      <c r="DI20" s="57"/>
      <c r="DJ20" s="57"/>
      <c r="DK20" s="57"/>
      <c r="DL20" s="57"/>
      <c r="DM20" s="204"/>
      <c r="DN20" s="205"/>
      <c r="DO20" s="205"/>
      <c r="DQ20" s="206"/>
      <c r="DR20" s="188">
        <f t="shared" si="64"/>
        <v>8</v>
      </c>
      <c r="DS20" s="188"/>
      <c r="DT20" s="189">
        <f t="shared" si="65"/>
        <v>2</v>
      </c>
      <c r="DU20" s="189"/>
      <c r="DV20" s="188">
        <f t="shared" si="66"/>
        <v>51.5</v>
      </c>
      <c r="DW20" s="183" t="e">
        <f t="shared" ca="1" si="67"/>
        <v>#NAME?</v>
      </c>
      <c r="DX20" s="207"/>
      <c r="DY20" s="190" t="e">
        <f t="shared" ca="1" si="68"/>
        <v>#NAME?</v>
      </c>
      <c r="DZ20" s="191" t="str">
        <f t="shared" si="69"/>
        <v/>
      </c>
      <c r="EA20" s="191" t="str">
        <f t="shared" si="70"/>
        <v/>
      </c>
      <c r="EB20" s="191" t="str">
        <f t="shared" si="71"/>
        <v/>
      </c>
      <c r="EC20" s="208" t="e">
        <f t="shared" ca="1" si="72"/>
        <v>#NAME?</v>
      </c>
      <c r="ED20" s="36" t="str">
        <f t="shared" si="73"/>
        <v>Equity - Common</v>
      </c>
      <c r="EE20" s="193">
        <f>COUNTIF($ED$2:$ED$92, ED20)/(COUNTIF($ED$2:$ED$92, "&lt;&gt;""") - COUNTIF($ED$2:$ED$92, ""))</f>
        <v>0.32222222222222224</v>
      </c>
      <c r="EF20" s="36" t="str">
        <f t="shared" si="74"/>
        <v>Early</v>
      </c>
      <c r="EG20" s="207"/>
      <c r="EH20" s="194" t="e">
        <f t="shared" ca="1" si="75"/>
        <v>#NAME?</v>
      </c>
      <c r="EI20" s="194" t="e">
        <f t="shared" ca="1" si="76"/>
        <v>#NAME?</v>
      </c>
      <c r="EJ20" s="209" t="e">
        <f t="shared" ca="1" si="77"/>
        <v>#NAME?</v>
      </c>
      <c r="EK20" s="208" t="e">
        <f t="shared" ca="1" si="78"/>
        <v>#NAME?</v>
      </c>
      <c r="EL20" s="36" t="str">
        <f t="shared" si="79"/>
        <v>Yes</v>
      </c>
      <c r="EM20" s="207"/>
      <c r="EN20" s="192">
        <f t="shared" si="80"/>
        <v>1.7619047619047619</v>
      </c>
      <c r="EO20" s="192">
        <f t="shared" si="81"/>
        <v>3</v>
      </c>
      <c r="EP20" s="209">
        <f t="shared" si="82"/>
        <v>4.7619047619047619</v>
      </c>
      <c r="EQ20" s="210">
        <f t="shared" si="83"/>
        <v>3.1682242990654208</v>
      </c>
      <c r="ER20" s="36" t="e">
        <f t="shared" ca="1" si="84"/>
        <v>#NAME?</v>
      </c>
      <c r="ES20" s="40">
        <f ca="1">COUNTIF($ER$2:$ER$92, ER20)/(COUNTIF($ER$2:$ER$92, "&lt;&gt;""") - COUNTIF($ER$2:$ER$92, ""))</f>
        <v>1</v>
      </c>
      <c r="ET20" s="36">
        <f t="shared" si="85"/>
        <v>2</v>
      </c>
      <c r="EU20" s="40">
        <f>COUNTIF($ET$2:$ET$92, ET20)/(COUNTIF($ET$2:$ET$92, "&lt;&gt;""") - COUNTIF($ET$2:$ET$92, ""))</f>
        <v>0.45555555555555555</v>
      </c>
      <c r="EV20" s="36">
        <f t="shared" si="86"/>
        <v>4</v>
      </c>
      <c r="EW20" s="40">
        <f>COUNTIF($EV$2:$EV$92, EV20)/(COUNTIF($EV$2:$EV$92, "&lt;&gt;""") - COUNTIF($EV$2:$EV$92, ""))</f>
        <v>0.12222222222222222</v>
      </c>
      <c r="EX20" s="36" t="str">
        <f t="shared" si="87"/>
        <v>Yes</v>
      </c>
      <c r="EY20" s="40">
        <f>COUNTIF($EX$2:$EX$92, EX20)/(COUNTIF($EX$2:$EX$92, "&lt;&gt;""") - COUNTIF($EX$2:$EX$92, ""))</f>
        <v>0.27777777777777779</v>
      </c>
      <c r="EZ20" s="36" t="str">
        <f t="shared" ref="EZ20:FB20" si="124">BM20</f>
        <v>No</v>
      </c>
      <c r="FA20" s="36" t="str">
        <f t="shared" si="124"/>
        <v>No</v>
      </c>
      <c r="FB20" s="36" t="str">
        <f t="shared" si="124"/>
        <v>No</v>
      </c>
      <c r="FC20" s="207"/>
      <c r="FD20" s="36" t="str">
        <f t="shared" si="89"/>
        <v>Transactional</v>
      </c>
      <c r="FE20" s="40">
        <f>COUNTIF($FD$2:$FD$92, FD20)/(COUNTIF($FD$2:$FD$92, "&lt;&gt;""") - COUNTIF($FD$2:$FD$92, ""))</f>
        <v>0.6</v>
      </c>
      <c r="FF20" s="36" t="str">
        <f t="shared" si="90"/>
        <v>B2C</v>
      </c>
      <c r="FG20" s="40">
        <f>COUNTIF($FF$2:$FF$92, FF20)/(COUNTIF($FF$2:$FF$92, "&lt;&gt;""") - COUNTIF($FF$2:$FF$92, ""))</f>
        <v>0.41111111111111109</v>
      </c>
      <c r="FH20" s="36" t="str">
        <f t="shared" si="91"/>
        <v>Low</v>
      </c>
      <c r="FI20" s="40">
        <f>COUNTIF($FH$2:$FH$92, FH20)/(COUNTIF($FH$2:$FH$92, "&lt;&gt;""") - COUNTIF($FH$2:$FH$92, ""))</f>
        <v>0.46666666666666667</v>
      </c>
      <c r="FJ20" s="36" t="str">
        <f t="shared" si="92"/>
        <v>High</v>
      </c>
      <c r="FK20" s="40">
        <f>COUNTIF($FJ$2:$FJ$92, FJ20)/(COUNTIF($FJ$2:$FJ$92, "&lt;&gt;""") - COUNTIF($FJ$2:$FJ$92, ""))</f>
        <v>0.58888888888888891</v>
      </c>
      <c r="FL20" s="207"/>
      <c r="FM20" s="192">
        <f t="shared" si="93"/>
        <v>1</v>
      </c>
      <c r="FN20" s="192" t="e">
        <f t="shared" ca="1" si="94"/>
        <v>#NAME?</v>
      </c>
      <c r="FO20" s="192" t="e">
        <f t="shared" ca="1" si="95"/>
        <v>#NAME?</v>
      </c>
      <c r="FP20" s="192" t="e">
        <f t="shared" ca="1" si="96"/>
        <v>#NAME?</v>
      </c>
      <c r="FQ20" s="209" t="e">
        <f t="shared" ca="1" si="97"/>
        <v>#NAME?</v>
      </c>
      <c r="FR20" s="208" t="e">
        <f t="shared" ca="1" si="98"/>
        <v>#NAME?</v>
      </c>
      <c r="FS20" s="36" t="str">
        <f t="shared" si="99"/>
        <v>Pre-Revenue</v>
      </c>
      <c r="FT20" s="196">
        <f>COUNTIF($FS$2:$FS$92, FS20)/(COUNTIF($FS$2:$FS$92, "&lt;&gt;""") - COUNTIF($FZ$2:$FZ$92, ""))</f>
        <v>0.2</v>
      </c>
      <c r="FU20" s="207"/>
      <c r="FV20" s="192">
        <f t="shared" si="100"/>
        <v>3</v>
      </c>
      <c r="FW20" s="197" t="e">
        <f t="shared" ca="1" si="101"/>
        <v>#NAME?</v>
      </c>
      <c r="FX20" s="209" t="e">
        <f t="shared" ca="1" si="102"/>
        <v>#NAME?</v>
      </c>
      <c r="FY20" s="211" t="e">
        <f t="shared" ca="1" si="103"/>
        <v>#NAME?</v>
      </c>
      <c r="FZ20" s="36" t="str">
        <f t="shared" si="104"/>
        <v>No</v>
      </c>
      <c r="GA20" s="196">
        <f>COUNTIF($FZ$2:$FZ$92, FZ20)/(COUNTIF($FZ$2:$FZ$92, "&lt;&gt;""") - COUNTIF($FZ$2:$FZ$92, ""))</f>
        <v>0.76666666666666672</v>
      </c>
      <c r="GB20" s="196" t="str">
        <f t="shared" si="105"/>
        <v>High</v>
      </c>
      <c r="GC20" s="196">
        <f>COUNTIF($GB$2:$GB$92, GB20)/(COUNTIF($GB$2:$GB$92, "&lt;&gt;""") - COUNTIF($GB$2:$GB$92, ""))</f>
        <v>0.43333333333333335</v>
      </c>
      <c r="GD20" s="196" t="str">
        <f t="shared" si="106"/>
        <v>High</v>
      </c>
      <c r="GE20" s="196">
        <f>COUNTIF($GD$2:$GD$92, GD20)/(COUNTIF($GD$2:$GD$92, "&lt;&gt;""") - COUNTIF($GD$2:$GD$92, ""))</f>
        <v>0.8</v>
      </c>
      <c r="GF20" s="207"/>
      <c r="GG20" s="36"/>
      <c r="GH20" s="209" t="e">
        <f t="shared" ca="1" si="107"/>
        <v>#NAME?</v>
      </c>
      <c r="GI20" s="212" t="e">
        <f t="shared" ca="1" si="108"/>
        <v>#NAME?</v>
      </c>
    </row>
    <row r="21" spans="1:191" ht="15.75" customHeight="1">
      <c r="A21" s="57"/>
      <c r="B21" s="57" t="s">
        <v>409</v>
      </c>
      <c r="C21" s="185">
        <v>1778006</v>
      </c>
      <c r="D21" s="57" t="s">
        <v>770</v>
      </c>
      <c r="E21" s="31">
        <v>43649.463888888888</v>
      </c>
      <c r="F21" s="176" t="s">
        <v>341</v>
      </c>
      <c r="G21" s="221" t="s">
        <v>771</v>
      </c>
      <c r="H21" s="221" t="s">
        <v>772</v>
      </c>
      <c r="I21" s="222">
        <v>43641</v>
      </c>
      <c r="J21" s="57" t="s">
        <v>773</v>
      </c>
      <c r="K21" s="57" t="s">
        <v>774</v>
      </c>
      <c r="M21" s="29" t="s">
        <v>243</v>
      </c>
      <c r="N21" s="176" t="s">
        <v>172</v>
      </c>
      <c r="O21" s="176" t="s">
        <v>30</v>
      </c>
      <c r="P21" s="176" t="s">
        <v>31</v>
      </c>
      <c r="Q21" s="176" t="s">
        <v>35</v>
      </c>
      <c r="R21" s="176"/>
      <c r="S21" s="176" t="s">
        <v>269</v>
      </c>
      <c r="T21" s="177"/>
      <c r="U21" s="178"/>
      <c r="V21" s="55"/>
      <c r="W21" s="180">
        <v>2500000</v>
      </c>
      <c r="X21" s="181">
        <v>0</v>
      </c>
      <c r="Y21" s="55">
        <f t="shared" si="115"/>
        <v>2500000</v>
      </c>
      <c r="Z21" s="274">
        <f t="shared" si="116"/>
        <v>2500000</v>
      </c>
      <c r="AA21" s="183" t="e">
        <f t="shared" ca="1" si="117"/>
        <v>#NAME?</v>
      </c>
      <c r="AB21" s="176" t="s">
        <v>36</v>
      </c>
      <c r="AC21" s="176" t="s">
        <v>179</v>
      </c>
      <c r="AD21" s="176" t="s">
        <v>38</v>
      </c>
      <c r="AE21" s="176" t="s">
        <v>190</v>
      </c>
      <c r="AF21" s="176" t="s">
        <v>39</v>
      </c>
      <c r="AG21" s="29" t="s">
        <v>39</v>
      </c>
      <c r="AH21" s="176" t="s">
        <v>190</v>
      </c>
      <c r="AI21" s="223"/>
      <c r="AJ21" s="277">
        <v>16000000000</v>
      </c>
      <c r="AK21" s="224" t="e">
        <f t="shared" ca="1" si="118"/>
        <v>#NAME?</v>
      </c>
      <c r="AL21" s="277">
        <v>1000000000</v>
      </c>
      <c r="AM21" s="224" t="e">
        <f t="shared" ca="1" si="119"/>
        <v>#NAME?</v>
      </c>
      <c r="AN21" s="277">
        <v>2.7E-2</v>
      </c>
      <c r="AO21" s="185" t="e">
        <f t="shared" ca="1" si="63"/>
        <v>#NAME?</v>
      </c>
      <c r="AP21" s="185" t="s">
        <v>192</v>
      </c>
      <c r="AQ21" s="29" t="s">
        <v>39</v>
      </c>
      <c r="AR21" s="176" t="s">
        <v>181</v>
      </c>
      <c r="AS21" s="176" t="s">
        <v>42</v>
      </c>
      <c r="AT21" s="57" t="s">
        <v>181</v>
      </c>
      <c r="AU21" s="29" t="s">
        <v>39</v>
      </c>
      <c r="AV21" s="176" t="s">
        <v>190</v>
      </c>
      <c r="AW21" s="176" t="s">
        <v>227</v>
      </c>
      <c r="AX21" s="176" t="s">
        <v>190</v>
      </c>
      <c r="AY21" s="176" t="s">
        <v>190</v>
      </c>
      <c r="AZ21" s="55">
        <v>0</v>
      </c>
      <c r="BA21" s="55" t="e">
        <f t="shared" ca="1" si="120"/>
        <v>#NAME?</v>
      </c>
      <c r="BB21" s="277">
        <v>10483</v>
      </c>
      <c r="BC21" s="277">
        <v>0</v>
      </c>
      <c r="BD21" s="62" t="e">
        <f t="shared" ca="1" si="121"/>
        <v>#NAME?</v>
      </c>
      <c r="BE21" s="277">
        <f t="shared" si="122"/>
        <v>1</v>
      </c>
      <c r="BF21" s="62" t="e">
        <f t="shared" ca="1" si="123"/>
        <v>#NAME?</v>
      </c>
      <c r="BG21" s="176" t="s">
        <v>183</v>
      </c>
      <c r="BH21" s="176"/>
      <c r="BI21" s="176" t="s">
        <v>190</v>
      </c>
      <c r="BJ21" s="185">
        <v>0</v>
      </c>
      <c r="BK21" s="277">
        <v>2</v>
      </c>
      <c r="BL21" s="176" t="s">
        <v>190</v>
      </c>
      <c r="BM21" s="176" t="s">
        <v>227</v>
      </c>
      <c r="BN21" s="176" t="s">
        <v>190</v>
      </c>
      <c r="BO21" s="176" t="s">
        <v>190</v>
      </c>
      <c r="BP21" s="185">
        <v>3</v>
      </c>
      <c r="BQ21" s="185">
        <v>2</v>
      </c>
      <c r="BR21" s="185">
        <v>3</v>
      </c>
      <c r="BS21" s="185">
        <v>0</v>
      </c>
      <c r="BT21" s="203"/>
      <c r="BU21" s="186">
        <v>9</v>
      </c>
      <c r="BV21" s="186">
        <v>0</v>
      </c>
      <c r="BW21" s="186">
        <v>50</v>
      </c>
      <c r="BX21" s="57" t="s">
        <v>190</v>
      </c>
      <c r="BY21" s="203"/>
      <c r="BZ21" s="57"/>
      <c r="CA21" s="57"/>
      <c r="CB21" s="57"/>
      <c r="CC21" s="57"/>
      <c r="CD21" s="203"/>
      <c r="CE21" s="57"/>
      <c r="CF21" s="57"/>
      <c r="CG21" s="57"/>
      <c r="CH21" s="57"/>
      <c r="CI21" s="203"/>
      <c r="CJ21" s="57"/>
      <c r="CK21" s="57"/>
      <c r="CL21" s="57"/>
      <c r="CM21" s="57"/>
      <c r="CN21" s="203"/>
      <c r="CO21" s="57"/>
      <c r="CP21" s="57"/>
      <c r="CQ21" s="57"/>
      <c r="CR21" s="57"/>
      <c r="CS21" s="203"/>
      <c r="CT21" s="57"/>
      <c r="CU21" s="57"/>
      <c r="CV21" s="57"/>
      <c r="CW21" s="57"/>
      <c r="CX21" s="203"/>
      <c r="CY21" s="57"/>
      <c r="CZ21" s="57"/>
      <c r="DA21" s="57"/>
      <c r="DB21" s="57"/>
      <c r="DC21" s="203"/>
      <c r="DD21" s="57"/>
      <c r="DE21" s="57"/>
      <c r="DF21" s="57"/>
      <c r="DG21" s="57"/>
      <c r="DH21" s="203"/>
      <c r="DI21" s="57"/>
      <c r="DJ21" s="57"/>
      <c r="DK21" s="57"/>
      <c r="DL21" s="57"/>
      <c r="DM21" s="204"/>
      <c r="DN21" s="205"/>
      <c r="DO21" s="205"/>
      <c r="DQ21" s="206"/>
      <c r="DR21" s="188">
        <f t="shared" si="64"/>
        <v>9</v>
      </c>
      <c r="DS21" s="188"/>
      <c r="DT21" s="189">
        <f t="shared" si="65"/>
        <v>0</v>
      </c>
      <c r="DU21" s="189"/>
      <c r="DV21" s="188">
        <f t="shared" si="66"/>
        <v>50</v>
      </c>
      <c r="DW21" s="183" t="e">
        <f t="shared" ca="1" si="67"/>
        <v>#NAME?</v>
      </c>
      <c r="DX21" s="207"/>
      <c r="DY21" s="190" t="e">
        <f t="shared" ca="1" si="68"/>
        <v>#NAME?</v>
      </c>
      <c r="DZ21" s="191">
        <f t="shared" si="69"/>
        <v>1</v>
      </c>
      <c r="EA21" s="191" t="str">
        <f t="shared" si="70"/>
        <v/>
      </c>
      <c r="EB21" s="191" t="str">
        <f t="shared" si="71"/>
        <v/>
      </c>
      <c r="EC21" s="208" t="e">
        <f t="shared" ca="1" si="72"/>
        <v>#NAME?</v>
      </c>
      <c r="ED21" s="36" t="str">
        <f t="shared" si="73"/>
        <v>SAFE</v>
      </c>
      <c r="EE21" s="193">
        <f>COUNTIF($ED$2:$ED$92, ED21)/(COUNTIF($ED$2:$ED$92, "&lt;&gt;""") - COUNTIF($ED$2:$ED$92, ""))</f>
        <v>0.37777777777777777</v>
      </c>
      <c r="EF21" s="36" t="str">
        <f t="shared" si="74"/>
        <v>Early</v>
      </c>
      <c r="EG21" s="207"/>
      <c r="EH21" s="194" t="e">
        <f t="shared" ca="1" si="75"/>
        <v>#NAME?</v>
      </c>
      <c r="EI21" s="194" t="e">
        <f t="shared" ca="1" si="76"/>
        <v>#NAME?</v>
      </c>
      <c r="EJ21" s="209" t="e">
        <f t="shared" ca="1" si="77"/>
        <v>#NAME?</v>
      </c>
      <c r="EK21" s="208" t="e">
        <f t="shared" ca="1" si="78"/>
        <v>#NAME?</v>
      </c>
      <c r="EL21" s="36" t="str">
        <f t="shared" si="79"/>
        <v>No</v>
      </c>
      <c r="EM21" s="207"/>
      <c r="EN21" s="192">
        <f t="shared" si="80"/>
        <v>1.8571428571428572</v>
      </c>
      <c r="EO21" s="192">
        <f t="shared" si="81"/>
        <v>1</v>
      </c>
      <c r="EP21" s="209">
        <f t="shared" si="82"/>
        <v>2.8571428571428572</v>
      </c>
      <c r="EQ21" s="210">
        <f t="shared" si="83"/>
        <v>1.6728971962616823</v>
      </c>
      <c r="ER21" s="36" t="e">
        <f t="shared" ca="1" si="84"/>
        <v>#NAME?</v>
      </c>
      <c r="ES21" s="40">
        <f ca="1">COUNTIF($ER$2:$ER$92, ER21)/(COUNTIF($ER$2:$ER$92, "&lt;&gt;""") - COUNTIF($ER$2:$ER$92, ""))</f>
        <v>1</v>
      </c>
      <c r="ET21" s="36">
        <f t="shared" si="85"/>
        <v>2</v>
      </c>
      <c r="EU21" s="40">
        <f>COUNTIF($ET$2:$ET$92, ET21)/(COUNTIF($ET$2:$ET$92, "&lt;&gt;""") - COUNTIF($ET$2:$ET$92, ""))</f>
        <v>0.45555555555555555</v>
      </c>
      <c r="EV21" s="36">
        <f t="shared" si="86"/>
        <v>2</v>
      </c>
      <c r="EW21" s="40">
        <f>COUNTIF($EV$2:$EV$92, EV21)/(COUNTIF($EV$2:$EV$92, "&lt;&gt;""") - COUNTIF($EV$2:$EV$92, ""))</f>
        <v>0.15555555555555556</v>
      </c>
      <c r="EX21" s="36" t="str">
        <f t="shared" si="87"/>
        <v>No</v>
      </c>
      <c r="EY21" s="40">
        <f>COUNTIF($EX$2:$EX$92, EX21)/(COUNTIF($EX$2:$EX$92, "&lt;&gt;""") - COUNTIF($EX$2:$EX$92, ""))</f>
        <v>0.72222222222222221</v>
      </c>
      <c r="EZ21" s="36" t="str">
        <f t="shared" ref="EZ21:FB21" si="125">BM21</f>
        <v>Yes</v>
      </c>
      <c r="FA21" s="36" t="str">
        <f t="shared" si="125"/>
        <v>No</v>
      </c>
      <c r="FB21" s="36" t="str">
        <f t="shared" si="125"/>
        <v>No</v>
      </c>
      <c r="FC21" s="207"/>
      <c r="FD21" s="36" t="str">
        <f t="shared" si="89"/>
        <v>Transactional</v>
      </c>
      <c r="FE21" s="40">
        <f>COUNTIF($FD$2:$FD$92, FD21)/(COUNTIF($FD$2:$FD$92, "&lt;&gt;""") - COUNTIF($FD$2:$FD$92, ""))</f>
        <v>0.6</v>
      </c>
      <c r="FF21" s="36" t="str">
        <f t="shared" si="90"/>
        <v>B2C</v>
      </c>
      <c r="FG21" s="40">
        <f>COUNTIF($FF$2:$FF$92, FF21)/(COUNTIF($FF$2:$FF$92, "&lt;&gt;""") - COUNTIF($FF$2:$FF$92, ""))</f>
        <v>0.41111111111111109</v>
      </c>
      <c r="FH21" s="36" t="str">
        <f t="shared" si="91"/>
        <v>High</v>
      </c>
      <c r="FI21" s="40">
        <f>COUNTIF($FH$2:$FH$92, FH21)/(COUNTIF($FH$2:$FH$92, "&lt;&gt;""") - COUNTIF($FH$2:$FH$92, ""))</f>
        <v>0.53333333333333333</v>
      </c>
      <c r="FJ21" s="36" t="str">
        <f t="shared" si="92"/>
        <v>High</v>
      </c>
      <c r="FK21" s="40">
        <f>COUNTIF($FJ$2:$FJ$92, FJ21)/(COUNTIF($FJ$2:$FJ$92, "&lt;&gt;""") - COUNTIF($FJ$2:$FJ$92, ""))</f>
        <v>0.58888888888888891</v>
      </c>
      <c r="FL21" s="207"/>
      <c r="FM21" s="192">
        <f t="shared" si="93"/>
        <v>1</v>
      </c>
      <c r="FN21" s="192" t="e">
        <f t="shared" ca="1" si="94"/>
        <v>#NAME?</v>
      </c>
      <c r="FO21" s="192" t="e">
        <f t="shared" ca="1" si="95"/>
        <v>#NAME?</v>
      </c>
      <c r="FP21" s="192" t="e">
        <f t="shared" ca="1" si="96"/>
        <v>#NAME?</v>
      </c>
      <c r="FQ21" s="209" t="e">
        <f t="shared" ca="1" si="97"/>
        <v>#NAME?</v>
      </c>
      <c r="FR21" s="208" t="e">
        <f t="shared" ca="1" si="98"/>
        <v>#NAME?</v>
      </c>
      <c r="FS21" s="36" t="str">
        <f t="shared" si="99"/>
        <v>Pre-Revenue</v>
      </c>
      <c r="FT21" s="196">
        <f>COUNTIF($FS$2:$FS$92, FS21)/(COUNTIF($FS$2:$FS$92, "&lt;&gt;""") - COUNTIF($FZ$2:$FZ$92, ""))</f>
        <v>0.2</v>
      </c>
      <c r="FU21" s="207"/>
      <c r="FV21" s="192">
        <f t="shared" si="100"/>
        <v>3</v>
      </c>
      <c r="FW21" s="197" t="e">
        <f t="shared" ca="1" si="101"/>
        <v>#NAME?</v>
      </c>
      <c r="FX21" s="209" t="e">
        <f t="shared" ca="1" si="102"/>
        <v>#NAME?</v>
      </c>
      <c r="FY21" s="211" t="e">
        <f t="shared" ca="1" si="103"/>
        <v>#NAME?</v>
      </c>
      <c r="FZ21" s="36" t="str">
        <f t="shared" si="104"/>
        <v>Yes</v>
      </c>
      <c r="GA21" s="196">
        <f>COUNTIF($FZ$2:$FZ$92, FZ21)/(COUNTIF($FZ$2:$FZ$92, "&lt;&gt;""") - COUNTIF($FZ$2:$FZ$92, ""))</f>
        <v>0.23333333333333334</v>
      </c>
      <c r="GB21" s="196" t="str">
        <f t="shared" si="105"/>
        <v>Low</v>
      </c>
      <c r="GC21" s="196">
        <f>COUNTIF($GB$2:$GB$92, GB21)/(COUNTIF($GB$2:$GB$92, "&lt;&gt;""") - COUNTIF($GB$2:$GB$92, ""))</f>
        <v>0.55555555555555558</v>
      </c>
      <c r="GD21" s="196" t="str">
        <f t="shared" si="106"/>
        <v>High</v>
      </c>
      <c r="GE21" s="196">
        <f>COUNTIF($GD$2:$GD$92, GD21)/(COUNTIF($GD$2:$GD$92, "&lt;&gt;""") - COUNTIF($GD$2:$GD$92, ""))</f>
        <v>0.8</v>
      </c>
      <c r="GF21" s="207"/>
      <c r="GG21" s="36"/>
      <c r="GH21" s="209" t="e">
        <f t="shared" ca="1" si="107"/>
        <v>#NAME?</v>
      </c>
      <c r="GI21" s="212" t="e">
        <f t="shared" ca="1" si="108"/>
        <v>#NAME?</v>
      </c>
    </row>
    <row r="22" spans="1:191" ht="15.75" customHeight="1">
      <c r="A22" s="57"/>
      <c r="B22" s="57" t="s">
        <v>409</v>
      </c>
      <c r="C22" s="185">
        <v>1753677</v>
      </c>
      <c r="D22" s="57" t="s">
        <v>775</v>
      </c>
      <c r="E22" s="31">
        <v>43657.611805555556</v>
      </c>
      <c r="F22" s="176" t="s">
        <v>325</v>
      </c>
      <c r="G22" s="221" t="s">
        <v>776</v>
      </c>
      <c r="H22" s="221" t="s">
        <v>777</v>
      </c>
      <c r="I22" s="225">
        <v>43377</v>
      </c>
      <c r="J22" s="57" t="s">
        <v>778</v>
      </c>
      <c r="K22" s="57" t="s">
        <v>779</v>
      </c>
      <c r="M22" s="29" t="s">
        <v>277</v>
      </c>
      <c r="N22" s="176" t="s">
        <v>172</v>
      </c>
      <c r="O22" s="176" t="s">
        <v>30</v>
      </c>
      <c r="P22" s="176" t="s">
        <v>31</v>
      </c>
      <c r="Q22" s="176" t="s">
        <v>35</v>
      </c>
      <c r="R22" s="176"/>
      <c r="S22" s="176" t="s">
        <v>34</v>
      </c>
      <c r="T22" s="177"/>
      <c r="U22" s="178"/>
      <c r="V22" s="180"/>
      <c r="W22" s="55">
        <v>400000</v>
      </c>
      <c r="X22" s="226">
        <v>0</v>
      </c>
      <c r="Y22" s="55">
        <f t="shared" si="115"/>
        <v>400000</v>
      </c>
      <c r="Z22" s="274">
        <f t="shared" si="116"/>
        <v>400000</v>
      </c>
      <c r="AA22" s="183" t="e">
        <f t="shared" ca="1" si="117"/>
        <v>#NAME?</v>
      </c>
      <c r="AB22" s="176" t="s">
        <v>36</v>
      </c>
      <c r="AC22" s="176" t="s">
        <v>179</v>
      </c>
      <c r="AD22" s="176" t="s">
        <v>38</v>
      </c>
      <c r="AE22" s="176" t="s">
        <v>190</v>
      </c>
      <c r="AF22" s="29" t="s">
        <v>39</v>
      </c>
      <c r="AG22" s="29" t="s">
        <v>39</v>
      </c>
      <c r="AH22" s="176" t="s">
        <v>190</v>
      </c>
      <c r="AI22" s="223"/>
      <c r="AJ22" s="277">
        <v>5800000000</v>
      </c>
      <c r="AK22" s="224" t="e">
        <f t="shared" ca="1" si="118"/>
        <v>#NAME?</v>
      </c>
      <c r="AL22" s="277">
        <v>1200000000</v>
      </c>
      <c r="AM22" s="224" t="e">
        <f t="shared" ca="1" si="119"/>
        <v>#NAME?</v>
      </c>
      <c r="AN22" s="277">
        <v>0.314</v>
      </c>
      <c r="AO22" s="185" t="e">
        <f t="shared" ca="1" si="63"/>
        <v>#NAME?</v>
      </c>
      <c r="AP22" s="185" t="s">
        <v>192</v>
      </c>
      <c r="AQ22" s="176" t="s">
        <v>181</v>
      </c>
      <c r="AR22" s="29" t="s">
        <v>39</v>
      </c>
      <c r="AS22" s="176" t="s">
        <v>42</v>
      </c>
      <c r="AT22" s="57" t="s">
        <v>181</v>
      </c>
      <c r="AU22" s="29" t="s">
        <v>39</v>
      </c>
      <c r="AV22" s="176" t="s">
        <v>190</v>
      </c>
      <c r="AW22" s="176" t="s">
        <v>190</v>
      </c>
      <c r="AX22" s="176" t="s">
        <v>190</v>
      </c>
      <c r="AY22" s="176" t="s">
        <v>190</v>
      </c>
      <c r="AZ22" s="55">
        <v>0</v>
      </c>
      <c r="BA22" s="55" t="e">
        <f t="shared" ca="1" si="120"/>
        <v>#NAME?</v>
      </c>
      <c r="BB22" s="277">
        <v>0</v>
      </c>
      <c r="BC22" s="277">
        <v>0</v>
      </c>
      <c r="BD22" s="62" t="e">
        <f t="shared" ca="1" si="121"/>
        <v>#NAME?</v>
      </c>
      <c r="BE22" s="277">
        <f t="shared" si="122"/>
        <v>1</v>
      </c>
      <c r="BF22" s="62" t="e">
        <f t="shared" ca="1" si="123"/>
        <v>#NAME?</v>
      </c>
      <c r="BG22" s="176" t="s">
        <v>43</v>
      </c>
      <c r="BH22" s="176"/>
      <c r="BI22" s="176" t="s">
        <v>190</v>
      </c>
      <c r="BJ22" s="185">
        <v>0</v>
      </c>
      <c r="BK22" s="277">
        <v>1</v>
      </c>
      <c r="BL22" s="176" t="s">
        <v>190</v>
      </c>
      <c r="BM22" s="176" t="s">
        <v>190</v>
      </c>
      <c r="BN22" s="176" t="s">
        <v>190</v>
      </c>
      <c r="BO22" s="176" t="s">
        <v>190</v>
      </c>
      <c r="BP22" s="185">
        <v>0</v>
      </c>
      <c r="BQ22" s="185">
        <v>1</v>
      </c>
      <c r="BR22" s="185">
        <v>0</v>
      </c>
      <c r="BS22" s="185">
        <v>0</v>
      </c>
      <c r="BT22" s="203"/>
      <c r="BU22" s="186">
        <v>0</v>
      </c>
      <c r="BV22" s="186">
        <v>0</v>
      </c>
      <c r="BW22" s="186">
        <v>45</v>
      </c>
      <c r="BX22" s="57" t="s">
        <v>190</v>
      </c>
      <c r="BY22" s="203"/>
      <c r="BZ22" s="57"/>
      <c r="CA22" s="57"/>
      <c r="CB22" s="57"/>
      <c r="CC22" s="57"/>
      <c r="CD22" s="203"/>
      <c r="CE22" s="57"/>
      <c r="CF22" s="57"/>
      <c r="CG22" s="57"/>
      <c r="CH22" s="57"/>
      <c r="CI22" s="203"/>
      <c r="CJ22" s="57"/>
      <c r="CK22" s="57"/>
      <c r="CL22" s="57"/>
      <c r="CM22" s="57"/>
      <c r="CN22" s="203"/>
      <c r="CO22" s="57"/>
      <c r="CP22" s="57"/>
      <c r="CQ22" s="57"/>
      <c r="CR22" s="57"/>
      <c r="CS22" s="203"/>
      <c r="CT22" s="57"/>
      <c r="CU22" s="57"/>
      <c r="CV22" s="57"/>
      <c r="CW22" s="57"/>
      <c r="CX22" s="203"/>
      <c r="CY22" s="57"/>
      <c r="CZ22" s="57"/>
      <c r="DA22" s="57"/>
      <c r="DB22" s="57"/>
      <c r="DC22" s="203"/>
      <c r="DD22" s="57"/>
      <c r="DE22" s="57"/>
      <c r="DF22" s="57"/>
      <c r="DG22" s="57"/>
      <c r="DH22" s="203"/>
      <c r="DI22" s="57"/>
      <c r="DJ22" s="57"/>
      <c r="DK22" s="57"/>
      <c r="DL22" s="57"/>
      <c r="DM22" s="204"/>
      <c r="DN22" s="205"/>
      <c r="DO22" s="205"/>
      <c r="DQ22" s="206"/>
      <c r="DR22" s="188">
        <f t="shared" si="64"/>
        <v>0</v>
      </c>
      <c r="DS22" s="188"/>
      <c r="DT22" s="189">
        <f t="shared" si="65"/>
        <v>0</v>
      </c>
      <c r="DU22" s="189"/>
      <c r="DV22" s="188">
        <f t="shared" si="66"/>
        <v>45</v>
      </c>
      <c r="DW22" s="183" t="e">
        <f t="shared" ca="1" si="67"/>
        <v>#NAME?</v>
      </c>
      <c r="DX22" s="207"/>
      <c r="DY22" s="190" t="e">
        <f t="shared" ca="1" si="68"/>
        <v>#NAME?</v>
      </c>
      <c r="DZ22" s="191">
        <f t="shared" si="69"/>
        <v>1</v>
      </c>
      <c r="EA22" s="191" t="str">
        <f t="shared" si="70"/>
        <v/>
      </c>
      <c r="EB22" s="191" t="str">
        <f t="shared" si="71"/>
        <v/>
      </c>
      <c r="EC22" s="208" t="e">
        <f t="shared" ca="1" si="72"/>
        <v>#NAME?</v>
      </c>
      <c r="ED22" s="36" t="str">
        <f t="shared" si="73"/>
        <v>CAFES</v>
      </c>
      <c r="EE22" s="193">
        <f>COUNTIF($ED$2:$ED$92, ED22)/(COUNTIF($ED$2:$ED$92, "&lt;&gt;""") - COUNTIF($ED$2:$ED$92, ""))</f>
        <v>0.1</v>
      </c>
      <c r="EF22" s="36" t="str">
        <f t="shared" si="74"/>
        <v>Early</v>
      </c>
      <c r="EG22" s="207"/>
      <c r="EH22" s="194" t="e">
        <f t="shared" ca="1" si="75"/>
        <v>#NAME?</v>
      </c>
      <c r="EI22" s="194" t="e">
        <f t="shared" ca="1" si="76"/>
        <v>#NAME?</v>
      </c>
      <c r="EJ22" s="209" t="e">
        <f t="shared" ca="1" si="77"/>
        <v>#NAME?</v>
      </c>
      <c r="EK22" s="208" t="e">
        <f t="shared" ca="1" si="78"/>
        <v>#NAME?</v>
      </c>
      <c r="EL22" s="36" t="str">
        <f t="shared" si="79"/>
        <v>No</v>
      </c>
      <c r="EM22" s="207"/>
      <c r="EN22" s="192">
        <f t="shared" si="80"/>
        <v>1</v>
      </c>
      <c r="EO22" s="192">
        <f t="shared" si="81"/>
        <v>1</v>
      </c>
      <c r="EP22" s="209">
        <f t="shared" si="82"/>
        <v>2</v>
      </c>
      <c r="EQ22" s="210">
        <f t="shared" si="83"/>
        <v>1</v>
      </c>
      <c r="ER22" s="36" t="e">
        <f t="shared" ca="1" si="84"/>
        <v>#NAME?</v>
      </c>
      <c r="ES22" s="40">
        <f ca="1">COUNTIF($ER$2:$ER$92, ER22)/(COUNTIF($ER$2:$ER$92, "&lt;&gt;""") - COUNTIF($ER$2:$ER$92, ""))</f>
        <v>1</v>
      </c>
      <c r="ET22" s="36">
        <f t="shared" si="85"/>
        <v>1</v>
      </c>
      <c r="EU22" s="40">
        <f>COUNTIF($ET$2:$ET$92, ET22)/(COUNTIF($ET$2:$ET$92, "&lt;&gt;""") - COUNTIF($ET$2:$ET$92, ""))</f>
        <v>0.45555555555555555</v>
      </c>
      <c r="EV22" s="36">
        <f t="shared" si="86"/>
        <v>1</v>
      </c>
      <c r="EW22" s="40">
        <f>COUNTIF($EV$2:$EV$92, EV22)/(COUNTIF($EV$2:$EV$92, "&lt;&gt;""") - COUNTIF($EV$2:$EV$92, ""))</f>
        <v>7.7777777777777779E-2</v>
      </c>
      <c r="EX22" s="36" t="str">
        <f t="shared" si="87"/>
        <v>No</v>
      </c>
      <c r="EY22" s="40">
        <f>COUNTIF($EX$2:$EX$92, EX22)/(COUNTIF($EX$2:$EX$92, "&lt;&gt;""") - COUNTIF($EX$2:$EX$92, ""))</f>
        <v>0.72222222222222221</v>
      </c>
      <c r="EZ22" s="36" t="str">
        <f t="shared" ref="EZ22:FB22" si="126">BM22</f>
        <v>No</v>
      </c>
      <c r="FA22" s="36" t="str">
        <f t="shared" si="126"/>
        <v>No</v>
      </c>
      <c r="FB22" s="36" t="str">
        <f t="shared" si="126"/>
        <v>No</v>
      </c>
      <c r="FC22" s="207"/>
      <c r="FD22" s="36" t="str">
        <f t="shared" si="89"/>
        <v>Transactional</v>
      </c>
      <c r="FE22" s="40">
        <f>COUNTIF($FD$2:$FD$92, FD22)/(COUNTIF($FD$2:$FD$92, "&lt;&gt;""") - COUNTIF($FD$2:$FD$92, ""))</f>
        <v>0.6</v>
      </c>
      <c r="FF22" s="36" t="str">
        <f t="shared" si="90"/>
        <v>B2C</v>
      </c>
      <c r="FG22" s="40">
        <f>COUNTIF($FF$2:$FF$92, FF22)/(COUNTIF($FF$2:$FF$92, "&lt;&gt;""") - COUNTIF($FF$2:$FF$92, ""))</f>
        <v>0.41111111111111109</v>
      </c>
      <c r="FH22" s="36" t="str">
        <f t="shared" si="91"/>
        <v>High</v>
      </c>
      <c r="FI22" s="40">
        <f>COUNTIF($FH$2:$FH$92, FH22)/(COUNTIF($FH$2:$FH$92, "&lt;&gt;""") - COUNTIF($FH$2:$FH$92, ""))</f>
        <v>0.53333333333333333</v>
      </c>
      <c r="FJ22" s="36" t="str">
        <f t="shared" si="92"/>
        <v>High</v>
      </c>
      <c r="FK22" s="40">
        <f>COUNTIF($FJ$2:$FJ$92, FJ22)/(COUNTIF($FJ$2:$FJ$92, "&lt;&gt;""") - COUNTIF($FJ$2:$FJ$92, ""))</f>
        <v>0.58888888888888891</v>
      </c>
      <c r="FL22" s="207"/>
      <c r="FM22" s="192">
        <f t="shared" si="93"/>
        <v>1</v>
      </c>
      <c r="FN22" s="192" t="e">
        <f t="shared" ca="1" si="94"/>
        <v>#NAME?</v>
      </c>
      <c r="FO22" s="192" t="e">
        <f t="shared" ca="1" si="95"/>
        <v>#NAME?</v>
      </c>
      <c r="FP22" s="192" t="e">
        <f t="shared" ca="1" si="96"/>
        <v>#NAME?</v>
      </c>
      <c r="FQ22" s="209" t="e">
        <f t="shared" ca="1" si="97"/>
        <v>#NAME?</v>
      </c>
      <c r="FR22" s="208" t="e">
        <f t="shared" ca="1" si="98"/>
        <v>#NAME?</v>
      </c>
      <c r="FS22" s="36" t="str">
        <f t="shared" si="99"/>
        <v>Pre-Product</v>
      </c>
      <c r="FT22" s="196">
        <f>COUNTIF($FS$2:$FS$92, FS22)/(COUNTIF($FS$2:$FS$92, "&lt;&gt;""") - COUNTIF($FZ$2:$FZ$92, ""))</f>
        <v>0.22222222222222221</v>
      </c>
      <c r="FU22" s="207"/>
      <c r="FV22" s="192">
        <f t="shared" si="100"/>
        <v>3</v>
      </c>
      <c r="FW22" s="197" t="e">
        <f t="shared" ca="1" si="101"/>
        <v>#NAME?</v>
      </c>
      <c r="FX22" s="209" t="e">
        <f t="shared" ca="1" si="102"/>
        <v>#NAME?</v>
      </c>
      <c r="FY22" s="211" t="e">
        <f t="shared" ca="1" si="103"/>
        <v>#NAME?</v>
      </c>
      <c r="FZ22" s="36" t="str">
        <f t="shared" si="104"/>
        <v>No</v>
      </c>
      <c r="GA22" s="196">
        <f>COUNTIF($FZ$2:$FZ$92, FZ22)/(COUNTIF($FZ$2:$FZ$92, "&lt;&gt;""") - COUNTIF($FZ$2:$FZ$92, ""))</f>
        <v>0.76666666666666672</v>
      </c>
      <c r="GB22" s="196" t="str">
        <f t="shared" si="105"/>
        <v>Low</v>
      </c>
      <c r="GC22" s="196">
        <f>COUNTIF($GB$2:$GB$92, GB22)/(COUNTIF($GB$2:$GB$92, "&lt;&gt;""") - COUNTIF($GB$2:$GB$92, ""))</f>
        <v>0.55555555555555558</v>
      </c>
      <c r="GD22" s="196" t="str">
        <f t="shared" si="106"/>
        <v>High</v>
      </c>
      <c r="GE22" s="196">
        <f>COUNTIF($GD$2:$GD$92, GD22)/(COUNTIF($GD$2:$GD$92, "&lt;&gt;""") - COUNTIF($GD$2:$GD$92, ""))</f>
        <v>0.8</v>
      </c>
      <c r="GF22" s="207"/>
      <c r="GG22" s="36"/>
      <c r="GH22" s="209" t="e">
        <f t="shared" ca="1" si="107"/>
        <v>#NAME?</v>
      </c>
      <c r="GI22" s="212" t="e">
        <f t="shared" ca="1" si="108"/>
        <v>#NAME?</v>
      </c>
    </row>
    <row r="23" spans="1:191" ht="15.75" customHeight="1">
      <c r="A23" s="57"/>
      <c r="B23" s="57" t="s">
        <v>409</v>
      </c>
      <c r="C23" s="185">
        <v>1765620</v>
      </c>
      <c r="D23" s="57" t="s">
        <v>780</v>
      </c>
      <c r="E23" s="31">
        <v>43659.426388888889</v>
      </c>
      <c r="F23" s="176" t="s">
        <v>337</v>
      </c>
      <c r="G23" s="221" t="s">
        <v>781</v>
      </c>
      <c r="H23" s="221" t="s">
        <v>782</v>
      </c>
      <c r="I23" s="222">
        <v>43658</v>
      </c>
      <c r="J23" s="57" t="s">
        <v>783</v>
      </c>
      <c r="K23" s="57" t="s">
        <v>780</v>
      </c>
      <c r="M23" s="29" t="s">
        <v>28</v>
      </c>
      <c r="N23" s="176" t="s">
        <v>168</v>
      </c>
      <c r="O23" s="176" t="s">
        <v>30</v>
      </c>
      <c r="P23" s="176" t="s">
        <v>31</v>
      </c>
      <c r="Q23" s="176" t="s">
        <v>35</v>
      </c>
      <c r="R23" s="176"/>
      <c r="S23" s="176" t="s">
        <v>216</v>
      </c>
      <c r="T23" s="177"/>
      <c r="U23" s="178"/>
      <c r="V23" s="55">
        <v>7500000</v>
      </c>
      <c r="W23" s="180"/>
      <c r="X23" s="181"/>
      <c r="Y23" s="55" t="str">
        <f t="shared" si="115"/>
        <v/>
      </c>
      <c r="Z23" s="274">
        <f t="shared" si="116"/>
        <v>7500000</v>
      </c>
      <c r="AA23" s="183" t="e">
        <f t="shared" ca="1" si="117"/>
        <v>#NAME?</v>
      </c>
      <c r="AB23" s="176" t="s">
        <v>36</v>
      </c>
      <c r="AC23" s="176" t="s">
        <v>200</v>
      </c>
      <c r="AD23" s="176" t="s">
        <v>38</v>
      </c>
      <c r="AE23" s="176" t="s">
        <v>190</v>
      </c>
      <c r="AF23" s="176" t="s">
        <v>181</v>
      </c>
      <c r="AG23" s="29" t="s">
        <v>39</v>
      </c>
      <c r="AH23" s="176" t="s">
        <v>190</v>
      </c>
      <c r="AI23" s="223"/>
      <c r="AJ23" s="277">
        <v>1500000000</v>
      </c>
      <c r="AK23" s="224" t="e">
        <f t="shared" ca="1" si="118"/>
        <v>#NAME?</v>
      </c>
      <c r="AL23" s="277">
        <v>242000000</v>
      </c>
      <c r="AM23" s="224" t="e">
        <f t="shared" ca="1" si="119"/>
        <v>#NAME?</v>
      </c>
      <c r="AN23" s="277">
        <v>0.13</v>
      </c>
      <c r="AO23" s="185" t="e">
        <f t="shared" ca="1" si="63"/>
        <v>#NAME?</v>
      </c>
      <c r="AP23" s="185" t="s">
        <v>264</v>
      </c>
      <c r="AQ23" s="29" t="s">
        <v>39</v>
      </c>
      <c r="AR23" s="176" t="s">
        <v>181</v>
      </c>
      <c r="AS23" s="176" t="s">
        <v>42</v>
      </c>
      <c r="AT23" s="57" t="s">
        <v>181</v>
      </c>
      <c r="AU23" s="29" t="s">
        <v>39</v>
      </c>
      <c r="AV23" s="176" t="s">
        <v>190</v>
      </c>
      <c r="AW23" s="176" t="s">
        <v>190</v>
      </c>
      <c r="AX23" s="176" t="s">
        <v>190</v>
      </c>
      <c r="AY23" s="176" t="s">
        <v>190</v>
      </c>
      <c r="AZ23" s="55">
        <v>0</v>
      </c>
      <c r="BA23" s="55" t="e">
        <f t="shared" ca="1" si="120"/>
        <v>#NAME?</v>
      </c>
      <c r="BB23" s="277">
        <v>564</v>
      </c>
      <c r="BC23" s="277">
        <v>0</v>
      </c>
      <c r="BD23" s="62" t="e">
        <f t="shared" ca="1" si="121"/>
        <v>#NAME?</v>
      </c>
      <c r="BE23" s="277">
        <f t="shared" si="122"/>
        <v>1</v>
      </c>
      <c r="BF23" s="62" t="e">
        <f t="shared" ca="1" si="123"/>
        <v>#NAME?</v>
      </c>
      <c r="BG23" s="176" t="s">
        <v>183</v>
      </c>
      <c r="BH23" s="176"/>
      <c r="BI23" s="176" t="s">
        <v>227</v>
      </c>
      <c r="BJ23" s="185">
        <v>1</v>
      </c>
      <c r="BK23" s="277">
        <v>1</v>
      </c>
      <c r="BL23" s="176" t="s">
        <v>190</v>
      </c>
      <c r="BM23" s="176" t="s">
        <v>190</v>
      </c>
      <c r="BN23" s="176" t="s">
        <v>190</v>
      </c>
      <c r="BO23" s="176" t="s">
        <v>190</v>
      </c>
      <c r="BP23" s="185">
        <v>1</v>
      </c>
      <c r="BQ23" s="185">
        <v>9</v>
      </c>
      <c r="BR23" s="185">
        <v>1</v>
      </c>
      <c r="BS23" s="185">
        <v>0</v>
      </c>
      <c r="BT23" s="203"/>
      <c r="BU23" s="186">
        <v>0</v>
      </c>
      <c r="BV23" s="186">
        <v>0</v>
      </c>
      <c r="BW23" s="186">
        <v>45</v>
      </c>
      <c r="BX23" s="57" t="s">
        <v>190</v>
      </c>
      <c r="BY23" s="203"/>
      <c r="BZ23" s="57"/>
      <c r="CA23" s="57"/>
      <c r="CB23" s="57"/>
      <c r="CC23" s="57"/>
      <c r="CD23" s="203"/>
      <c r="CE23" s="57"/>
      <c r="CF23" s="57"/>
      <c r="CG23" s="57"/>
      <c r="CH23" s="57"/>
      <c r="CI23" s="203"/>
      <c r="CJ23" s="57"/>
      <c r="CK23" s="57"/>
      <c r="CL23" s="57"/>
      <c r="CM23" s="57"/>
      <c r="CN23" s="203"/>
      <c r="CO23" s="57"/>
      <c r="CP23" s="57"/>
      <c r="CQ23" s="57"/>
      <c r="CR23" s="57"/>
      <c r="CS23" s="203"/>
      <c r="CT23" s="57"/>
      <c r="CU23" s="57"/>
      <c r="CV23" s="57"/>
      <c r="CW23" s="57"/>
      <c r="CX23" s="203"/>
      <c r="CY23" s="57"/>
      <c r="CZ23" s="57"/>
      <c r="DA23" s="57"/>
      <c r="DB23" s="57"/>
      <c r="DC23" s="203"/>
      <c r="DD23" s="57"/>
      <c r="DE23" s="57"/>
      <c r="DF23" s="57"/>
      <c r="DG23" s="57"/>
      <c r="DH23" s="203"/>
      <c r="DI23" s="57"/>
      <c r="DJ23" s="57"/>
      <c r="DK23" s="57"/>
      <c r="DL23" s="57"/>
      <c r="DM23" s="204"/>
      <c r="DN23" s="205"/>
      <c r="DO23" s="205"/>
      <c r="DQ23" s="206"/>
      <c r="DR23" s="188">
        <f t="shared" si="64"/>
        <v>0</v>
      </c>
      <c r="DS23" s="188"/>
      <c r="DT23" s="189">
        <f t="shared" si="65"/>
        <v>0</v>
      </c>
      <c r="DU23" s="189"/>
      <c r="DV23" s="188">
        <f t="shared" si="66"/>
        <v>45</v>
      </c>
      <c r="DW23" s="183" t="e">
        <f t="shared" ca="1" si="67"/>
        <v>#NAME?</v>
      </c>
      <c r="DX23" s="207"/>
      <c r="DY23" s="190" t="e">
        <f t="shared" ca="1" si="68"/>
        <v>#NAME?</v>
      </c>
      <c r="DZ23" s="191" t="str">
        <f t="shared" si="69"/>
        <v/>
      </c>
      <c r="EA23" s="191" t="str">
        <f t="shared" si="70"/>
        <v/>
      </c>
      <c r="EB23" s="191" t="str">
        <f t="shared" si="71"/>
        <v/>
      </c>
      <c r="EC23" s="208" t="e">
        <f t="shared" ca="1" si="72"/>
        <v>#NAME?</v>
      </c>
      <c r="ED23" s="36" t="str">
        <f t="shared" si="73"/>
        <v>Equity - Common</v>
      </c>
      <c r="EE23" s="193">
        <f>COUNTIF($ED$2:$ED$92, ED23)/(COUNTIF($ED$2:$ED$92, "&lt;&gt;""") - COUNTIF($ED$2:$ED$92, ""))</f>
        <v>0.32222222222222224</v>
      </c>
      <c r="EF23" s="36" t="str">
        <f t="shared" si="74"/>
        <v>Early</v>
      </c>
      <c r="EG23" s="207"/>
      <c r="EH23" s="194" t="e">
        <f t="shared" ca="1" si="75"/>
        <v>#NAME?</v>
      </c>
      <c r="EI23" s="194" t="e">
        <f t="shared" ca="1" si="76"/>
        <v>#NAME?</v>
      </c>
      <c r="EJ23" s="209" t="e">
        <f t="shared" ca="1" si="77"/>
        <v>#NAME?</v>
      </c>
      <c r="EK23" s="208" t="e">
        <f t="shared" ca="1" si="78"/>
        <v>#NAME?</v>
      </c>
      <c r="EL23" s="36" t="str">
        <f t="shared" si="79"/>
        <v>No</v>
      </c>
      <c r="EM23" s="207"/>
      <c r="EN23" s="192">
        <f t="shared" si="80"/>
        <v>1</v>
      </c>
      <c r="EO23" s="192">
        <f t="shared" si="81"/>
        <v>1</v>
      </c>
      <c r="EP23" s="209">
        <f t="shared" si="82"/>
        <v>2</v>
      </c>
      <c r="EQ23" s="210">
        <f t="shared" si="83"/>
        <v>1</v>
      </c>
      <c r="ER23" s="36" t="e">
        <f t="shared" ca="1" si="84"/>
        <v>#NAME?</v>
      </c>
      <c r="ES23" s="40">
        <f ca="1">COUNTIF($ER$2:$ER$92, ER23)/(COUNTIF($ER$2:$ER$92, "&lt;&gt;""") - COUNTIF($ER$2:$ER$92, ""))</f>
        <v>1</v>
      </c>
      <c r="ET23" s="36">
        <f t="shared" si="85"/>
        <v>1</v>
      </c>
      <c r="EU23" s="40">
        <f>COUNTIF($ET$2:$ET$92, ET23)/(COUNTIF($ET$2:$ET$92, "&lt;&gt;""") - COUNTIF($ET$2:$ET$92, ""))</f>
        <v>0.45555555555555555</v>
      </c>
      <c r="EV23" s="36">
        <f t="shared" si="86"/>
        <v>9</v>
      </c>
      <c r="EW23" s="40">
        <f>COUNTIF($EV$2:$EV$92, EV23)/(COUNTIF($EV$2:$EV$92, "&lt;&gt;""") - COUNTIF($EV$2:$EV$92, ""))</f>
        <v>5.5555555555555552E-2</v>
      </c>
      <c r="EX23" s="36" t="str">
        <f t="shared" si="87"/>
        <v>No</v>
      </c>
      <c r="EY23" s="40">
        <f>COUNTIF($EX$2:$EX$92, EX23)/(COUNTIF($EX$2:$EX$92, "&lt;&gt;""") - COUNTIF($EX$2:$EX$92, ""))</f>
        <v>0.72222222222222221</v>
      </c>
      <c r="EZ23" s="36" t="str">
        <f t="shared" ref="EZ23:FB23" si="127">BM23</f>
        <v>No</v>
      </c>
      <c r="FA23" s="36" t="str">
        <f t="shared" si="127"/>
        <v>No</v>
      </c>
      <c r="FB23" s="36" t="str">
        <f t="shared" si="127"/>
        <v>No</v>
      </c>
      <c r="FC23" s="207"/>
      <c r="FD23" s="36" t="str">
        <f t="shared" si="89"/>
        <v>Transactional</v>
      </c>
      <c r="FE23" s="40">
        <f>COUNTIF($FD$2:$FD$92, FD23)/(COUNTIF($FD$2:$FD$92, "&lt;&gt;""") - COUNTIF($FD$2:$FD$92, ""))</f>
        <v>0.6</v>
      </c>
      <c r="FF23" s="36" t="str">
        <f t="shared" si="90"/>
        <v>B2B2C</v>
      </c>
      <c r="FG23" s="40">
        <f>COUNTIF($FF$2:$FF$92, FF23)/(COUNTIF($FF$2:$FF$92, "&lt;&gt;""") - COUNTIF($FF$2:$FF$92, ""))</f>
        <v>6.6666666666666666E-2</v>
      </c>
      <c r="FH23" s="36" t="str">
        <f t="shared" si="91"/>
        <v>Low</v>
      </c>
      <c r="FI23" s="40">
        <f>COUNTIF($FH$2:$FH$92, FH23)/(COUNTIF($FH$2:$FH$92, "&lt;&gt;""") - COUNTIF($FH$2:$FH$92, ""))</f>
        <v>0.46666666666666667</v>
      </c>
      <c r="FJ23" s="36" t="str">
        <f t="shared" si="92"/>
        <v>High</v>
      </c>
      <c r="FK23" s="40">
        <f>COUNTIF($FJ$2:$FJ$92, FJ23)/(COUNTIF($FJ$2:$FJ$92, "&lt;&gt;""") - COUNTIF($FJ$2:$FJ$92, ""))</f>
        <v>0.58888888888888891</v>
      </c>
      <c r="FL23" s="207"/>
      <c r="FM23" s="192">
        <f t="shared" si="93"/>
        <v>1</v>
      </c>
      <c r="FN23" s="192" t="e">
        <f t="shared" ca="1" si="94"/>
        <v>#NAME?</v>
      </c>
      <c r="FO23" s="192" t="e">
        <f t="shared" ca="1" si="95"/>
        <v>#NAME?</v>
      </c>
      <c r="FP23" s="192" t="e">
        <f t="shared" ca="1" si="96"/>
        <v>#NAME?</v>
      </c>
      <c r="FQ23" s="209" t="e">
        <f t="shared" ca="1" si="97"/>
        <v>#NAME?</v>
      </c>
      <c r="FR23" s="208" t="e">
        <f t="shared" ca="1" si="98"/>
        <v>#NAME?</v>
      </c>
      <c r="FS23" s="36" t="str">
        <f t="shared" si="99"/>
        <v>Pre-Revenue</v>
      </c>
      <c r="FT23" s="196">
        <f>COUNTIF($FS$2:$FS$92, FS23)/(COUNTIF($FS$2:$FS$92, "&lt;&gt;""") - COUNTIF($FZ$2:$FZ$92, ""))</f>
        <v>0.2</v>
      </c>
      <c r="FU23" s="207"/>
      <c r="FV23" s="192">
        <f t="shared" si="100"/>
        <v>3</v>
      </c>
      <c r="FW23" s="197" t="e">
        <f t="shared" ca="1" si="101"/>
        <v>#NAME?</v>
      </c>
      <c r="FX23" s="209" t="e">
        <f t="shared" ca="1" si="102"/>
        <v>#NAME?</v>
      </c>
      <c r="FY23" s="211" t="e">
        <f t="shared" ca="1" si="103"/>
        <v>#NAME?</v>
      </c>
      <c r="FZ23" s="36" t="str">
        <f t="shared" si="104"/>
        <v>No</v>
      </c>
      <c r="GA23" s="196">
        <f>COUNTIF($FZ$2:$FZ$92, FZ23)/(COUNTIF($FZ$2:$FZ$92, "&lt;&gt;""") - COUNTIF($FZ$2:$FZ$92, ""))</f>
        <v>0.76666666666666672</v>
      </c>
      <c r="GB23" s="196" t="str">
        <f t="shared" si="105"/>
        <v>Low</v>
      </c>
      <c r="GC23" s="196">
        <f>COUNTIF($GB$2:$GB$92, GB23)/(COUNTIF($GB$2:$GB$92, "&lt;&gt;""") - COUNTIF($GB$2:$GB$92, ""))</f>
        <v>0.55555555555555558</v>
      </c>
      <c r="GD23" s="196" t="str">
        <f t="shared" si="106"/>
        <v>High</v>
      </c>
      <c r="GE23" s="196">
        <f>COUNTIF($GD$2:$GD$92, GD23)/(COUNTIF($GD$2:$GD$92, "&lt;&gt;""") - COUNTIF($GD$2:$GD$92, ""))</f>
        <v>0.8</v>
      </c>
      <c r="GF23" s="207"/>
      <c r="GG23" s="36"/>
      <c r="GH23" s="209" t="e">
        <f t="shared" ca="1" si="107"/>
        <v>#NAME?</v>
      </c>
      <c r="GI23" s="212" t="e">
        <f t="shared" ca="1" si="108"/>
        <v>#NAME?</v>
      </c>
    </row>
    <row r="24" spans="1:191" ht="15.75" customHeight="1">
      <c r="A24" s="57"/>
      <c r="B24" s="57" t="s">
        <v>409</v>
      </c>
      <c r="C24" s="185">
        <v>1777377</v>
      </c>
      <c r="D24" s="57" t="s">
        <v>784</v>
      </c>
      <c r="E24" s="31">
        <v>43662.44027777778</v>
      </c>
      <c r="F24" s="176" t="s">
        <v>337</v>
      </c>
      <c r="G24" s="221" t="s">
        <v>785</v>
      </c>
      <c r="H24" s="221" t="s">
        <v>786</v>
      </c>
      <c r="I24" s="227">
        <v>43661</v>
      </c>
      <c r="J24" s="57" t="s">
        <v>787</v>
      </c>
      <c r="K24" s="57" t="s">
        <v>784</v>
      </c>
      <c r="M24" s="29" t="s">
        <v>28</v>
      </c>
      <c r="N24" s="176" t="s">
        <v>168</v>
      </c>
      <c r="O24" s="176" t="s">
        <v>30</v>
      </c>
      <c r="P24" s="176" t="s">
        <v>31</v>
      </c>
      <c r="Q24" s="176" t="s">
        <v>35</v>
      </c>
      <c r="R24" s="176"/>
      <c r="S24" s="176" t="s">
        <v>176</v>
      </c>
      <c r="T24" s="177"/>
      <c r="U24" s="178"/>
      <c r="V24" s="180"/>
      <c r="W24" s="55">
        <v>6000000</v>
      </c>
      <c r="X24" s="224">
        <v>0.2</v>
      </c>
      <c r="Y24" s="55">
        <f t="shared" si="115"/>
        <v>4800000</v>
      </c>
      <c r="Z24" s="274">
        <f t="shared" si="116"/>
        <v>4800000</v>
      </c>
      <c r="AA24" s="183" t="e">
        <f t="shared" ca="1" si="117"/>
        <v>#NAME?</v>
      </c>
      <c r="AB24" s="176" t="s">
        <v>36</v>
      </c>
      <c r="AC24" s="176" t="s">
        <v>179</v>
      </c>
      <c r="AD24" s="176" t="s">
        <v>38</v>
      </c>
      <c r="AE24" s="176" t="s">
        <v>227</v>
      </c>
      <c r="AF24" s="29" t="s">
        <v>39</v>
      </c>
      <c r="AG24" s="29" t="s">
        <v>39</v>
      </c>
      <c r="AH24" s="176" t="s">
        <v>190</v>
      </c>
      <c r="AI24" s="223"/>
      <c r="AJ24" s="277">
        <v>308000000000</v>
      </c>
      <c r="AK24" s="224" t="e">
        <f t="shared" ca="1" si="118"/>
        <v>#NAME?</v>
      </c>
      <c r="AL24" s="277">
        <v>270000000</v>
      </c>
      <c r="AM24" s="224" t="e">
        <f t="shared" ca="1" si="119"/>
        <v>#NAME?</v>
      </c>
      <c r="AN24" s="277">
        <v>0.44</v>
      </c>
      <c r="AO24" s="185" t="e">
        <f t="shared" ca="1" si="63"/>
        <v>#NAME?</v>
      </c>
      <c r="AP24" s="185" t="s">
        <v>228</v>
      </c>
      <c r="AQ24" s="29" t="s">
        <v>39</v>
      </c>
      <c r="AR24" s="176" t="s">
        <v>181</v>
      </c>
      <c r="AS24" s="176" t="s">
        <v>42</v>
      </c>
      <c r="AT24" s="29" t="s">
        <v>39</v>
      </c>
      <c r="AU24" s="29" t="s">
        <v>39</v>
      </c>
      <c r="AV24" s="176" t="s">
        <v>190</v>
      </c>
      <c r="AW24" s="176" t="s">
        <v>190</v>
      </c>
      <c r="AX24" s="176" t="s">
        <v>190</v>
      </c>
      <c r="AY24" s="176" t="s">
        <v>227</v>
      </c>
      <c r="AZ24" s="55">
        <v>140</v>
      </c>
      <c r="BA24" s="55" t="e">
        <f t="shared" ca="1" si="120"/>
        <v>#NAME?</v>
      </c>
      <c r="BB24" s="277">
        <v>2380</v>
      </c>
      <c r="BC24" s="277">
        <v>0</v>
      </c>
      <c r="BD24" s="62" t="e">
        <f t="shared" ca="1" si="121"/>
        <v>#NAME?</v>
      </c>
      <c r="BE24" s="277">
        <f t="shared" si="122"/>
        <v>1</v>
      </c>
      <c r="BF24" s="62" t="e">
        <f t="shared" ca="1" si="123"/>
        <v>#NAME?</v>
      </c>
      <c r="BG24" s="176" t="s">
        <v>202</v>
      </c>
      <c r="BH24" s="176"/>
      <c r="BI24" s="176" t="s">
        <v>190</v>
      </c>
      <c r="BJ24" s="185">
        <v>0</v>
      </c>
      <c r="BK24" s="277">
        <v>4</v>
      </c>
      <c r="BL24" s="176" t="s">
        <v>190</v>
      </c>
      <c r="BM24" s="176" t="s">
        <v>227</v>
      </c>
      <c r="BN24" s="176" t="s">
        <v>190</v>
      </c>
      <c r="BO24" s="176" t="s">
        <v>190</v>
      </c>
      <c r="BP24" s="185">
        <v>3</v>
      </c>
      <c r="BQ24" s="185">
        <v>8</v>
      </c>
      <c r="BR24" s="185">
        <v>1</v>
      </c>
      <c r="BS24" s="185">
        <v>0</v>
      </c>
      <c r="BT24" s="203"/>
      <c r="BU24" s="186">
        <v>0</v>
      </c>
      <c r="BV24" s="186">
        <v>0</v>
      </c>
      <c r="BW24" s="186">
        <v>42</v>
      </c>
      <c r="BX24" s="57" t="s">
        <v>190</v>
      </c>
      <c r="BY24" s="203"/>
      <c r="BZ24" s="185">
        <v>15</v>
      </c>
      <c r="CA24" s="185">
        <v>0</v>
      </c>
      <c r="CB24" s="176"/>
      <c r="CC24" s="176" t="s">
        <v>190</v>
      </c>
      <c r="CD24" s="203"/>
      <c r="CE24" s="185">
        <v>0</v>
      </c>
      <c r="CF24" s="185">
        <v>0</v>
      </c>
      <c r="CG24" s="185">
        <v>42</v>
      </c>
      <c r="CH24" s="176" t="s">
        <v>227</v>
      </c>
      <c r="CI24" s="203"/>
      <c r="CJ24" s="176"/>
      <c r="CK24" s="176"/>
      <c r="CL24" s="176"/>
      <c r="CM24" s="176"/>
      <c r="CN24" s="203"/>
      <c r="CO24" s="186"/>
      <c r="CP24" s="186"/>
      <c r="CQ24" s="186"/>
      <c r="CR24" s="57"/>
      <c r="CS24" s="203"/>
      <c r="CT24" s="186"/>
      <c r="CU24" s="186"/>
      <c r="CV24" s="186"/>
      <c r="CW24" s="57"/>
      <c r="CX24" s="203"/>
      <c r="CY24" s="186"/>
      <c r="CZ24" s="186"/>
      <c r="DA24" s="186"/>
      <c r="DB24" s="57"/>
      <c r="DC24" s="203"/>
      <c r="DD24" s="186"/>
      <c r="DE24" s="186"/>
      <c r="DF24" s="186"/>
      <c r="DG24" s="57"/>
      <c r="DH24" s="203"/>
      <c r="DI24" s="186"/>
      <c r="DJ24" s="186"/>
      <c r="DK24" s="186"/>
      <c r="DL24" s="57"/>
      <c r="DM24" s="204"/>
      <c r="DN24" s="205"/>
      <c r="DO24" s="205"/>
      <c r="DQ24" s="206"/>
      <c r="DR24" s="188">
        <f t="shared" si="64"/>
        <v>5</v>
      </c>
      <c r="DS24" s="188"/>
      <c r="DT24" s="189">
        <f t="shared" si="65"/>
        <v>0</v>
      </c>
      <c r="DU24" s="189"/>
      <c r="DV24" s="188">
        <f t="shared" si="66"/>
        <v>42</v>
      </c>
      <c r="DW24" s="183" t="e">
        <f t="shared" ca="1" si="67"/>
        <v>#NAME?</v>
      </c>
      <c r="DX24" s="207"/>
      <c r="DY24" s="190" t="e">
        <f t="shared" ca="1" si="68"/>
        <v>#NAME?</v>
      </c>
      <c r="DZ24" s="191">
        <f t="shared" si="69"/>
        <v>3.1052631578947367</v>
      </c>
      <c r="EA24" s="191" t="str">
        <f t="shared" si="70"/>
        <v/>
      </c>
      <c r="EB24" s="191" t="str">
        <f t="shared" si="71"/>
        <v/>
      </c>
      <c r="EC24" s="208" t="e">
        <f t="shared" ca="1" si="72"/>
        <v>#NAME?</v>
      </c>
      <c r="ED24" s="36" t="str">
        <f t="shared" si="73"/>
        <v>Convertible Note</v>
      </c>
      <c r="EE24" s="193">
        <f>COUNTIF($ED$2:$ED$92, ED24)/(COUNTIF($ED$2:$ED$92, "&lt;&gt;""") - COUNTIF($ED$2:$ED$92, ""))</f>
        <v>0.13333333333333333</v>
      </c>
      <c r="EF24" s="36" t="str">
        <f t="shared" si="74"/>
        <v>Early</v>
      </c>
      <c r="EG24" s="207"/>
      <c r="EH24" s="194" t="e">
        <f t="shared" ca="1" si="75"/>
        <v>#NAME?</v>
      </c>
      <c r="EI24" s="194" t="e">
        <f t="shared" ca="1" si="76"/>
        <v>#NAME?</v>
      </c>
      <c r="EJ24" s="209" t="e">
        <f t="shared" ca="1" si="77"/>
        <v>#NAME?</v>
      </c>
      <c r="EK24" s="208" t="e">
        <f t="shared" ca="1" si="78"/>
        <v>#NAME?</v>
      </c>
      <c r="EL24" s="36" t="str">
        <f t="shared" si="79"/>
        <v>No</v>
      </c>
      <c r="EM24" s="207"/>
      <c r="EN24" s="192">
        <f t="shared" si="80"/>
        <v>1.4761904761904763</v>
      </c>
      <c r="EO24" s="192">
        <f t="shared" si="81"/>
        <v>1</v>
      </c>
      <c r="EP24" s="209">
        <f t="shared" si="82"/>
        <v>2.4761904761904763</v>
      </c>
      <c r="EQ24" s="210">
        <f t="shared" si="83"/>
        <v>1.3738317757009346</v>
      </c>
      <c r="ER24" s="36" t="e">
        <f t="shared" ca="1" si="84"/>
        <v>#NAME?</v>
      </c>
      <c r="ES24" s="40">
        <f ca="1">COUNTIF($ER$2:$ER$92, ER24)/(COUNTIF($ER$2:$ER$92, "&lt;&gt;""") - COUNTIF($ER$2:$ER$92, ""))</f>
        <v>1</v>
      </c>
      <c r="ET24" s="36">
        <f t="shared" si="85"/>
        <v>4</v>
      </c>
      <c r="EU24" s="40">
        <f>COUNTIF($ET$2:$ET$92, ET24)/(COUNTIF($ET$2:$ET$92, "&lt;&gt;""") - COUNTIF($ET$2:$ET$92, ""))</f>
        <v>4.4444444444444446E-2</v>
      </c>
      <c r="EV24" s="36">
        <f t="shared" si="86"/>
        <v>8</v>
      </c>
      <c r="EW24" s="40">
        <f>COUNTIF($EV$2:$EV$92, EV24)/(COUNTIF($EV$2:$EV$92, "&lt;&gt;""") - COUNTIF($EV$2:$EV$92, ""))</f>
        <v>5.5555555555555552E-2</v>
      </c>
      <c r="EX24" s="36" t="str">
        <f t="shared" si="87"/>
        <v>No</v>
      </c>
      <c r="EY24" s="40">
        <f>COUNTIF($EX$2:$EX$92, EX24)/(COUNTIF($EX$2:$EX$92, "&lt;&gt;""") - COUNTIF($EX$2:$EX$92, ""))</f>
        <v>0.72222222222222221</v>
      </c>
      <c r="EZ24" s="36" t="str">
        <f t="shared" ref="EZ24:FB24" si="128">BM24</f>
        <v>Yes</v>
      </c>
      <c r="FA24" s="36" t="str">
        <f t="shared" si="128"/>
        <v>No</v>
      </c>
      <c r="FB24" s="36" t="str">
        <f t="shared" si="128"/>
        <v>No</v>
      </c>
      <c r="FC24" s="207"/>
      <c r="FD24" s="36" t="str">
        <f t="shared" si="89"/>
        <v>Transactional</v>
      </c>
      <c r="FE24" s="40">
        <f>COUNTIF($FD$2:$FD$92, FD24)/(COUNTIF($FD$2:$FD$92, "&lt;&gt;""") - COUNTIF($FD$2:$FD$92, ""))</f>
        <v>0.6</v>
      </c>
      <c r="FF24" s="36" t="str">
        <f t="shared" si="90"/>
        <v>B2C</v>
      </c>
      <c r="FG24" s="40">
        <f>COUNTIF($FF$2:$FF$92, FF24)/(COUNTIF($FF$2:$FF$92, "&lt;&gt;""") - COUNTIF($FF$2:$FF$92, ""))</f>
        <v>0.41111111111111109</v>
      </c>
      <c r="FH24" s="36" t="str">
        <f t="shared" si="91"/>
        <v>High</v>
      </c>
      <c r="FI24" s="40">
        <f>COUNTIF($FH$2:$FH$92, FH24)/(COUNTIF($FH$2:$FH$92, "&lt;&gt;""") - COUNTIF($FH$2:$FH$92, ""))</f>
        <v>0.53333333333333333</v>
      </c>
      <c r="FJ24" s="36" t="str">
        <f t="shared" si="92"/>
        <v>High</v>
      </c>
      <c r="FK24" s="40">
        <f>COUNTIF($FJ$2:$FJ$92, FJ24)/(COUNTIF($FJ$2:$FJ$92, "&lt;&gt;""") - COUNTIF($FJ$2:$FJ$92, ""))</f>
        <v>0.58888888888888891</v>
      </c>
      <c r="FL24" s="207"/>
      <c r="FM24" s="192">
        <f t="shared" si="93"/>
        <v>5</v>
      </c>
      <c r="FN24" s="192" t="e">
        <f t="shared" ca="1" si="94"/>
        <v>#NAME?</v>
      </c>
      <c r="FO24" s="192" t="e">
        <f t="shared" ca="1" si="95"/>
        <v>#NAME?</v>
      </c>
      <c r="FP24" s="192" t="e">
        <f t="shared" ca="1" si="96"/>
        <v>#NAME?</v>
      </c>
      <c r="FQ24" s="209" t="e">
        <f t="shared" ca="1" si="97"/>
        <v>#NAME?</v>
      </c>
      <c r="FR24" s="208" t="e">
        <f t="shared" ca="1" si="98"/>
        <v>#NAME?</v>
      </c>
      <c r="FS24" s="36" t="str">
        <f t="shared" si="99"/>
        <v>Pre-Profit</v>
      </c>
      <c r="FT24" s="196">
        <f>COUNTIF($FS$2:$FS$92, FS24)/(COUNTIF($FS$2:$FS$92, "&lt;&gt;""") - COUNTIF($FZ$2:$FZ$92, ""))</f>
        <v>0.51111111111111107</v>
      </c>
      <c r="FU24" s="207"/>
      <c r="FV24" s="192">
        <f t="shared" si="100"/>
        <v>3</v>
      </c>
      <c r="FW24" s="197" t="e">
        <f t="shared" ca="1" si="101"/>
        <v>#NAME?</v>
      </c>
      <c r="FX24" s="209" t="e">
        <f t="shared" ca="1" si="102"/>
        <v>#NAME?</v>
      </c>
      <c r="FY24" s="211" t="e">
        <f t="shared" ca="1" si="103"/>
        <v>#NAME?</v>
      </c>
      <c r="FZ24" s="36" t="str">
        <f t="shared" si="104"/>
        <v>No</v>
      </c>
      <c r="GA24" s="196">
        <f>COUNTIF($FZ$2:$FZ$92, FZ24)/(COUNTIF($FZ$2:$FZ$92, "&lt;&gt;""") - COUNTIF($FZ$2:$FZ$92, ""))</f>
        <v>0.76666666666666672</v>
      </c>
      <c r="GB24" s="196" t="str">
        <f t="shared" si="105"/>
        <v>High</v>
      </c>
      <c r="GC24" s="196">
        <f>COUNTIF($GB$2:$GB$92, GB24)/(COUNTIF($GB$2:$GB$92, "&lt;&gt;""") - COUNTIF($GB$2:$GB$92, ""))</f>
        <v>0.43333333333333335</v>
      </c>
      <c r="GD24" s="196" t="str">
        <f t="shared" si="106"/>
        <v>High</v>
      </c>
      <c r="GE24" s="196">
        <f>COUNTIF($GD$2:$GD$92, GD24)/(COUNTIF($GD$2:$GD$92, "&lt;&gt;""") - COUNTIF($GD$2:$GD$92, ""))</f>
        <v>0.8</v>
      </c>
      <c r="GF24" s="207"/>
      <c r="GG24" s="36"/>
      <c r="GH24" s="209" t="e">
        <f t="shared" ca="1" si="107"/>
        <v>#NAME?</v>
      </c>
      <c r="GI24" s="212" t="e">
        <f t="shared" ca="1" si="108"/>
        <v>#NAME?</v>
      </c>
    </row>
    <row r="25" spans="1:191" ht="15.75" customHeight="1">
      <c r="A25" s="57"/>
      <c r="B25" s="57" t="s">
        <v>409</v>
      </c>
      <c r="C25" s="185">
        <v>1654124</v>
      </c>
      <c r="D25" s="57" t="s">
        <v>788</v>
      </c>
      <c r="E25" s="31">
        <v>43663.431250000001</v>
      </c>
      <c r="F25" s="176" t="s">
        <v>337</v>
      </c>
      <c r="G25" s="221" t="s">
        <v>789</v>
      </c>
      <c r="H25" s="221" t="s">
        <v>790</v>
      </c>
      <c r="I25" s="227">
        <v>43663</v>
      </c>
      <c r="J25" s="57" t="s">
        <v>791</v>
      </c>
      <c r="K25" s="57" t="s">
        <v>792</v>
      </c>
      <c r="M25" s="29" t="s">
        <v>243</v>
      </c>
      <c r="N25" s="176" t="s">
        <v>294</v>
      </c>
      <c r="O25" s="176" t="s">
        <v>30</v>
      </c>
      <c r="P25" s="176" t="s">
        <v>197</v>
      </c>
      <c r="Q25" s="176" t="s">
        <v>35</v>
      </c>
      <c r="R25" s="176"/>
      <c r="S25" s="176" t="s">
        <v>176</v>
      </c>
      <c r="T25" s="177"/>
      <c r="U25" s="178"/>
      <c r="V25" s="180"/>
      <c r="W25" s="55">
        <v>50000000</v>
      </c>
      <c r="X25" s="224">
        <v>0.3</v>
      </c>
      <c r="Y25" s="55">
        <f t="shared" si="115"/>
        <v>35000000</v>
      </c>
      <c r="Z25" s="274">
        <f t="shared" si="116"/>
        <v>35000000</v>
      </c>
      <c r="AA25" s="183" t="e">
        <f t="shared" ca="1" si="117"/>
        <v>#NAME?</v>
      </c>
      <c r="AB25" s="176" t="s">
        <v>36</v>
      </c>
      <c r="AC25" s="176" t="s">
        <v>37</v>
      </c>
      <c r="AD25" s="176" t="s">
        <v>38</v>
      </c>
      <c r="AE25" s="176" t="s">
        <v>190</v>
      </c>
      <c r="AF25" s="29" t="s">
        <v>39</v>
      </c>
      <c r="AG25" s="29" t="s">
        <v>39</v>
      </c>
      <c r="AH25" s="176" t="s">
        <v>190</v>
      </c>
      <c r="AI25" s="223"/>
      <c r="AJ25" s="277">
        <v>418000000000</v>
      </c>
      <c r="AK25" s="224" t="e">
        <f t="shared" ca="1" si="118"/>
        <v>#NAME?</v>
      </c>
      <c r="AL25" s="277">
        <v>888960150</v>
      </c>
      <c r="AM25" s="224" t="e">
        <f t="shared" ca="1" si="119"/>
        <v>#NAME?</v>
      </c>
      <c r="AN25" s="277">
        <v>0.11</v>
      </c>
      <c r="AO25" s="185" t="e">
        <f t="shared" ca="1" si="63"/>
        <v>#NAME?</v>
      </c>
      <c r="AP25" s="185" t="s">
        <v>211</v>
      </c>
      <c r="AQ25" s="29" t="s">
        <v>39</v>
      </c>
      <c r="AR25" s="29" t="s">
        <v>39</v>
      </c>
      <c r="AS25" s="176" t="s">
        <v>182</v>
      </c>
      <c r="AT25" s="29" t="s">
        <v>39</v>
      </c>
      <c r="AU25" s="57" t="s">
        <v>181</v>
      </c>
      <c r="AV25" s="176" t="s">
        <v>190</v>
      </c>
      <c r="AW25" s="176" t="s">
        <v>227</v>
      </c>
      <c r="AX25" s="176" t="s">
        <v>190</v>
      </c>
      <c r="AY25" s="176" t="s">
        <v>190</v>
      </c>
      <c r="AZ25" s="55">
        <v>0</v>
      </c>
      <c r="BA25" s="55" t="e">
        <f t="shared" ca="1" si="120"/>
        <v>#NAME?</v>
      </c>
      <c r="BB25" s="277">
        <v>214774</v>
      </c>
      <c r="BC25" s="277">
        <v>9300000</v>
      </c>
      <c r="BD25" s="62" t="e">
        <f t="shared" ca="1" si="121"/>
        <v>#NAME?</v>
      </c>
      <c r="BE25" s="277">
        <f t="shared" si="122"/>
        <v>2.3093978494623656E-2</v>
      </c>
      <c r="BF25" s="62" t="e">
        <f t="shared" ca="1" si="123"/>
        <v>#NAME?</v>
      </c>
      <c r="BG25" s="176" t="s">
        <v>43</v>
      </c>
      <c r="BH25" s="176"/>
      <c r="BI25" s="176" t="s">
        <v>190</v>
      </c>
      <c r="BJ25" s="185">
        <v>0</v>
      </c>
      <c r="BK25" s="277">
        <v>1</v>
      </c>
      <c r="BL25" s="176" t="s">
        <v>190</v>
      </c>
      <c r="BM25" s="176" t="s">
        <v>190</v>
      </c>
      <c r="BN25" s="176" t="s">
        <v>227</v>
      </c>
      <c r="BO25" s="176" t="s">
        <v>190</v>
      </c>
      <c r="BP25" s="185">
        <v>1</v>
      </c>
      <c r="BQ25" s="185">
        <v>5</v>
      </c>
      <c r="BR25" s="185">
        <v>4</v>
      </c>
      <c r="BS25" s="185">
        <v>1</v>
      </c>
      <c r="BT25" s="203"/>
      <c r="BU25" s="186">
        <v>11</v>
      </c>
      <c r="BV25" s="186">
        <v>0</v>
      </c>
      <c r="BW25" s="186">
        <v>34</v>
      </c>
      <c r="BX25" s="57" t="s">
        <v>227</v>
      </c>
      <c r="BY25" s="203"/>
      <c r="BZ25" s="57"/>
      <c r="CA25" s="57"/>
      <c r="CB25" s="57"/>
      <c r="CC25" s="57"/>
      <c r="CD25" s="203"/>
      <c r="CE25" s="57"/>
      <c r="CF25" s="57"/>
      <c r="CG25" s="57"/>
      <c r="CH25" s="57"/>
      <c r="CI25" s="203"/>
      <c r="CJ25" s="57"/>
      <c r="CK25" s="57"/>
      <c r="CL25" s="57"/>
      <c r="CM25" s="57"/>
      <c r="CN25" s="203"/>
      <c r="CO25" s="176"/>
      <c r="CP25" s="176"/>
      <c r="CQ25" s="176"/>
      <c r="CR25" s="176"/>
      <c r="CS25" s="203"/>
      <c r="CT25" s="176"/>
      <c r="CU25" s="176"/>
      <c r="CV25" s="176"/>
      <c r="CW25" s="176"/>
      <c r="CX25" s="203"/>
      <c r="CY25" s="176"/>
      <c r="CZ25" s="176"/>
      <c r="DA25" s="176"/>
      <c r="DB25" s="176"/>
      <c r="DC25" s="203"/>
      <c r="DD25" s="176"/>
      <c r="DE25" s="176"/>
      <c r="DF25" s="176"/>
      <c r="DG25" s="176"/>
      <c r="DH25" s="203"/>
      <c r="DI25" s="176"/>
      <c r="DJ25" s="176"/>
      <c r="DK25" s="176"/>
      <c r="DL25" s="176"/>
      <c r="DM25" s="204"/>
      <c r="DN25" s="205"/>
      <c r="DO25" s="205"/>
      <c r="DQ25" s="206"/>
      <c r="DR25" s="188">
        <f t="shared" si="64"/>
        <v>11</v>
      </c>
      <c r="DS25" s="188"/>
      <c r="DT25" s="189">
        <f t="shared" si="65"/>
        <v>0</v>
      </c>
      <c r="DU25" s="189"/>
      <c r="DV25" s="188">
        <f t="shared" si="66"/>
        <v>34</v>
      </c>
      <c r="DW25" s="183" t="e">
        <f t="shared" ca="1" si="67"/>
        <v>#NAME?</v>
      </c>
      <c r="DX25" s="207"/>
      <c r="DY25" s="190" t="e">
        <f t="shared" ca="1" si="68"/>
        <v>#NAME?</v>
      </c>
      <c r="DZ25" s="191">
        <f t="shared" si="69"/>
        <v>4.1578947368421053</v>
      </c>
      <c r="EA25" s="191" t="str">
        <f t="shared" si="70"/>
        <v/>
      </c>
      <c r="EB25" s="191" t="str">
        <f t="shared" si="71"/>
        <v/>
      </c>
      <c r="EC25" s="208" t="e">
        <f t="shared" ca="1" si="72"/>
        <v>#NAME?</v>
      </c>
      <c r="ED25" s="36" t="str">
        <f t="shared" si="73"/>
        <v>Convertible Note</v>
      </c>
      <c r="EE25" s="193">
        <f>COUNTIF($ED$2:$ED$92, ED25)/(COUNTIF($ED$2:$ED$92, "&lt;&gt;""") - COUNTIF($ED$2:$ED$92, ""))</f>
        <v>0.13333333333333333</v>
      </c>
      <c r="EF25" s="36" t="str">
        <f t="shared" si="74"/>
        <v>Early</v>
      </c>
      <c r="EG25" s="207"/>
      <c r="EH25" s="194" t="e">
        <f t="shared" ca="1" si="75"/>
        <v>#NAME?</v>
      </c>
      <c r="EI25" s="194" t="e">
        <f t="shared" ca="1" si="76"/>
        <v>#NAME?</v>
      </c>
      <c r="EJ25" s="209" t="e">
        <f t="shared" ca="1" si="77"/>
        <v>#NAME?</v>
      </c>
      <c r="EK25" s="208" t="e">
        <f t="shared" ca="1" si="78"/>
        <v>#NAME?</v>
      </c>
      <c r="EL25" s="36" t="str">
        <f t="shared" si="79"/>
        <v>No</v>
      </c>
      <c r="EM25" s="207"/>
      <c r="EN25" s="192">
        <f t="shared" si="80"/>
        <v>2.0476190476190474</v>
      </c>
      <c r="EO25" s="192">
        <f t="shared" si="81"/>
        <v>1</v>
      </c>
      <c r="EP25" s="209">
        <f t="shared" si="82"/>
        <v>3.0476190476190474</v>
      </c>
      <c r="EQ25" s="210">
        <f t="shared" si="83"/>
        <v>1.8224299065420559</v>
      </c>
      <c r="ER25" s="36" t="e">
        <f t="shared" ca="1" si="84"/>
        <v>#NAME?</v>
      </c>
      <c r="ES25" s="40">
        <f ca="1">COUNTIF($ER$2:$ER$92, ER25)/(COUNTIF($ER$2:$ER$92, "&lt;&gt;""") - COUNTIF($ER$2:$ER$92, ""))</f>
        <v>1</v>
      </c>
      <c r="ET25" s="36">
        <f t="shared" si="85"/>
        <v>1</v>
      </c>
      <c r="EU25" s="40">
        <f>COUNTIF($ET$2:$ET$92, ET25)/(COUNTIF($ET$2:$ET$92, "&lt;&gt;""") - COUNTIF($ET$2:$ET$92, ""))</f>
        <v>0.45555555555555555</v>
      </c>
      <c r="EV25" s="36">
        <f t="shared" si="86"/>
        <v>5</v>
      </c>
      <c r="EW25" s="40">
        <f>COUNTIF($EV$2:$EV$92, EV25)/(COUNTIF($EV$2:$EV$92, "&lt;&gt;""") - COUNTIF($EV$2:$EV$92, ""))</f>
        <v>0.13333333333333333</v>
      </c>
      <c r="EX25" s="36" t="str">
        <f t="shared" si="87"/>
        <v>No</v>
      </c>
      <c r="EY25" s="40">
        <f>COUNTIF($EX$2:$EX$92, EX25)/(COUNTIF($EX$2:$EX$92, "&lt;&gt;""") - COUNTIF($EX$2:$EX$92, ""))</f>
        <v>0.72222222222222221</v>
      </c>
      <c r="EZ25" s="36" t="str">
        <f t="shared" ref="EZ25:FB25" si="129">BM25</f>
        <v>No</v>
      </c>
      <c r="FA25" s="36" t="str">
        <f t="shared" si="129"/>
        <v>Yes</v>
      </c>
      <c r="FB25" s="36" t="str">
        <f t="shared" si="129"/>
        <v>No</v>
      </c>
      <c r="FC25" s="207"/>
      <c r="FD25" s="36" t="str">
        <f t="shared" si="89"/>
        <v>Transactional</v>
      </c>
      <c r="FE25" s="40">
        <f>COUNTIF($FD$2:$FD$92, FD25)/(COUNTIF($FD$2:$FD$92, "&lt;&gt;""") - COUNTIF($FD$2:$FD$92, ""))</f>
        <v>0.6</v>
      </c>
      <c r="FF25" s="36" t="str">
        <f t="shared" si="90"/>
        <v>B2B</v>
      </c>
      <c r="FG25" s="40">
        <f>COUNTIF($FF$2:$FF$92, FF25)/(COUNTIF($FF$2:$FF$92, "&lt;&gt;""") - COUNTIF($FF$2:$FF$92, ""))</f>
        <v>0.24444444444444444</v>
      </c>
      <c r="FH25" s="36" t="str">
        <f t="shared" si="91"/>
        <v>High</v>
      </c>
      <c r="FI25" s="40">
        <f>COUNTIF($FH$2:$FH$92, FH25)/(COUNTIF($FH$2:$FH$92, "&lt;&gt;""") - COUNTIF($FH$2:$FH$92, ""))</f>
        <v>0.53333333333333333</v>
      </c>
      <c r="FJ25" s="36" t="str">
        <f t="shared" si="92"/>
        <v>High</v>
      </c>
      <c r="FK25" s="40">
        <f>COUNTIF($FJ$2:$FJ$92, FJ25)/(COUNTIF($FJ$2:$FJ$92, "&lt;&gt;""") - COUNTIF($FJ$2:$FJ$92, ""))</f>
        <v>0.58888888888888891</v>
      </c>
      <c r="FL25" s="207"/>
      <c r="FM25" s="192">
        <f t="shared" si="93"/>
        <v>1</v>
      </c>
      <c r="FN25" s="192" t="e">
        <f t="shared" ca="1" si="94"/>
        <v>#NAME?</v>
      </c>
      <c r="FO25" s="192" t="e">
        <f t="shared" ca="1" si="95"/>
        <v>#NAME?</v>
      </c>
      <c r="FP25" s="192" t="e">
        <f t="shared" ca="1" si="96"/>
        <v>#NAME?</v>
      </c>
      <c r="FQ25" s="209" t="e">
        <f t="shared" ca="1" si="97"/>
        <v>#NAME?</v>
      </c>
      <c r="FR25" s="208" t="e">
        <f t="shared" ca="1" si="98"/>
        <v>#NAME?</v>
      </c>
      <c r="FS25" s="36" t="str">
        <f t="shared" si="99"/>
        <v>Pre-Product</v>
      </c>
      <c r="FT25" s="196">
        <f>COUNTIF($FS$2:$FS$92, FS25)/(COUNTIF($FS$2:$FS$92, "&lt;&gt;""") - COUNTIF($FZ$2:$FZ$92, ""))</f>
        <v>0.22222222222222221</v>
      </c>
      <c r="FU25" s="207"/>
      <c r="FV25" s="192" t="e">
        <f t="shared" ca="1" si="100"/>
        <v>#NAME?</v>
      </c>
      <c r="FW25" s="197" t="e">
        <f t="shared" ca="1" si="101"/>
        <v>#NAME?</v>
      </c>
      <c r="FX25" s="209" t="e">
        <f t="shared" ca="1" si="102"/>
        <v>#NAME?</v>
      </c>
      <c r="FY25" s="211" t="e">
        <f t="shared" ca="1" si="103"/>
        <v>#NAME?</v>
      </c>
      <c r="FZ25" s="36" t="str">
        <f t="shared" si="104"/>
        <v>Yes</v>
      </c>
      <c r="GA25" s="196">
        <f>COUNTIF($FZ$2:$FZ$92, FZ25)/(COUNTIF($FZ$2:$FZ$92, "&lt;&gt;""") - COUNTIF($FZ$2:$FZ$92, ""))</f>
        <v>0.23333333333333334</v>
      </c>
      <c r="GB25" s="196" t="str">
        <f t="shared" si="105"/>
        <v>High</v>
      </c>
      <c r="GC25" s="196">
        <f>COUNTIF($GB$2:$GB$92, GB25)/(COUNTIF($GB$2:$GB$92, "&lt;&gt;""") - COUNTIF($GB$2:$GB$92, ""))</f>
        <v>0.43333333333333335</v>
      </c>
      <c r="GD25" s="196" t="str">
        <f t="shared" si="106"/>
        <v>Low</v>
      </c>
      <c r="GE25" s="196">
        <f>COUNTIF($GD$2:$GD$92, GD25)/(COUNTIF($GD$2:$GD$92, "&lt;&gt;""") - COUNTIF($GD$2:$GD$92, ""))</f>
        <v>0.18888888888888888</v>
      </c>
      <c r="GF25" s="207"/>
      <c r="GG25" s="36"/>
      <c r="GH25" s="209" t="e">
        <f t="shared" ca="1" si="107"/>
        <v>#NAME?</v>
      </c>
      <c r="GI25" s="212" t="e">
        <f t="shared" ca="1" si="108"/>
        <v>#NAME?</v>
      </c>
    </row>
    <row r="26" spans="1:191" ht="15.75" customHeight="1">
      <c r="A26" s="57"/>
      <c r="B26" s="57" t="s">
        <v>409</v>
      </c>
      <c r="C26" s="185">
        <v>1782663</v>
      </c>
      <c r="D26" s="57" t="s">
        <v>793</v>
      </c>
      <c r="E26" s="31">
        <v>43664.54583333333</v>
      </c>
      <c r="F26" s="176" t="s">
        <v>316</v>
      </c>
      <c r="G26" s="221" t="s">
        <v>794</v>
      </c>
      <c r="H26" s="221" t="s">
        <v>795</v>
      </c>
      <c r="I26" s="227">
        <v>43664</v>
      </c>
      <c r="J26" s="57" t="s">
        <v>796</v>
      </c>
      <c r="K26" s="57" t="s">
        <v>793</v>
      </c>
      <c r="M26" s="29" t="s">
        <v>323</v>
      </c>
      <c r="N26" s="176" t="s">
        <v>168</v>
      </c>
      <c r="O26" s="176" t="s">
        <v>30</v>
      </c>
      <c r="P26" s="176" t="s">
        <v>31</v>
      </c>
      <c r="Q26" s="176" t="s">
        <v>35</v>
      </c>
      <c r="R26" s="176"/>
      <c r="S26" s="176" t="s">
        <v>232</v>
      </c>
      <c r="T26" s="177"/>
      <c r="U26" s="178"/>
      <c r="V26" s="55">
        <v>13916596</v>
      </c>
      <c r="W26" s="180"/>
      <c r="X26" s="181"/>
      <c r="Y26" s="55" t="str">
        <f t="shared" si="115"/>
        <v/>
      </c>
      <c r="Z26" s="274">
        <f t="shared" si="116"/>
        <v>13916596</v>
      </c>
      <c r="AA26" s="183" t="e">
        <f t="shared" ca="1" si="117"/>
        <v>#NAME?</v>
      </c>
      <c r="AB26" s="176" t="s">
        <v>178</v>
      </c>
      <c r="AC26" s="176" t="s">
        <v>37</v>
      </c>
      <c r="AD26" s="176" t="s">
        <v>38</v>
      </c>
      <c r="AE26" s="176" t="s">
        <v>190</v>
      </c>
      <c r="AF26" s="29" t="s">
        <v>39</v>
      </c>
      <c r="AG26" s="29" t="s">
        <v>39</v>
      </c>
      <c r="AH26" s="176" t="s">
        <v>190</v>
      </c>
      <c r="AI26" s="223"/>
      <c r="AJ26" s="277">
        <v>2200000000000</v>
      </c>
      <c r="AK26" s="224" t="e">
        <f t="shared" ca="1" si="118"/>
        <v>#NAME?</v>
      </c>
      <c r="AL26" s="277">
        <v>100000000</v>
      </c>
      <c r="AM26" s="224" t="e">
        <f t="shared" ca="1" si="119"/>
        <v>#NAME?</v>
      </c>
      <c r="AN26" s="277">
        <v>3.5000000000000003E-2</v>
      </c>
      <c r="AO26" s="185" t="e">
        <f t="shared" ca="1" si="63"/>
        <v>#NAME?</v>
      </c>
      <c r="AP26" s="185" t="s">
        <v>264</v>
      </c>
      <c r="AQ26" s="176" t="s">
        <v>181</v>
      </c>
      <c r="AR26" s="176" t="s">
        <v>181</v>
      </c>
      <c r="AS26" s="176" t="s">
        <v>42</v>
      </c>
      <c r="AT26" s="29" t="s">
        <v>39</v>
      </c>
      <c r="AU26" s="29" t="s">
        <v>39</v>
      </c>
      <c r="AV26" s="176" t="s">
        <v>190</v>
      </c>
      <c r="AW26" s="176" t="s">
        <v>190</v>
      </c>
      <c r="AX26" s="176" t="s">
        <v>190</v>
      </c>
      <c r="AY26" s="176" t="s">
        <v>190</v>
      </c>
      <c r="AZ26" s="55">
        <v>0</v>
      </c>
      <c r="BA26" s="55" t="e">
        <f t="shared" ca="1" si="120"/>
        <v>#NAME?</v>
      </c>
      <c r="BB26" s="277">
        <v>4492</v>
      </c>
      <c r="BC26" s="277">
        <v>0</v>
      </c>
      <c r="BD26" s="62" t="e">
        <f t="shared" ca="1" si="121"/>
        <v>#NAME?</v>
      </c>
      <c r="BE26" s="277">
        <f t="shared" si="122"/>
        <v>1</v>
      </c>
      <c r="BF26" s="62" t="e">
        <f t="shared" ca="1" si="123"/>
        <v>#NAME?</v>
      </c>
      <c r="BG26" s="176" t="s">
        <v>43</v>
      </c>
      <c r="BH26" s="176"/>
      <c r="BI26" s="176" t="s">
        <v>190</v>
      </c>
      <c r="BJ26" s="185">
        <v>0</v>
      </c>
      <c r="BK26" s="277">
        <v>2</v>
      </c>
      <c r="BL26" s="176" t="s">
        <v>227</v>
      </c>
      <c r="BM26" s="176" t="s">
        <v>190</v>
      </c>
      <c r="BN26" s="176" t="s">
        <v>190</v>
      </c>
      <c r="BO26" s="176" t="s">
        <v>190</v>
      </c>
      <c r="BP26" s="185">
        <v>3</v>
      </c>
      <c r="BQ26" s="185">
        <v>11</v>
      </c>
      <c r="BR26" s="185">
        <v>0</v>
      </c>
      <c r="BS26" s="185">
        <v>0</v>
      </c>
      <c r="BT26" s="203"/>
      <c r="BU26" s="186">
        <v>15</v>
      </c>
      <c r="BV26" s="186">
        <v>0</v>
      </c>
      <c r="BW26" s="186">
        <v>50</v>
      </c>
      <c r="BX26" s="57" t="s">
        <v>190</v>
      </c>
      <c r="BY26" s="203"/>
      <c r="BZ26" s="186">
        <v>15</v>
      </c>
      <c r="CA26" s="186">
        <v>0</v>
      </c>
      <c r="CB26" s="186">
        <v>50</v>
      </c>
      <c r="CC26" s="57" t="s">
        <v>190</v>
      </c>
      <c r="CD26" s="203"/>
      <c r="CE26" s="57"/>
      <c r="CF26" s="57"/>
      <c r="CG26" s="57"/>
      <c r="CH26" s="57"/>
      <c r="CI26" s="203"/>
      <c r="CJ26" s="57"/>
      <c r="CK26" s="57"/>
      <c r="CL26" s="57"/>
      <c r="CM26" s="57"/>
      <c r="CN26" s="203"/>
      <c r="CO26" s="57"/>
      <c r="CP26" s="57"/>
      <c r="CQ26" s="57"/>
      <c r="CR26" s="57"/>
      <c r="CS26" s="203"/>
      <c r="CT26" s="57"/>
      <c r="CU26" s="57"/>
      <c r="CV26" s="57"/>
      <c r="CW26" s="57"/>
      <c r="CX26" s="203"/>
      <c r="CY26" s="57"/>
      <c r="CZ26" s="57"/>
      <c r="DA26" s="57"/>
      <c r="DB26" s="57"/>
      <c r="DC26" s="203"/>
      <c r="DD26" s="57"/>
      <c r="DE26" s="57"/>
      <c r="DF26" s="57"/>
      <c r="DG26" s="57"/>
      <c r="DH26" s="203"/>
      <c r="DI26" s="57"/>
      <c r="DJ26" s="57"/>
      <c r="DK26" s="57"/>
      <c r="DL26" s="57"/>
      <c r="DM26" s="204"/>
      <c r="DN26" s="205"/>
      <c r="DO26" s="205"/>
      <c r="DQ26" s="206"/>
      <c r="DR26" s="188">
        <f t="shared" si="64"/>
        <v>15</v>
      </c>
      <c r="DS26" s="188"/>
      <c r="DT26" s="189">
        <f t="shared" si="65"/>
        <v>0</v>
      </c>
      <c r="DU26" s="189"/>
      <c r="DV26" s="188">
        <f t="shared" si="66"/>
        <v>50</v>
      </c>
      <c r="DW26" s="183" t="e">
        <f t="shared" ca="1" si="67"/>
        <v>#NAME?</v>
      </c>
      <c r="DX26" s="207"/>
      <c r="DY26" s="190" t="e">
        <f t="shared" ca="1" si="68"/>
        <v>#NAME?</v>
      </c>
      <c r="DZ26" s="191" t="str">
        <f t="shared" si="69"/>
        <v/>
      </c>
      <c r="EA26" s="191" t="str">
        <f t="shared" si="70"/>
        <v/>
      </c>
      <c r="EB26" s="191" t="str">
        <f t="shared" si="71"/>
        <v/>
      </c>
      <c r="EC26" s="208" t="e">
        <f t="shared" ca="1" si="72"/>
        <v>#NAME?</v>
      </c>
      <c r="ED26" s="36" t="str">
        <f t="shared" si="73"/>
        <v>Equity - Preferred</v>
      </c>
      <c r="EE26" s="193">
        <f>COUNTIF($ED$2:$ED$92, ED26)/(COUNTIF($ED$2:$ED$92, "&lt;&gt;""") - COUNTIF($ED$2:$ED$92, ""))</f>
        <v>6.6666666666666666E-2</v>
      </c>
      <c r="EF26" s="36" t="str">
        <f t="shared" si="74"/>
        <v>Early</v>
      </c>
      <c r="EG26" s="207"/>
      <c r="EH26" s="194" t="e">
        <f t="shared" ca="1" si="75"/>
        <v>#NAME?</v>
      </c>
      <c r="EI26" s="194" t="e">
        <f t="shared" ca="1" si="76"/>
        <v>#NAME?</v>
      </c>
      <c r="EJ26" s="209" t="e">
        <f t="shared" ca="1" si="77"/>
        <v>#NAME?</v>
      </c>
      <c r="EK26" s="208" t="e">
        <f t="shared" ca="1" si="78"/>
        <v>#NAME?</v>
      </c>
      <c r="EL26" s="36" t="str">
        <f t="shared" si="79"/>
        <v>No</v>
      </c>
      <c r="EM26" s="207"/>
      <c r="EN26" s="192">
        <f t="shared" si="80"/>
        <v>2.4285714285714288</v>
      </c>
      <c r="EO26" s="192">
        <f t="shared" si="81"/>
        <v>1</v>
      </c>
      <c r="EP26" s="209">
        <f t="shared" si="82"/>
        <v>3.4285714285714288</v>
      </c>
      <c r="EQ26" s="210">
        <f t="shared" si="83"/>
        <v>2.1214953271028039</v>
      </c>
      <c r="ER26" s="36" t="e">
        <f t="shared" ca="1" si="84"/>
        <v>#NAME?</v>
      </c>
      <c r="ES26" s="40">
        <f ca="1">COUNTIF($ER$2:$ER$92, ER26)/(COUNTIF($ER$2:$ER$92, "&lt;&gt;""") - COUNTIF($ER$2:$ER$92, ""))</f>
        <v>1</v>
      </c>
      <c r="ET26" s="36">
        <f t="shared" si="85"/>
        <v>2</v>
      </c>
      <c r="EU26" s="40">
        <f>COUNTIF($ET$2:$ET$92, ET26)/(COUNTIF($ET$2:$ET$92, "&lt;&gt;""") - COUNTIF($ET$2:$ET$92, ""))</f>
        <v>0.45555555555555555</v>
      </c>
      <c r="EV26" s="36">
        <f t="shared" si="86"/>
        <v>11</v>
      </c>
      <c r="EW26" s="40">
        <f>COUNTIF($EV$2:$EV$92, EV26)/(COUNTIF($EV$2:$EV$92, "&lt;&gt;""") - COUNTIF($EV$2:$EV$92, ""))</f>
        <v>3.3333333333333333E-2</v>
      </c>
      <c r="EX26" s="36" t="str">
        <f t="shared" si="87"/>
        <v>Yes</v>
      </c>
      <c r="EY26" s="40">
        <f>COUNTIF($EX$2:$EX$92, EX26)/(COUNTIF($EX$2:$EX$92, "&lt;&gt;""") - COUNTIF($EX$2:$EX$92, ""))</f>
        <v>0.27777777777777779</v>
      </c>
      <c r="EZ26" s="36" t="str">
        <f t="shared" ref="EZ26:FB26" si="130">BM26</f>
        <v>No</v>
      </c>
      <c r="FA26" s="36" t="str">
        <f t="shared" si="130"/>
        <v>No</v>
      </c>
      <c r="FB26" s="36" t="str">
        <f t="shared" si="130"/>
        <v>No</v>
      </c>
      <c r="FC26" s="207"/>
      <c r="FD26" s="36" t="str">
        <f t="shared" si="89"/>
        <v>Recurring</v>
      </c>
      <c r="FE26" s="40">
        <f>COUNTIF($FD$2:$FD$92, FD26)/(COUNTIF($FD$2:$FD$92, "&lt;&gt;""") - COUNTIF($FD$2:$FD$92, ""))</f>
        <v>0.4</v>
      </c>
      <c r="FF26" s="36" t="str">
        <f t="shared" si="90"/>
        <v>B2B</v>
      </c>
      <c r="FG26" s="40">
        <f>COUNTIF($FF$2:$FF$92, FF26)/(COUNTIF($FF$2:$FF$92, "&lt;&gt;""") - COUNTIF($FF$2:$FF$92, ""))</f>
        <v>0.24444444444444444</v>
      </c>
      <c r="FH26" s="36" t="str">
        <f t="shared" si="91"/>
        <v>High</v>
      </c>
      <c r="FI26" s="40">
        <f>COUNTIF($FH$2:$FH$92, FH26)/(COUNTIF($FH$2:$FH$92, "&lt;&gt;""") - COUNTIF($FH$2:$FH$92, ""))</f>
        <v>0.53333333333333333</v>
      </c>
      <c r="FJ26" s="36" t="str">
        <f t="shared" si="92"/>
        <v>High</v>
      </c>
      <c r="FK26" s="40">
        <f>COUNTIF($FJ$2:$FJ$92, FJ26)/(COUNTIF($FJ$2:$FJ$92, "&lt;&gt;""") - COUNTIF($FJ$2:$FJ$92, ""))</f>
        <v>0.58888888888888891</v>
      </c>
      <c r="FL26" s="207"/>
      <c r="FM26" s="192">
        <f t="shared" si="93"/>
        <v>1</v>
      </c>
      <c r="FN26" s="192" t="e">
        <f t="shared" ca="1" si="94"/>
        <v>#NAME?</v>
      </c>
      <c r="FO26" s="192" t="e">
        <f t="shared" ca="1" si="95"/>
        <v>#NAME?</v>
      </c>
      <c r="FP26" s="192" t="e">
        <f t="shared" ca="1" si="96"/>
        <v>#NAME?</v>
      </c>
      <c r="FQ26" s="209" t="e">
        <f t="shared" ca="1" si="97"/>
        <v>#NAME?</v>
      </c>
      <c r="FR26" s="208" t="e">
        <f t="shared" ca="1" si="98"/>
        <v>#NAME?</v>
      </c>
      <c r="FS26" s="36" t="str">
        <f t="shared" si="99"/>
        <v>Pre-Product</v>
      </c>
      <c r="FT26" s="196">
        <f>COUNTIF($FS$2:$FS$92, FS26)/(COUNTIF($FS$2:$FS$92, "&lt;&gt;""") - COUNTIF($FZ$2:$FZ$92, ""))</f>
        <v>0.22222222222222221</v>
      </c>
      <c r="FU26" s="207"/>
      <c r="FV26" s="192" t="e">
        <f t="shared" ca="1" si="100"/>
        <v>#NAME?</v>
      </c>
      <c r="FW26" s="197" t="e">
        <f t="shared" ca="1" si="101"/>
        <v>#NAME?</v>
      </c>
      <c r="FX26" s="209" t="e">
        <f t="shared" ca="1" si="102"/>
        <v>#NAME?</v>
      </c>
      <c r="FY26" s="211" t="e">
        <f t="shared" ca="1" si="103"/>
        <v>#NAME?</v>
      </c>
      <c r="FZ26" s="36" t="str">
        <f t="shared" si="104"/>
        <v>No</v>
      </c>
      <c r="GA26" s="196">
        <f>COUNTIF($FZ$2:$FZ$92, FZ26)/(COUNTIF($FZ$2:$FZ$92, "&lt;&gt;""") - COUNTIF($FZ$2:$FZ$92, ""))</f>
        <v>0.76666666666666672</v>
      </c>
      <c r="GB26" s="196" t="str">
        <f t="shared" si="105"/>
        <v>High</v>
      </c>
      <c r="GC26" s="196">
        <f>COUNTIF($GB$2:$GB$92, GB26)/(COUNTIF($GB$2:$GB$92, "&lt;&gt;""") - COUNTIF($GB$2:$GB$92, ""))</f>
        <v>0.43333333333333335</v>
      </c>
      <c r="GD26" s="196" t="str">
        <f t="shared" si="106"/>
        <v>High</v>
      </c>
      <c r="GE26" s="196">
        <f>COUNTIF($GD$2:$GD$92, GD26)/(COUNTIF($GD$2:$GD$92, "&lt;&gt;""") - COUNTIF($GD$2:$GD$92, ""))</f>
        <v>0.8</v>
      </c>
      <c r="GF26" s="207"/>
      <c r="GG26" s="36"/>
      <c r="GH26" s="209" t="e">
        <f t="shared" ca="1" si="107"/>
        <v>#NAME?</v>
      </c>
      <c r="GI26" s="212" t="e">
        <f t="shared" ca="1" si="108"/>
        <v>#NAME?</v>
      </c>
    </row>
    <row r="27" spans="1:191" ht="15.75" customHeight="1">
      <c r="A27" s="57"/>
      <c r="B27" s="57" t="s">
        <v>409</v>
      </c>
      <c r="C27" s="185">
        <v>1782651</v>
      </c>
      <c r="D27" s="57" t="s">
        <v>797</v>
      </c>
      <c r="E27" s="31">
        <v>43664.553472222222</v>
      </c>
      <c r="F27" s="176" t="s">
        <v>337</v>
      </c>
      <c r="G27" s="221" t="s">
        <v>798</v>
      </c>
      <c r="H27" s="221" t="s">
        <v>798</v>
      </c>
      <c r="I27" s="227">
        <v>43664</v>
      </c>
      <c r="J27" s="57" t="s">
        <v>799</v>
      </c>
      <c r="K27" s="57" t="s">
        <v>797</v>
      </c>
      <c r="M27" s="29" t="s">
        <v>243</v>
      </c>
      <c r="N27" s="176" t="s">
        <v>168</v>
      </c>
      <c r="O27" s="176" t="s">
        <v>30</v>
      </c>
      <c r="P27" s="176" t="s">
        <v>31</v>
      </c>
      <c r="Q27" s="176" t="s">
        <v>35</v>
      </c>
      <c r="R27" s="176"/>
      <c r="S27" s="176" t="s">
        <v>216</v>
      </c>
      <c r="T27" s="177"/>
      <c r="U27" s="178"/>
      <c r="V27" s="55">
        <v>8000000</v>
      </c>
      <c r="W27" s="180"/>
      <c r="X27" s="181"/>
      <c r="Y27" s="55" t="str">
        <f t="shared" si="115"/>
        <v/>
      </c>
      <c r="Z27" s="274">
        <f t="shared" si="116"/>
        <v>8000000</v>
      </c>
      <c r="AA27" s="183" t="e">
        <f t="shared" ca="1" si="117"/>
        <v>#NAME?</v>
      </c>
      <c r="AB27" s="176" t="s">
        <v>36</v>
      </c>
      <c r="AC27" s="176" t="s">
        <v>179</v>
      </c>
      <c r="AD27" s="176" t="s">
        <v>38</v>
      </c>
      <c r="AE27" s="176" t="s">
        <v>190</v>
      </c>
      <c r="AF27" s="29" t="s">
        <v>39</v>
      </c>
      <c r="AG27" s="29" t="s">
        <v>39</v>
      </c>
      <c r="AH27" s="176" t="s">
        <v>190</v>
      </c>
      <c r="AI27" s="223"/>
      <c r="AJ27" s="277">
        <v>1000000000</v>
      </c>
      <c r="AK27" s="224" t="e">
        <f t="shared" ca="1" si="118"/>
        <v>#NAME?</v>
      </c>
      <c r="AL27" s="277">
        <v>400000000</v>
      </c>
      <c r="AM27" s="224" t="e">
        <f t="shared" ca="1" si="119"/>
        <v>#NAME?</v>
      </c>
      <c r="AN27" s="277">
        <v>0.03</v>
      </c>
      <c r="AO27" s="185" t="e">
        <f t="shared" ca="1" si="63"/>
        <v>#NAME?</v>
      </c>
      <c r="AP27" s="185" t="s">
        <v>192</v>
      </c>
      <c r="AQ27" s="29" t="s">
        <v>39</v>
      </c>
      <c r="AR27" s="176" t="s">
        <v>181</v>
      </c>
      <c r="AS27" s="176" t="s">
        <v>42</v>
      </c>
      <c r="AT27" s="57" t="s">
        <v>181</v>
      </c>
      <c r="AU27" s="29" t="s">
        <v>39</v>
      </c>
      <c r="AV27" s="176" t="s">
        <v>190</v>
      </c>
      <c r="AW27" s="176" t="s">
        <v>227</v>
      </c>
      <c r="AX27" s="176" t="s">
        <v>190</v>
      </c>
      <c r="AY27" s="176" t="s">
        <v>227</v>
      </c>
      <c r="AZ27" s="55">
        <v>2183575</v>
      </c>
      <c r="BA27" s="55" t="e">
        <f t="shared" ca="1" si="120"/>
        <v>#NAME?</v>
      </c>
      <c r="BB27" s="277">
        <v>21203</v>
      </c>
      <c r="BC27" s="277">
        <v>0</v>
      </c>
      <c r="BD27" s="62" t="e">
        <f t="shared" ca="1" si="121"/>
        <v>#NAME?</v>
      </c>
      <c r="BE27" s="277">
        <f t="shared" si="122"/>
        <v>1</v>
      </c>
      <c r="BF27" s="62" t="e">
        <f t="shared" ca="1" si="123"/>
        <v>#NAME?</v>
      </c>
      <c r="BG27" s="176" t="s">
        <v>219</v>
      </c>
      <c r="BH27" s="176"/>
      <c r="BI27" s="176" t="s">
        <v>227</v>
      </c>
      <c r="BJ27" s="185">
        <v>1</v>
      </c>
      <c r="BK27" s="277">
        <v>2</v>
      </c>
      <c r="BL27" s="176" t="s">
        <v>190</v>
      </c>
      <c r="BM27" s="176" t="s">
        <v>227</v>
      </c>
      <c r="BN27" s="176" t="s">
        <v>190</v>
      </c>
      <c r="BO27" s="176" t="s">
        <v>190</v>
      </c>
      <c r="BP27" s="185">
        <v>1</v>
      </c>
      <c r="BQ27" s="185">
        <v>14</v>
      </c>
      <c r="BR27" s="185">
        <v>1</v>
      </c>
      <c r="BS27" s="185">
        <v>0</v>
      </c>
      <c r="BT27" s="203"/>
      <c r="BU27" s="186">
        <v>0</v>
      </c>
      <c r="BV27" s="186">
        <v>0</v>
      </c>
      <c r="BW27" s="186">
        <v>48</v>
      </c>
      <c r="BX27" s="57" t="s">
        <v>190</v>
      </c>
      <c r="BY27" s="203"/>
      <c r="BZ27" s="186">
        <v>0</v>
      </c>
      <c r="CA27" s="186">
        <v>0</v>
      </c>
      <c r="CB27" s="186">
        <v>17</v>
      </c>
      <c r="CC27" s="57" t="s">
        <v>190</v>
      </c>
      <c r="CD27" s="203"/>
      <c r="CE27" s="57"/>
      <c r="CF27" s="57"/>
      <c r="CG27" s="57"/>
      <c r="CH27" s="57"/>
      <c r="CI27" s="203"/>
      <c r="CJ27" s="57"/>
      <c r="CK27" s="57"/>
      <c r="CL27" s="57"/>
      <c r="CM27" s="57"/>
      <c r="CN27" s="203"/>
      <c r="CO27" s="57"/>
      <c r="CP27" s="57"/>
      <c r="CQ27" s="57"/>
      <c r="CR27" s="57"/>
      <c r="CS27" s="203"/>
      <c r="CT27" s="57"/>
      <c r="CU27" s="57"/>
      <c r="CV27" s="57"/>
      <c r="CW27" s="57"/>
      <c r="CX27" s="203"/>
      <c r="CY27" s="57"/>
      <c r="CZ27" s="57"/>
      <c r="DA27" s="57"/>
      <c r="DB27" s="57"/>
      <c r="DC27" s="203"/>
      <c r="DD27" s="57"/>
      <c r="DE27" s="57"/>
      <c r="DF27" s="57"/>
      <c r="DG27" s="57"/>
      <c r="DH27" s="203"/>
      <c r="DI27" s="57"/>
      <c r="DJ27" s="57"/>
      <c r="DK27" s="57"/>
      <c r="DL27" s="57"/>
      <c r="DM27" s="204"/>
      <c r="DN27" s="205"/>
      <c r="DO27" s="205"/>
      <c r="DQ27" s="206"/>
      <c r="DR27" s="188">
        <f t="shared" si="64"/>
        <v>0</v>
      </c>
      <c r="DS27" s="188"/>
      <c r="DT27" s="189">
        <f t="shared" si="65"/>
        <v>0</v>
      </c>
      <c r="DU27" s="189"/>
      <c r="DV27" s="188">
        <f t="shared" si="66"/>
        <v>32.5</v>
      </c>
      <c r="DW27" s="183" t="e">
        <f t="shared" ca="1" si="67"/>
        <v>#NAME?</v>
      </c>
      <c r="DX27" s="207"/>
      <c r="DY27" s="190" t="e">
        <f t="shared" ca="1" si="68"/>
        <v>#NAME?</v>
      </c>
      <c r="DZ27" s="191" t="str">
        <f t="shared" si="69"/>
        <v/>
      </c>
      <c r="EA27" s="191" t="str">
        <f t="shared" si="70"/>
        <v/>
      </c>
      <c r="EB27" s="191" t="str">
        <f t="shared" si="71"/>
        <v/>
      </c>
      <c r="EC27" s="208" t="e">
        <f t="shared" ca="1" si="72"/>
        <v>#NAME?</v>
      </c>
      <c r="ED27" s="36" t="str">
        <f t="shared" si="73"/>
        <v>Equity - Common</v>
      </c>
      <c r="EE27" s="193">
        <f>COUNTIF($ED$2:$ED$92, ED27)/(COUNTIF($ED$2:$ED$92, "&lt;&gt;""") - COUNTIF($ED$2:$ED$92, ""))</f>
        <v>0.32222222222222224</v>
      </c>
      <c r="EF27" s="36" t="str">
        <f t="shared" si="74"/>
        <v>Early</v>
      </c>
      <c r="EG27" s="207"/>
      <c r="EH27" s="194" t="e">
        <f t="shared" ca="1" si="75"/>
        <v>#NAME?</v>
      </c>
      <c r="EI27" s="194" t="e">
        <f t="shared" ca="1" si="76"/>
        <v>#NAME?</v>
      </c>
      <c r="EJ27" s="209" t="e">
        <f t="shared" ca="1" si="77"/>
        <v>#NAME?</v>
      </c>
      <c r="EK27" s="208" t="e">
        <f t="shared" ca="1" si="78"/>
        <v>#NAME?</v>
      </c>
      <c r="EL27" s="36" t="str">
        <f t="shared" si="79"/>
        <v>No</v>
      </c>
      <c r="EM27" s="207"/>
      <c r="EN27" s="192">
        <f t="shared" si="80"/>
        <v>1</v>
      </c>
      <c r="EO27" s="192">
        <f t="shared" si="81"/>
        <v>1</v>
      </c>
      <c r="EP27" s="209">
        <f t="shared" si="82"/>
        <v>2</v>
      </c>
      <c r="EQ27" s="210">
        <f t="shared" si="83"/>
        <v>1</v>
      </c>
      <c r="ER27" s="36" t="e">
        <f t="shared" ca="1" si="84"/>
        <v>#NAME?</v>
      </c>
      <c r="ES27" s="40">
        <f ca="1">COUNTIF($ER$2:$ER$92, ER27)/(COUNTIF($ER$2:$ER$92, "&lt;&gt;""") - COUNTIF($ER$2:$ER$92, ""))</f>
        <v>1</v>
      </c>
      <c r="ET27" s="36">
        <f t="shared" si="85"/>
        <v>2</v>
      </c>
      <c r="EU27" s="40">
        <f>COUNTIF($ET$2:$ET$92, ET27)/(COUNTIF($ET$2:$ET$92, "&lt;&gt;""") - COUNTIF($ET$2:$ET$92, ""))</f>
        <v>0.45555555555555555</v>
      </c>
      <c r="EV27" s="36">
        <f t="shared" si="86"/>
        <v>14</v>
      </c>
      <c r="EW27" s="40">
        <f>COUNTIF($EV$2:$EV$92, EV27)/(COUNTIF($EV$2:$EV$92, "&lt;&gt;""") - COUNTIF($EV$2:$EV$92, ""))</f>
        <v>3.3333333333333333E-2</v>
      </c>
      <c r="EX27" s="36" t="str">
        <f t="shared" si="87"/>
        <v>No</v>
      </c>
      <c r="EY27" s="40">
        <f>COUNTIF($EX$2:$EX$92, EX27)/(COUNTIF($EX$2:$EX$92, "&lt;&gt;""") - COUNTIF($EX$2:$EX$92, ""))</f>
        <v>0.72222222222222221</v>
      </c>
      <c r="EZ27" s="36" t="str">
        <f t="shared" ref="EZ27:FB27" si="131">BM27</f>
        <v>Yes</v>
      </c>
      <c r="FA27" s="36" t="str">
        <f t="shared" si="131"/>
        <v>No</v>
      </c>
      <c r="FB27" s="36" t="str">
        <f t="shared" si="131"/>
        <v>No</v>
      </c>
      <c r="FC27" s="207"/>
      <c r="FD27" s="36" t="str">
        <f t="shared" si="89"/>
        <v>Transactional</v>
      </c>
      <c r="FE27" s="40">
        <f>COUNTIF($FD$2:$FD$92, FD27)/(COUNTIF($FD$2:$FD$92, "&lt;&gt;""") - COUNTIF($FD$2:$FD$92, ""))</f>
        <v>0.6</v>
      </c>
      <c r="FF27" s="36" t="str">
        <f t="shared" si="90"/>
        <v>B2C</v>
      </c>
      <c r="FG27" s="40">
        <f>COUNTIF($FF$2:$FF$92, FF27)/(COUNTIF($FF$2:$FF$92, "&lt;&gt;""") - COUNTIF($FF$2:$FF$92, ""))</f>
        <v>0.41111111111111109</v>
      </c>
      <c r="FH27" s="36" t="str">
        <f t="shared" si="91"/>
        <v>High</v>
      </c>
      <c r="FI27" s="40">
        <f>COUNTIF($FH$2:$FH$92, FH27)/(COUNTIF($FH$2:$FH$92, "&lt;&gt;""") - COUNTIF($FH$2:$FH$92, ""))</f>
        <v>0.53333333333333333</v>
      </c>
      <c r="FJ27" s="36" t="str">
        <f t="shared" si="92"/>
        <v>High</v>
      </c>
      <c r="FK27" s="40">
        <f>COUNTIF($FJ$2:$FJ$92, FJ27)/(COUNTIF($FJ$2:$FJ$92, "&lt;&gt;""") - COUNTIF($FJ$2:$FJ$92, ""))</f>
        <v>0.58888888888888891</v>
      </c>
      <c r="FL27" s="207"/>
      <c r="FM27" s="192">
        <f t="shared" si="93"/>
        <v>5</v>
      </c>
      <c r="FN27" s="192" t="e">
        <f t="shared" ca="1" si="94"/>
        <v>#NAME?</v>
      </c>
      <c r="FO27" s="192" t="e">
        <f t="shared" ca="1" si="95"/>
        <v>#NAME?</v>
      </c>
      <c r="FP27" s="192" t="e">
        <f t="shared" ca="1" si="96"/>
        <v>#NAME?</v>
      </c>
      <c r="FQ27" s="209" t="e">
        <f t="shared" ca="1" si="97"/>
        <v>#NAME?</v>
      </c>
      <c r="FR27" s="208" t="e">
        <f t="shared" ca="1" si="98"/>
        <v>#NAME?</v>
      </c>
      <c r="FS27" s="36" t="str">
        <f t="shared" si="99"/>
        <v>Profitable</v>
      </c>
      <c r="FT27" s="196">
        <f>COUNTIF($FS$2:$FS$92, FS27)/(COUNTIF($FS$2:$FS$92, "&lt;&gt;""") - COUNTIF($FZ$2:$FZ$92, ""))</f>
        <v>6.6666666666666666E-2</v>
      </c>
      <c r="FU27" s="207"/>
      <c r="FV27" s="192">
        <f t="shared" si="100"/>
        <v>3</v>
      </c>
      <c r="FW27" s="197" t="e">
        <f t="shared" ca="1" si="101"/>
        <v>#NAME?</v>
      </c>
      <c r="FX27" s="209" t="e">
        <f t="shared" ca="1" si="102"/>
        <v>#NAME?</v>
      </c>
      <c r="FY27" s="211" t="e">
        <f t="shared" ca="1" si="103"/>
        <v>#NAME?</v>
      </c>
      <c r="FZ27" s="36" t="str">
        <f t="shared" si="104"/>
        <v>Yes</v>
      </c>
      <c r="GA27" s="196">
        <f>COUNTIF($FZ$2:$FZ$92, FZ27)/(COUNTIF($FZ$2:$FZ$92, "&lt;&gt;""") - COUNTIF($FZ$2:$FZ$92, ""))</f>
        <v>0.23333333333333334</v>
      </c>
      <c r="GB27" s="196" t="str">
        <f t="shared" si="105"/>
        <v>Low</v>
      </c>
      <c r="GC27" s="196">
        <f>COUNTIF($GB$2:$GB$92, GB27)/(COUNTIF($GB$2:$GB$92, "&lt;&gt;""") - COUNTIF($GB$2:$GB$92, ""))</f>
        <v>0.55555555555555558</v>
      </c>
      <c r="GD27" s="196" t="str">
        <f t="shared" si="106"/>
        <v>High</v>
      </c>
      <c r="GE27" s="196">
        <f>COUNTIF($GD$2:$GD$92, GD27)/(COUNTIF($GD$2:$GD$92, "&lt;&gt;""") - COUNTIF($GD$2:$GD$92, ""))</f>
        <v>0.8</v>
      </c>
      <c r="GF27" s="207"/>
      <c r="GG27" s="36"/>
      <c r="GH27" s="209" t="e">
        <f t="shared" ca="1" si="107"/>
        <v>#NAME?</v>
      </c>
      <c r="GI27" s="212" t="e">
        <f t="shared" ca="1" si="108"/>
        <v>#NAME?</v>
      </c>
    </row>
    <row r="28" spans="1:191" ht="15.75" customHeight="1">
      <c r="A28" s="57"/>
      <c r="B28" s="57" t="s">
        <v>409</v>
      </c>
      <c r="C28" s="185">
        <v>1781955</v>
      </c>
      <c r="D28" s="57" t="s">
        <v>800</v>
      </c>
      <c r="E28" s="31">
        <v>43675.825694444444</v>
      </c>
      <c r="F28" s="176" t="s">
        <v>316</v>
      </c>
      <c r="G28" s="221" t="s">
        <v>801</v>
      </c>
      <c r="H28" s="221" t="s">
        <v>802</v>
      </c>
      <c r="I28" s="227">
        <v>43675</v>
      </c>
      <c r="J28" s="57" t="s">
        <v>803</v>
      </c>
      <c r="K28" s="57" t="s">
        <v>800</v>
      </c>
      <c r="M28" s="29" t="s">
        <v>323</v>
      </c>
      <c r="N28" s="176" t="s">
        <v>320</v>
      </c>
      <c r="O28" s="176" t="s">
        <v>30</v>
      </c>
      <c r="P28" s="176" t="s">
        <v>31</v>
      </c>
      <c r="Q28" s="176" t="s">
        <v>35</v>
      </c>
      <c r="R28" s="176"/>
      <c r="S28" s="176" t="s">
        <v>216</v>
      </c>
      <c r="T28" s="177"/>
      <c r="U28" s="178"/>
      <c r="V28" s="55">
        <v>16000000</v>
      </c>
      <c r="W28" s="180"/>
      <c r="X28" s="181"/>
      <c r="Y28" s="55" t="str">
        <f t="shared" si="115"/>
        <v/>
      </c>
      <c r="Z28" s="274">
        <f t="shared" si="116"/>
        <v>16000000</v>
      </c>
      <c r="AA28" s="183" t="e">
        <f t="shared" ca="1" si="117"/>
        <v>#NAME?</v>
      </c>
      <c r="AB28" s="176" t="s">
        <v>36</v>
      </c>
      <c r="AC28" s="176" t="s">
        <v>179</v>
      </c>
      <c r="AD28" s="176" t="s">
        <v>38</v>
      </c>
      <c r="AE28" s="176" t="s">
        <v>190</v>
      </c>
      <c r="AF28" s="176" t="s">
        <v>181</v>
      </c>
      <c r="AG28" s="29" t="s">
        <v>39</v>
      </c>
      <c r="AH28" s="176" t="s">
        <v>190</v>
      </c>
      <c r="AI28" s="223"/>
      <c r="AJ28" s="277">
        <v>10520000000</v>
      </c>
      <c r="AK28" s="224" t="e">
        <f t="shared" ca="1" si="118"/>
        <v>#NAME?</v>
      </c>
      <c r="AL28" s="277">
        <v>26300000</v>
      </c>
      <c r="AM28" s="224" t="e">
        <f t="shared" ca="1" si="119"/>
        <v>#NAME?</v>
      </c>
      <c r="AN28" s="277">
        <v>5.8999999999999997E-2</v>
      </c>
      <c r="AO28" s="185" t="e">
        <f t="shared" ca="1" si="63"/>
        <v>#NAME?</v>
      </c>
      <c r="AP28" s="185" t="s">
        <v>192</v>
      </c>
      <c r="AQ28" s="176" t="s">
        <v>181</v>
      </c>
      <c r="AR28" s="176" t="s">
        <v>181</v>
      </c>
      <c r="AS28" s="176" t="s">
        <v>42</v>
      </c>
      <c r="AT28" s="57" t="s">
        <v>181</v>
      </c>
      <c r="AU28" s="29" t="s">
        <v>39</v>
      </c>
      <c r="AV28" s="176" t="s">
        <v>190</v>
      </c>
      <c r="AW28" s="176" t="s">
        <v>227</v>
      </c>
      <c r="AX28" s="176" t="s">
        <v>190</v>
      </c>
      <c r="AY28" s="176" t="s">
        <v>190</v>
      </c>
      <c r="AZ28" s="55">
        <v>0</v>
      </c>
      <c r="BA28" s="55" t="e">
        <f t="shared" ca="1" si="120"/>
        <v>#NAME?</v>
      </c>
      <c r="BB28" s="277">
        <v>0</v>
      </c>
      <c r="BC28" s="277">
        <v>0</v>
      </c>
      <c r="BD28" s="62" t="e">
        <f t="shared" ca="1" si="121"/>
        <v>#NAME?</v>
      </c>
      <c r="BE28" s="277">
        <f t="shared" si="122"/>
        <v>1</v>
      </c>
      <c r="BF28" s="62" t="e">
        <f t="shared" ca="1" si="123"/>
        <v>#NAME?</v>
      </c>
      <c r="BG28" s="176" t="s">
        <v>183</v>
      </c>
      <c r="BH28" s="176"/>
      <c r="BI28" s="176" t="s">
        <v>227</v>
      </c>
      <c r="BJ28" s="185">
        <v>3</v>
      </c>
      <c r="BK28" s="277">
        <v>1</v>
      </c>
      <c r="BL28" s="176" t="s">
        <v>190</v>
      </c>
      <c r="BM28" s="176" t="s">
        <v>190</v>
      </c>
      <c r="BN28" s="176" t="s">
        <v>227</v>
      </c>
      <c r="BO28" s="176" t="s">
        <v>190</v>
      </c>
      <c r="BP28" s="185">
        <v>1</v>
      </c>
      <c r="BQ28" s="185">
        <v>7</v>
      </c>
      <c r="BR28" s="185">
        <v>1</v>
      </c>
      <c r="BS28" s="185">
        <v>0</v>
      </c>
      <c r="BT28" s="203"/>
      <c r="BU28" s="186">
        <v>20</v>
      </c>
      <c r="BV28" s="186">
        <v>0</v>
      </c>
      <c r="BW28" s="186">
        <v>55</v>
      </c>
      <c r="BX28" s="57" t="s">
        <v>190</v>
      </c>
      <c r="BY28" s="203"/>
      <c r="BZ28" s="57"/>
      <c r="CA28" s="57"/>
      <c r="CB28" s="57"/>
      <c r="CC28" s="57"/>
      <c r="CD28" s="203"/>
      <c r="CE28" s="57"/>
      <c r="CF28" s="57"/>
      <c r="CG28" s="57"/>
      <c r="CH28" s="57"/>
      <c r="CI28" s="203"/>
      <c r="CJ28" s="57"/>
      <c r="CK28" s="57"/>
      <c r="CL28" s="57"/>
      <c r="CM28" s="57"/>
      <c r="CN28" s="203"/>
      <c r="CO28" s="186"/>
      <c r="CP28" s="186"/>
      <c r="CQ28" s="57"/>
      <c r="CR28" s="57"/>
      <c r="CS28" s="203"/>
      <c r="CT28" s="186"/>
      <c r="CU28" s="186"/>
      <c r="CV28" s="57"/>
      <c r="CW28" s="57"/>
      <c r="CX28" s="203"/>
      <c r="CY28" s="186"/>
      <c r="CZ28" s="186"/>
      <c r="DA28" s="57"/>
      <c r="DB28" s="57"/>
      <c r="DC28" s="203"/>
      <c r="DD28" s="186"/>
      <c r="DE28" s="186"/>
      <c r="DF28" s="57"/>
      <c r="DG28" s="57"/>
      <c r="DH28" s="203"/>
      <c r="DI28" s="186"/>
      <c r="DJ28" s="186"/>
      <c r="DK28" s="57"/>
      <c r="DL28" s="57"/>
      <c r="DM28" s="204"/>
      <c r="DN28" s="205"/>
      <c r="DO28" s="205"/>
      <c r="DQ28" s="206"/>
      <c r="DR28" s="188">
        <f t="shared" si="64"/>
        <v>20</v>
      </c>
      <c r="DS28" s="188"/>
      <c r="DT28" s="189">
        <f t="shared" si="65"/>
        <v>0</v>
      </c>
      <c r="DU28" s="189"/>
      <c r="DV28" s="188">
        <f t="shared" si="66"/>
        <v>55</v>
      </c>
      <c r="DW28" s="183" t="e">
        <f t="shared" ca="1" si="67"/>
        <v>#NAME?</v>
      </c>
      <c r="DX28" s="207"/>
      <c r="DY28" s="190" t="e">
        <f t="shared" ca="1" si="68"/>
        <v>#NAME?</v>
      </c>
      <c r="DZ28" s="191" t="str">
        <f t="shared" si="69"/>
        <v/>
      </c>
      <c r="EA28" s="191" t="str">
        <f t="shared" si="70"/>
        <v/>
      </c>
      <c r="EB28" s="191" t="str">
        <f t="shared" si="71"/>
        <v/>
      </c>
      <c r="EC28" s="208" t="e">
        <f t="shared" ca="1" si="72"/>
        <v>#NAME?</v>
      </c>
      <c r="ED28" s="36" t="str">
        <f t="shared" si="73"/>
        <v>Equity - Common</v>
      </c>
      <c r="EE28" s="193">
        <f>COUNTIF($ED$2:$ED$92, ED28)/(COUNTIF($ED$2:$ED$92, "&lt;&gt;""") - COUNTIF($ED$2:$ED$92, ""))</f>
        <v>0.32222222222222224</v>
      </c>
      <c r="EF28" s="36" t="str">
        <f t="shared" si="74"/>
        <v>Early</v>
      </c>
      <c r="EG28" s="207"/>
      <c r="EH28" s="194" t="e">
        <f t="shared" ca="1" si="75"/>
        <v>#NAME?</v>
      </c>
      <c r="EI28" s="194" t="e">
        <f t="shared" ca="1" si="76"/>
        <v>#NAME?</v>
      </c>
      <c r="EJ28" s="209" t="e">
        <f t="shared" ca="1" si="77"/>
        <v>#NAME?</v>
      </c>
      <c r="EK28" s="208" t="e">
        <f t="shared" ca="1" si="78"/>
        <v>#NAME?</v>
      </c>
      <c r="EL28" s="36" t="str">
        <f t="shared" si="79"/>
        <v>No</v>
      </c>
      <c r="EM28" s="207"/>
      <c r="EN28" s="192">
        <f t="shared" si="80"/>
        <v>2.9047619047619047</v>
      </c>
      <c r="EO28" s="192">
        <f t="shared" si="81"/>
        <v>1</v>
      </c>
      <c r="EP28" s="209">
        <f t="shared" si="82"/>
        <v>3.9047619047619047</v>
      </c>
      <c r="EQ28" s="210">
        <f t="shared" si="83"/>
        <v>2.4953271028037385</v>
      </c>
      <c r="ER28" s="36" t="e">
        <f t="shared" ca="1" si="84"/>
        <v>#NAME?</v>
      </c>
      <c r="ES28" s="40">
        <f ca="1">COUNTIF($ER$2:$ER$92, ER28)/(COUNTIF($ER$2:$ER$92, "&lt;&gt;""") - COUNTIF($ER$2:$ER$92, ""))</f>
        <v>1</v>
      </c>
      <c r="ET28" s="36">
        <f t="shared" si="85"/>
        <v>1</v>
      </c>
      <c r="EU28" s="40">
        <f>COUNTIF($ET$2:$ET$92, ET28)/(COUNTIF($ET$2:$ET$92, "&lt;&gt;""") - COUNTIF($ET$2:$ET$92, ""))</f>
        <v>0.45555555555555555</v>
      </c>
      <c r="EV28" s="36">
        <f t="shared" si="86"/>
        <v>7</v>
      </c>
      <c r="EW28" s="40">
        <f>COUNTIF($EV$2:$EV$92, EV28)/(COUNTIF($EV$2:$EV$92, "&lt;&gt;""") - COUNTIF($EV$2:$EV$92, ""))</f>
        <v>4.4444444444444446E-2</v>
      </c>
      <c r="EX28" s="36" t="str">
        <f t="shared" si="87"/>
        <v>No</v>
      </c>
      <c r="EY28" s="40">
        <f>COUNTIF($EX$2:$EX$92, EX28)/(COUNTIF($EX$2:$EX$92, "&lt;&gt;""") - COUNTIF($EX$2:$EX$92, ""))</f>
        <v>0.72222222222222221</v>
      </c>
      <c r="EZ28" s="36" t="str">
        <f t="shared" ref="EZ28:FB28" si="132">BM28</f>
        <v>No</v>
      </c>
      <c r="FA28" s="36" t="str">
        <f t="shared" si="132"/>
        <v>Yes</v>
      </c>
      <c r="FB28" s="36" t="str">
        <f t="shared" si="132"/>
        <v>No</v>
      </c>
      <c r="FC28" s="207"/>
      <c r="FD28" s="36" t="str">
        <f t="shared" si="89"/>
        <v>Transactional</v>
      </c>
      <c r="FE28" s="40">
        <f>COUNTIF($FD$2:$FD$92, FD28)/(COUNTIF($FD$2:$FD$92, "&lt;&gt;""") - COUNTIF($FD$2:$FD$92, ""))</f>
        <v>0.6</v>
      </c>
      <c r="FF28" s="36" t="str">
        <f t="shared" si="90"/>
        <v>B2C</v>
      </c>
      <c r="FG28" s="40">
        <f>COUNTIF($FF$2:$FF$92, FF28)/(COUNTIF($FF$2:$FF$92, "&lt;&gt;""") - COUNTIF($FF$2:$FF$92, ""))</f>
        <v>0.41111111111111109</v>
      </c>
      <c r="FH28" s="36" t="str">
        <f t="shared" si="91"/>
        <v>Low</v>
      </c>
      <c r="FI28" s="40">
        <f>COUNTIF($FH$2:$FH$92, FH28)/(COUNTIF($FH$2:$FH$92, "&lt;&gt;""") - COUNTIF($FH$2:$FH$92, ""))</f>
        <v>0.46666666666666667</v>
      </c>
      <c r="FJ28" s="36" t="str">
        <f t="shared" si="92"/>
        <v>High</v>
      </c>
      <c r="FK28" s="40">
        <f>COUNTIF($FJ$2:$FJ$92, FJ28)/(COUNTIF($FJ$2:$FJ$92, "&lt;&gt;""") - COUNTIF($FJ$2:$FJ$92, ""))</f>
        <v>0.58888888888888891</v>
      </c>
      <c r="FL28" s="207"/>
      <c r="FM28" s="192">
        <f t="shared" si="93"/>
        <v>1</v>
      </c>
      <c r="FN28" s="192" t="e">
        <f t="shared" ca="1" si="94"/>
        <v>#NAME?</v>
      </c>
      <c r="FO28" s="192" t="e">
        <f t="shared" ca="1" si="95"/>
        <v>#NAME?</v>
      </c>
      <c r="FP28" s="192" t="e">
        <f t="shared" ca="1" si="96"/>
        <v>#NAME?</v>
      </c>
      <c r="FQ28" s="209" t="e">
        <f t="shared" ca="1" si="97"/>
        <v>#NAME?</v>
      </c>
      <c r="FR28" s="208" t="e">
        <f t="shared" ca="1" si="98"/>
        <v>#NAME?</v>
      </c>
      <c r="FS28" s="36" t="str">
        <f t="shared" si="99"/>
        <v>Pre-Revenue</v>
      </c>
      <c r="FT28" s="196">
        <f>COUNTIF($FS$2:$FS$92, FS28)/(COUNTIF($FS$2:$FS$92, "&lt;&gt;""") - COUNTIF($FZ$2:$FZ$92, ""))</f>
        <v>0.2</v>
      </c>
      <c r="FU28" s="207"/>
      <c r="FV28" s="192" t="e">
        <f t="shared" ca="1" si="100"/>
        <v>#NAME?</v>
      </c>
      <c r="FW28" s="197" t="e">
        <f t="shared" ca="1" si="101"/>
        <v>#NAME?</v>
      </c>
      <c r="FX28" s="209" t="e">
        <f t="shared" ca="1" si="102"/>
        <v>#NAME?</v>
      </c>
      <c r="FY28" s="211" t="e">
        <f t="shared" ca="1" si="103"/>
        <v>#NAME?</v>
      </c>
      <c r="FZ28" s="36" t="str">
        <f t="shared" si="104"/>
        <v>Yes</v>
      </c>
      <c r="GA28" s="196">
        <f>COUNTIF($FZ$2:$FZ$92, FZ28)/(COUNTIF($FZ$2:$FZ$92, "&lt;&gt;""") - COUNTIF($FZ$2:$FZ$92, ""))</f>
        <v>0.23333333333333334</v>
      </c>
      <c r="GB28" s="196" t="str">
        <f t="shared" si="105"/>
        <v>Low</v>
      </c>
      <c r="GC28" s="196">
        <f>COUNTIF($GB$2:$GB$92, GB28)/(COUNTIF($GB$2:$GB$92, "&lt;&gt;""") - COUNTIF($GB$2:$GB$92, ""))</f>
        <v>0.55555555555555558</v>
      </c>
      <c r="GD28" s="196" t="str">
        <f t="shared" si="106"/>
        <v>High</v>
      </c>
      <c r="GE28" s="196">
        <f>COUNTIF($GD$2:$GD$92, GD28)/(COUNTIF($GD$2:$GD$92, "&lt;&gt;""") - COUNTIF($GD$2:$GD$92, ""))</f>
        <v>0.8</v>
      </c>
      <c r="GF28" s="207"/>
      <c r="GG28" s="36"/>
      <c r="GH28" s="209" t="e">
        <f t="shared" ca="1" si="107"/>
        <v>#NAME?</v>
      </c>
      <c r="GI28" s="212" t="e">
        <f t="shared" ca="1" si="108"/>
        <v>#NAME?</v>
      </c>
    </row>
    <row r="29" spans="1:191" ht="15.75" customHeight="1">
      <c r="A29" s="57"/>
      <c r="B29" s="57" t="s">
        <v>409</v>
      </c>
      <c r="C29" s="185">
        <v>1706939</v>
      </c>
      <c r="D29" s="57" t="s">
        <v>804</v>
      </c>
      <c r="E29" s="31">
        <v>43682.807638888888</v>
      </c>
      <c r="F29" s="176" t="s">
        <v>341</v>
      </c>
      <c r="G29" s="221" t="s">
        <v>805</v>
      </c>
      <c r="H29" s="221" t="s">
        <v>806</v>
      </c>
      <c r="I29" s="227">
        <v>43678</v>
      </c>
      <c r="J29" s="57" t="s">
        <v>807</v>
      </c>
      <c r="K29" s="57" t="s">
        <v>804</v>
      </c>
      <c r="M29" s="29" t="s">
        <v>286</v>
      </c>
      <c r="N29" s="176" t="s">
        <v>278</v>
      </c>
      <c r="O29" s="176" t="s">
        <v>30</v>
      </c>
      <c r="P29" s="176" t="s">
        <v>31</v>
      </c>
      <c r="Q29" s="176" t="s">
        <v>35</v>
      </c>
      <c r="R29" s="176"/>
      <c r="S29" s="176" t="s">
        <v>216</v>
      </c>
      <c r="T29" s="177"/>
      <c r="U29" s="178"/>
      <c r="V29" s="55">
        <v>17507365</v>
      </c>
      <c r="W29" s="180"/>
      <c r="X29" s="181"/>
      <c r="Y29" s="55" t="str">
        <f t="shared" si="115"/>
        <v/>
      </c>
      <c r="Z29" s="274">
        <f t="shared" si="116"/>
        <v>17507365</v>
      </c>
      <c r="AA29" s="183" t="e">
        <f t="shared" ca="1" si="117"/>
        <v>#NAME?</v>
      </c>
      <c r="AB29" s="176" t="s">
        <v>36</v>
      </c>
      <c r="AC29" s="176" t="s">
        <v>179</v>
      </c>
      <c r="AD29" s="29" t="s">
        <v>180</v>
      </c>
      <c r="AE29" s="176" t="s">
        <v>227</v>
      </c>
      <c r="AF29" s="176" t="s">
        <v>181</v>
      </c>
      <c r="AG29" s="176" t="s">
        <v>181</v>
      </c>
      <c r="AH29" s="176" t="s">
        <v>190</v>
      </c>
      <c r="AI29" s="223"/>
      <c r="AJ29" s="277">
        <v>10200000000</v>
      </c>
      <c r="AK29" s="224" t="e">
        <f t="shared" ca="1" si="118"/>
        <v>#NAME?</v>
      </c>
      <c r="AL29" s="277">
        <v>781600000</v>
      </c>
      <c r="AM29" s="224" t="e">
        <f t="shared" ca="1" si="119"/>
        <v>#NAME?</v>
      </c>
      <c r="AN29" s="277">
        <v>5.3999999999999999E-2</v>
      </c>
      <c r="AO29" s="185" t="e">
        <f t="shared" ca="1" si="63"/>
        <v>#NAME?</v>
      </c>
      <c r="AP29" s="185" t="s">
        <v>211</v>
      </c>
      <c r="AQ29" s="176" t="s">
        <v>181</v>
      </c>
      <c r="AR29" s="176" t="s">
        <v>181</v>
      </c>
      <c r="AS29" s="176" t="s">
        <v>201</v>
      </c>
      <c r="AT29" s="57" t="s">
        <v>181</v>
      </c>
      <c r="AU29" s="29" t="s">
        <v>39</v>
      </c>
      <c r="AV29" s="176" t="s">
        <v>227</v>
      </c>
      <c r="AW29" s="176" t="s">
        <v>227</v>
      </c>
      <c r="AX29" s="176" t="s">
        <v>227</v>
      </c>
      <c r="AY29" s="176" t="s">
        <v>227</v>
      </c>
      <c r="AZ29" s="55">
        <v>1258601</v>
      </c>
      <c r="BA29" s="55" t="e">
        <f t="shared" ca="1" si="120"/>
        <v>#NAME?</v>
      </c>
      <c r="BB29" s="277">
        <v>4281.17</v>
      </c>
      <c r="BC29" s="277">
        <v>0</v>
      </c>
      <c r="BD29" s="62" t="e">
        <f t="shared" ca="1" si="121"/>
        <v>#NAME?</v>
      </c>
      <c r="BE29" s="277">
        <f t="shared" si="122"/>
        <v>1</v>
      </c>
      <c r="BF29" s="62" t="e">
        <f t="shared" ca="1" si="123"/>
        <v>#NAME?</v>
      </c>
      <c r="BG29" s="176" t="s">
        <v>202</v>
      </c>
      <c r="BH29" s="176"/>
      <c r="BI29" s="176" t="s">
        <v>190</v>
      </c>
      <c r="BJ29" s="185">
        <v>0</v>
      </c>
      <c r="BK29" s="277">
        <v>1</v>
      </c>
      <c r="BL29" s="176" t="s">
        <v>190</v>
      </c>
      <c r="BM29" s="176" t="s">
        <v>190</v>
      </c>
      <c r="BN29" s="176" t="s">
        <v>190</v>
      </c>
      <c r="BO29" s="176" t="s">
        <v>190</v>
      </c>
      <c r="BP29" s="185">
        <v>0</v>
      </c>
      <c r="BQ29" s="185">
        <v>19</v>
      </c>
      <c r="BR29" s="185">
        <v>1</v>
      </c>
      <c r="BS29" s="185">
        <v>0</v>
      </c>
      <c r="BT29" s="203"/>
      <c r="BU29" s="186">
        <v>8</v>
      </c>
      <c r="BV29" s="186">
        <v>0</v>
      </c>
      <c r="BW29" s="186">
        <v>54</v>
      </c>
      <c r="BX29" s="57" t="s">
        <v>190</v>
      </c>
      <c r="BY29" s="203"/>
      <c r="BZ29" s="57"/>
      <c r="CA29" s="57"/>
      <c r="CB29" s="57"/>
      <c r="CC29" s="57"/>
      <c r="CD29" s="203"/>
      <c r="CE29" s="57"/>
      <c r="CF29" s="57"/>
      <c r="CG29" s="57"/>
      <c r="CH29" s="57"/>
      <c r="CI29" s="203"/>
      <c r="CJ29" s="57"/>
      <c r="CK29" s="57"/>
      <c r="CL29" s="57"/>
      <c r="CM29" s="57"/>
      <c r="CN29" s="203"/>
      <c r="CO29" s="186"/>
      <c r="CP29" s="186"/>
      <c r="CQ29" s="186"/>
      <c r="CR29" s="57"/>
      <c r="CS29" s="203"/>
      <c r="CT29" s="186"/>
      <c r="CU29" s="186"/>
      <c r="CV29" s="186"/>
      <c r="CW29" s="57"/>
      <c r="CX29" s="203"/>
      <c r="CY29" s="186"/>
      <c r="CZ29" s="186"/>
      <c r="DA29" s="186"/>
      <c r="DB29" s="57"/>
      <c r="DC29" s="203"/>
      <c r="DD29" s="186"/>
      <c r="DE29" s="186"/>
      <c r="DF29" s="186"/>
      <c r="DG29" s="57"/>
      <c r="DH29" s="203"/>
      <c r="DI29" s="186"/>
      <c r="DJ29" s="186"/>
      <c r="DK29" s="186"/>
      <c r="DL29" s="57"/>
      <c r="DM29" s="204"/>
      <c r="DN29" s="205"/>
      <c r="DO29" s="205"/>
      <c r="DQ29" s="206"/>
      <c r="DR29" s="188">
        <f t="shared" si="64"/>
        <v>8</v>
      </c>
      <c r="DS29" s="188"/>
      <c r="DT29" s="189">
        <f t="shared" si="65"/>
        <v>0</v>
      </c>
      <c r="DU29" s="189"/>
      <c r="DV29" s="188">
        <f t="shared" si="66"/>
        <v>54</v>
      </c>
      <c r="DW29" s="183" t="e">
        <f t="shared" ca="1" si="67"/>
        <v>#NAME?</v>
      </c>
      <c r="DX29" s="207"/>
      <c r="DY29" s="190" t="e">
        <f t="shared" ca="1" si="68"/>
        <v>#NAME?</v>
      </c>
      <c r="DZ29" s="191" t="str">
        <f t="shared" si="69"/>
        <v/>
      </c>
      <c r="EA29" s="191" t="str">
        <f t="shared" si="70"/>
        <v/>
      </c>
      <c r="EB29" s="191" t="str">
        <f t="shared" si="71"/>
        <v/>
      </c>
      <c r="EC29" s="208" t="e">
        <f t="shared" ca="1" si="72"/>
        <v>#NAME?</v>
      </c>
      <c r="ED29" s="36" t="str">
        <f t="shared" si="73"/>
        <v>Equity - Common</v>
      </c>
      <c r="EE29" s="193">
        <f>COUNTIF($ED$2:$ED$92, ED29)/(COUNTIF($ED$2:$ED$92, "&lt;&gt;""") - COUNTIF($ED$2:$ED$92, ""))</f>
        <v>0.32222222222222224</v>
      </c>
      <c r="EF29" s="36" t="str">
        <f t="shared" si="74"/>
        <v>Early</v>
      </c>
      <c r="EG29" s="207"/>
      <c r="EH29" s="194" t="e">
        <f t="shared" ca="1" si="75"/>
        <v>#NAME?</v>
      </c>
      <c r="EI29" s="194" t="e">
        <f t="shared" ca="1" si="76"/>
        <v>#NAME?</v>
      </c>
      <c r="EJ29" s="209" t="e">
        <f t="shared" ca="1" si="77"/>
        <v>#NAME?</v>
      </c>
      <c r="EK29" s="208" t="e">
        <f t="shared" ca="1" si="78"/>
        <v>#NAME?</v>
      </c>
      <c r="EL29" s="36" t="str">
        <f t="shared" si="79"/>
        <v>Yes</v>
      </c>
      <c r="EM29" s="207"/>
      <c r="EN29" s="192">
        <f t="shared" si="80"/>
        <v>1.7619047619047619</v>
      </c>
      <c r="EO29" s="192">
        <f t="shared" si="81"/>
        <v>1</v>
      </c>
      <c r="EP29" s="209">
        <f t="shared" si="82"/>
        <v>2.7619047619047619</v>
      </c>
      <c r="EQ29" s="210">
        <f t="shared" si="83"/>
        <v>1.5981308411214954</v>
      </c>
      <c r="ER29" s="36" t="e">
        <f t="shared" ca="1" si="84"/>
        <v>#NAME?</v>
      </c>
      <c r="ES29" s="40">
        <f ca="1">COUNTIF($ER$2:$ER$92, ER29)/(COUNTIF($ER$2:$ER$92, "&lt;&gt;""") - COUNTIF($ER$2:$ER$92, ""))</f>
        <v>1</v>
      </c>
      <c r="ET29" s="36">
        <f t="shared" si="85"/>
        <v>1</v>
      </c>
      <c r="EU29" s="40">
        <f>COUNTIF($ET$2:$ET$92, ET29)/(COUNTIF($ET$2:$ET$92, "&lt;&gt;""") - COUNTIF($ET$2:$ET$92, ""))</f>
        <v>0.45555555555555555</v>
      </c>
      <c r="EV29" s="36">
        <f t="shared" si="86"/>
        <v>19</v>
      </c>
      <c r="EW29" s="40">
        <f>COUNTIF($EV$2:$EV$92, EV29)/(COUNTIF($EV$2:$EV$92, "&lt;&gt;""") - COUNTIF($EV$2:$EV$92, ""))</f>
        <v>1.1111111111111112E-2</v>
      </c>
      <c r="EX29" s="36" t="str">
        <f t="shared" si="87"/>
        <v>No</v>
      </c>
      <c r="EY29" s="40">
        <f>COUNTIF($EX$2:$EX$92, EX29)/(COUNTIF($EX$2:$EX$92, "&lt;&gt;""") - COUNTIF($EX$2:$EX$92, ""))</f>
        <v>0.72222222222222221</v>
      </c>
      <c r="EZ29" s="36" t="str">
        <f t="shared" ref="EZ29:FB29" si="133">BM29</f>
        <v>No</v>
      </c>
      <c r="FA29" s="36" t="str">
        <f t="shared" si="133"/>
        <v>No</v>
      </c>
      <c r="FB29" s="36" t="str">
        <f t="shared" si="133"/>
        <v>No</v>
      </c>
      <c r="FC29" s="207"/>
      <c r="FD29" s="36" t="str">
        <f t="shared" si="89"/>
        <v>Transactional</v>
      </c>
      <c r="FE29" s="40">
        <f>COUNTIF($FD$2:$FD$92, FD29)/(COUNTIF($FD$2:$FD$92, "&lt;&gt;""") - COUNTIF($FD$2:$FD$92, ""))</f>
        <v>0.6</v>
      </c>
      <c r="FF29" s="36" t="str">
        <f t="shared" si="90"/>
        <v>B2C</v>
      </c>
      <c r="FG29" s="40">
        <f>COUNTIF($FF$2:$FF$92, FF29)/(COUNTIF($FF$2:$FF$92, "&lt;&gt;""") - COUNTIF($FF$2:$FF$92, ""))</f>
        <v>0.41111111111111109</v>
      </c>
      <c r="FH29" s="36" t="str">
        <f t="shared" si="91"/>
        <v>Low</v>
      </c>
      <c r="FI29" s="40">
        <f>COUNTIF($FH$2:$FH$92, FH29)/(COUNTIF($FH$2:$FH$92, "&lt;&gt;""") - COUNTIF($FH$2:$FH$92, ""))</f>
        <v>0.46666666666666667</v>
      </c>
      <c r="FJ29" s="36" t="str">
        <f t="shared" si="92"/>
        <v>Low</v>
      </c>
      <c r="FK29" s="40">
        <f>COUNTIF($FJ$2:$FJ$92, FJ29)/(COUNTIF($FJ$2:$FJ$92, "&lt;&gt;""") - COUNTIF($FJ$2:$FJ$92, ""))</f>
        <v>0.41111111111111109</v>
      </c>
      <c r="FL29" s="207"/>
      <c r="FM29" s="192">
        <f t="shared" si="93"/>
        <v>5</v>
      </c>
      <c r="FN29" s="192" t="e">
        <f t="shared" ca="1" si="94"/>
        <v>#NAME?</v>
      </c>
      <c r="FO29" s="192" t="e">
        <f t="shared" ca="1" si="95"/>
        <v>#NAME?</v>
      </c>
      <c r="FP29" s="192" t="e">
        <f t="shared" ca="1" si="96"/>
        <v>#NAME?</v>
      </c>
      <c r="FQ29" s="209" t="e">
        <f t="shared" ca="1" si="97"/>
        <v>#NAME?</v>
      </c>
      <c r="FR29" s="208" t="e">
        <f t="shared" ca="1" si="98"/>
        <v>#NAME?</v>
      </c>
      <c r="FS29" s="36" t="str">
        <f t="shared" si="99"/>
        <v>Pre-Profit</v>
      </c>
      <c r="FT29" s="196">
        <f>COUNTIF($FS$2:$FS$92, FS29)/(COUNTIF($FS$2:$FS$92, "&lt;&gt;""") - COUNTIF($FZ$2:$FZ$92, ""))</f>
        <v>0.51111111111111107</v>
      </c>
      <c r="FU29" s="207"/>
      <c r="FV29" s="192" t="e">
        <f t="shared" ca="1" si="100"/>
        <v>#NAME?</v>
      </c>
      <c r="FW29" s="197" t="e">
        <f t="shared" ca="1" si="101"/>
        <v>#NAME?</v>
      </c>
      <c r="FX29" s="209" t="e">
        <f t="shared" ca="1" si="102"/>
        <v>#NAME?</v>
      </c>
      <c r="FY29" s="211" t="e">
        <f t="shared" ca="1" si="103"/>
        <v>#NAME?</v>
      </c>
      <c r="FZ29" s="36" t="str">
        <f t="shared" si="104"/>
        <v>Yes</v>
      </c>
      <c r="GA29" s="196">
        <f>COUNTIF($FZ$2:$FZ$92, FZ29)/(COUNTIF($FZ$2:$FZ$92, "&lt;&gt;""") - COUNTIF($FZ$2:$FZ$92, ""))</f>
        <v>0.23333333333333334</v>
      </c>
      <c r="GB29" s="196" t="str">
        <f t="shared" si="105"/>
        <v>Low</v>
      </c>
      <c r="GC29" s="196">
        <f>COUNTIF($GB$2:$GB$92, GB29)/(COUNTIF($GB$2:$GB$92, "&lt;&gt;""") - COUNTIF($GB$2:$GB$92, ""))</f>
        <v>0.55555555555555558</v>
      </c>
      <c r="GD29" s="196" t="str">
        <f t="shared" si="106"/>
        <v>High</v>
      </c>
      <c r="GE29" s="196">
        <f>COUNTIF($GD$2:$GD$92, GD29)/(COUNTIF($GD$2:$GD$92, "&lt;&gt;""") - COUNTIF($GD$2:$GD$92, ""))</f>
        <v>0.8</v>
      </c>
      <c r="GF29" s="207"/>
      <c r="GG29" s="36"/>
      <c r="GH29" s="209" t="e">
        <f t="shared" ca="1" si="107"/>
        <v>#NAME?</v>
      </c>
      <c r="GI29" s="212" t="e">
        <f t="shared" ca="1" si="108"/>
        <v>#NAME?</v>
      </c>
    </row>
    <row r="30" spans="1:191" ht="15.75" customHeight="1">
      <c r="A30" s="57"/>
      <c r="B30" s="57" t="s">
        <v>409</v>
      </c>
      <c r="C30" s="49">
        <v>1752964</v>
      </c>
      <c r="D30" s="34" t="s">
        <v>808</v>
      </c>
      <c r="E30" s="228"/>
      <c r="F30" s="50" t="s">
        <v>329</v>
      </c>
      <c r="G30" s="229" t="s">
        <v>809</v>
      </c>
      <c r="H30" s="221" t="s">
        <v>810</v>
      </c>
      <c r="I30" s="82">
        <v>43906</v>
      </c>
      <c r="J30" s="34" t="s">
        <v>811</v>
      </c>
      <c r="K30" s="81" t="s">
        <v>812</v>
      </c>
      <c r="M30" s="35" t="s">
        <v>323</v>
      </c>
      <c r="N30" s="50" t="s">
        <v>320</v>
      </c>
      <c r="O30" s="50" t="s">
        <v>30</v>
      </c>
      <c r="P30" s="50" t="s">
        <v>31</v>
      </c>
      <c r="Q30" s="50" t="s">
        <v>35</v>
      </c>
      <c r="R30" s="176"/>
      <c r="S30" s="50" t="s">
        <v>269</v>
      </c>
      <c r="T30" s="177"/>
      <c r="U30" s="178"/>
      <c r="V30" s="180"/>
      <c r="W30" s="65">
        <v>7000000</v>
      </c>
      <c r="X30" s="61">
        <v>0.2</v>
      </c>
      <c r="Y30" s="55">
        <f t="shared" si="115"/>
        <v>5600000</v>
      </c>
      <c r="Z30" s="274">
        <f t="shared" si="116"/>
        <v>5600000</v>
      </c>
      <c r="AA30" s="183" t="e">
        <f t="shared" ca="1" si="117"/>
        <v>#NAME?</v>
      </c>
      <c r="AB30" s="50" t="s">
        <v>178</v>
      </c>
      <c r="AC30" s="50" t="s">
        <v>37</v>
      </c>
      <c r="AD30" s="35" t="s">
        <v>180</v>
      </c>
      <c r="AE30" s="50" t="s">
        <v>227</v>
      </c>
      <c r="AF30" s="35" t="s">
        <v>39</v>
      </c>
      <c r="AG30" s="50" t="s">
        <v>181</v>
      </c>
      <c r="AH30" s="50" t="s">
        <v>227</v>
      </c>
      <c r="AI30" s="83"/>
      <c r="AJ30" s="277">
        <v>390000000000</v>
      </c>
      <c r="AK30" s="224" t="e">
        <f t="shared" ca="1" si="118"/>
        <v>#NAME?</v>
      </c>
      <c r="AL30" s="277">
        <v>5000000000</v>
      </c>
      <c r="AM30" s="224" t="e">
        <f t="shared" ca="1" si="119"/>
        <v>#NAME?</v>
      </c>
      <c r="AN30" s="277">
        <v>0.182</v>
      </c>
      <c r="AO30" s="185" t="e">
        <f t="shared" ca="1" si="63"/>
        <v>#NAME?</v>
      </c>
      <c r="AP30" s="185" t="s">
        <v>211</v>
      </c>
      <c r="AQ30" s="35" t="s">
        <v>39</v>
      </c>
      <c r="AR30" s="50" t="s">
        <v>181</v>
      </c>
      <c r="AS30" s="50" t="s">
        <v>182</v>
      </c>
      <c r="AT30" s="34" t="s">
        <v>181</v>
      </c>
      <c r="AU30" s="35" t="s">
        <v>39</v>
      </c>
      <c r="AV30" s="50" t="s">
        <v>190</v>
      </c>
      <c r="AW30" s="50" t="s">
        <v>190</v>
      </c>
      <c r="AX30" s="50" t="s">
        <v>227</v>
      </c>
      <c r="AY30" s="50" t="s">
        <v>227</v>
      </c>
      <c r="AZ30" s="65">
        <v>853807</v>
      </c>
      <c r="BA30" s="55" t="e">
        <f t="shared" ca="1" si="120"/>
        <v>#NAME?</v>
      </c>
      <c r="BB30" s="277">
        <v>20734</v>
      </c>
      <c r="BC30" s="277">
        <v>377000</v>
      </c>
      <c r="BD30" s="62" t="e">
        <f t="shared" ca="1" si="121"/>
        <v>#NAME?</v>
      </c>
      <c r="BE30" s="277">
        <f t="shared" si="122"/>
        <v>5.4997347480106103E-2</v>
      </c>
      <c r="BF30" s="62" t="e">
        <f t="shared" ca="1" si="123"/>
        <v>#NAME?</v>
      </c>
      <c r="BG30" s="50" t="s">
        <v>202</v>
      </c>
      <c r="BH30" s="176"/>
      <c r="BI30" s="50" t="s">
        <v>190</v>
      </c>
      <c r="BJ30" s="49">
        <v>0</v>
      </c>
      <c r="BK30" s="277">
        <v>1</v>
      </c>
      <c r="BL30" s="50" t="s">
        <v>190</v>
      </c>
      <c r="BM30" s="50" t="s">
        <v>190</v>
      </c>
      <c r="BN30" s="50" t="s">
        <v>190</v>
      </c>
      <c r="BO30" s="50" t="s">
        <v>190</v>
      </c>
      <c r="BP30" s="49">
        <v>1</v>
      </c>
      <c r="BQ30" s="49">
        <v>11</v>
      </c>
      <c r="BR30" s="49">
        <v>0</v>
      </c>
      <c r="BS30" s="49">
        <v>4</v>
      </c>
      <c r="BT30" s="203"/>
      <c r="BU30" s="48">
        <v>13</v>
      </c>
      <c r="BV30" s="48">
        <v>0</v>
      </c>
      <c r="BW30" s="48">
        <v>60</v>
      </c>
      <c r="BX30" s="34" t="s">
        <v>227</v>
      </c>
      <c r="BY30" s="203"/>
      <c r="BZ30" s="57"/>
      <c r="CA30" s="57"/>
      <c r="CB30" s="57"/>
      <c r="CC30" s="57"/>
      <c r="CD30" s="203"/>
      <c r="CE30" s="57"/>
      <c r="CF30" s="57"/>
      <c r="CG30" s="57"/>
      <c r="CH30" s="57"/>
      <c r="CI30" s="203"/>
      <c r="CJ30" s="57"/>
      <c r="CK30" s="57"/>
      <c r="CL30" s="57"/>
      <c r="CM30" s="57"/>
      <c r="CN30" s="203"/>
      <c r="CO30" s="57"/>
      <c r="CP30" s="57"/>
      <c r="CQ30" s="57"/>
      <c r="CR30" s="57"/>
      <c r="CS30" s="203"/>
      <c r="CT30" s="57"/>
      <c r="CU30" s="57"/>
      <c r="CV30" s="57"/>
      <c r="CW30" s="57"/>
      <c r="CX30" s="203"/>
      <c r="CY30" s="57"/>
      <c r="CZ30" s="57"/>
      <c r="DA30" s="57"/>
      <c r="DB30" s="57"/>
      <c r="DC30" s="203"/>
      <c r="DD30" s="57"/>
      <c r="DE30" s="57"/>
      <c r="DF30" s="57"/>
      <c r="DG30" s="57"/>
      <c r="DH30" s="203"/>
      <c r="DI30" s="57"/>
      <c r="DJ30" s="57"/>
      <c r="DK30" s="57"/>
      <c r="DL30" s="57"/>
      <c r="DM30" s="204"/>
      <c r="DN30" s="205"/>
      <c r="DO30" s="205"/>
      <c r="DQ30" s="206"/>
      <c r="DR30" s="188">
        <f t="shared" si="64"/>
        <v>13</v>
      </c>
      <c r="DS30" s="188"/>
      <c r="DT30" s="189">
        <f t="shared" si="65"/>
        <v>0</v>
      </c>
      <c r="DU30" s="189"/>
      <c r="DV30" s="188">
        <f t="shared" si="66"/>
        <v>60</v>
      </c>
      <c r="DW30" s="183" t="e">
        <f t="shared" ca="1" si="67"/>
        <v>#NAME?</v>
      </c>
      <c r="DX30" s="207"/>
      <c r="DY30" s="190" t="e">
        <f t="shared" ca="1" si="68"/>
        <v>#NAME?</v>
      </c>
      <c r="DZ30" s="191">
        <f t="shared" si="69"/>
        <v>3.1052631578947367</v>
      </c>
      <c r="EA30" s="191" t="str">
        <f t="shared" si="70"/>
        <v/>
      </c>
      <c r="EB30" s="191" t="str">
        <f t="shared" si="71"/>
        <v/>
      </c>
      <c r="EC30" s="208" t="e">
        <f t="shared" ca="1" si="72"/>
        <v>#NAME?</v>
      </c>
      <c r="ED30" s="36" t="str">
        <f t="shared" si="73"/>
        <v>SAFE</v>
      </c>
      <c r="EE30" s="193">
        <f>COUNTIF($ED$2:$ED$92, ED30)/(COUNTIF($ED$2:$ED$92, "&lt;&gt;""") - COUNTIF($ED$2:$ED$92, ""))</f>
        <v>0.37777777777777777</v>
      </c>
      <c r="EF30" s="36" t="str">
        <f t="shared" si="74"/>
        <v>Early</v>
      </c>
      <c r="EG30" s="207"/>
      <c r="EH30" s="194" t="e">
        <f t="shared" ca="1" si="75"/>
        <v>#NAME?</v>
      </c>
      <c r="EI30" s="194" t="e">
        <f t="shared" ca="1" si="76"/>
        <v>#NAME?</v>
      </c>
      <c r="EJ30" s="209" t="e">
        <f t="shared" ca="1" si="77"/>
        <v>#NAME?</v>
      </c>
      <c r="EK30" s="208" t="e">
        <f t="shared" ca="1" si="78"/>
        <v>#NAME?</v>
      </c>
      <c r="EL30" s="36" t="str">
        <f t="shared" si="79"/>
        <v>No</v>
      </c>
      <c r="EM30" s="207"/>
      <c r="EN30" s="192">
        <f t="shared" si="80"/>
        <v>2.2380952380952381</v>
      </c>
      <c r="EO30" s="192">
        <f t="shared" si="81"/>
        <v>1</v>
      </c>
      <c r="EP30" s="209">
        <f t="shared" si="82"/>
        <v>3.2380952380952381</v>
      </c>
      <c r="EQ30" s="210">
        <f t="shared" si="83"/>
        <v>1.97196261682243</v>
      </c>
      <c r="ER30" s="36" t="e">
        <f t="shared" ca="1" si="84"/>
        <v>#NAME?</v>
      </c>
      <c r="ES30" s="40">
        <f ca="1">COUNTIF($ER$2:$ER$92, ER30)/(COUNTIF($ER$2:$ER$92, "&lt;&gt;""") - COUNTIF($ER$2:$ER$92, ""))</f>
        <v>1</v>
      </c>
      <c r="ET30" s="36">
        <f t="shared" si="85"/>
        <v>1</v>
      </c>
      <c r="EU30" s="40">
        <f>COUNTIF($ET$2:$ET$92, ET30)/(COUNTIF($ET$2:$ET$92, "&lt;&gt;""") - COUNTIF($ET$2:$ET$92, ""))</f>
        <v>0.45555555555555555</v>
      </c>
      <c r="EV30" s="36">
        <f t="shared" si="86"/>
        <v>11</v>
      </c>
      <c r="EW30" s="40">
        <f>COUNTIF($EV$2:$EV$92, EV30)/(COUNTIF($EV$2:$EV$92, "&lt;&gt;""") - COUNTIF($EV$2:$EV$92, ""))</f>
        <v>3.3333333333333333E-2</v>
      </c>
      <c r="EX30" s="36" t="str">
        <f t="shared" si="87"/>
        <v>No</v>
      </c>
      <c r="EY30" s="40">
        <f>COUNTIF($EX$2:$EX$92, EX30)/(COUNTIF($EX$2:$EX$92, "&lt;&gt;""") - COUNTIF($EX$2:$EX$92, ""))</f>
        <v>0.72222222222222221</v>
      </c>
      <c r="EZ30" s="36" t="str">
        <f t="shared" ref="EZ30:FB30" si="134">BM30</f>
        <v>No</v>
      </c>
      <c r="FA30" s="36" t="str">
        <f t="shared" si="134"/>
        <v>No</v>
      </c>
      <c r="FB30" s="36" t="str">
        <f t="shared" si="134"/>
        <v>No</v>
      </c>
      <c r="FC30" s="207"/>
      <c r="FD30" s="36" t="str">
        <f t="shared" si="89"/>
        <v>Recurring</v>
      </c>
      <c r="FE30" s="40">
        <f>COUNTIF($FD$2:$FD$92, FD30)/(COUNTIF($FD$2:$FD$92, "&lt;&gt;""") - COUNTIF($FD$2:$FD$92, ""))</f>
        <v>0.4</v>
      </c>
      <c r="FF30" s="36" t="str">
        <f t="shared" si="90"/>
        <v>B2B</v>
      </c>
      <c r="FG30" s="40">
        <f>COUNTIF($FF$2:$FF$92, FF30)/(COUNTIF($FF$2:$FF$92, "&lt;&gt;""") - COUNTIF($FF$2:$FF$92, ""))</f>
        <v>0.24444444444444444</v>
      </c>
      <c r="FH30" s="36" t="str">
        <f t="shared" si="91"/>
        <v>High</v>
      </c>
      <c r="FI30" s="40">
        <f>COUNTIF($FH$2:$FH$92, FH30)/(COUNTIF($FH$2:$FH$92, "&lt;&gt;""") - COUNTIF($FH$2:$FH$92, ""))</f>
        <v>0.53333333333333333</v>
      </c>
      <c r="FJ30" s="36" t="str">
        <f t="shared" si="92"/>
        <v>Low</v>
      </c>
      <c r="FK30" s="40">
        <f>COUNTIF($FJ$2:$FJ$92, FJ30)/(COUNTIF($FJ$2:$FJ$92, "&lt;&gt;""") - COUNTIF($FJ$2:$FJ$92, ""))</f>
        <v>0.41111111111111109</v>
      </c>
      <c r="FL30" s="207"/>
      <c r="FM30" s="192">
        <f t="shared" si="93"/>
        <v>5</v>
      </c>
      <c r="FN30" s="192" t="e">
        <f t="shared" ca="1" si="94"/>
        <v>#NAME?</v>
      </c>
      <c r="FO30" s="192" t="e">
        <f t="shared" ca="1" si="95"/>
        <v>#NAME?</v>
      </c>
      <c r="FP30" s="192" t="e">
        <f t="shared" ca="1" si="96"/>
        <v>#NAME?</v>
      </c>
      <c r="FQ30" s="209" t="e">
        <f t="shared" ca="1" si="97"/>
        <v>#NAME?</v>
      </c>
      <c r="FR30" s="208" t="e">
        <f t="shared" ca="1" si="98"/>
        <v>#NAME?</v>
      </c>
      <c r="FS30" s="36" t="str">
        <f t="shared" si="99"/>
        <v>Pre-Profit</v>
      </c>
      <c r="FT30" s="196">
        <f>COUNTIF($FS$2:$FS$92, FS30)/(COUNTIF($FS$2:$FS$92, "&lt;&gt;""") - COUNTIF($FZ$2:$FZ$92, ""))</f>
        <v>0.51111111111111107</v>
      </c>
      <c r="FU30" s="207"/>
      <c r="FV30" s="192">
        <f t="shared" si="100"/>
        <v>3</v>
      </c>
      <c r="FW30" s="197" t="e">
        <f t="shared" ca="1" si="101"/>
        <v>#NAME?</v>
      </c>
      <c r="FX30" s="209" t="e">
        <f t="shared" ca="1" si="102"/>
        <v>#NAME?</v>
      </c>
      <c r="FY30" s="211" t="e">
        <f t="shared" ca="1" si="103"/>
        <v>#NAME?</v>
      </c>
      <c r="FZ30" s="36" t="str">
        <f t="shared" si="104"/>
        <v>No</v>
      </c>
      <c r="GA30" s="196">
        <f>COUNTIF($FZ$2:$FZ$92, FZ30)/(COUNTIF($FZ$2:$FZ$92, "&lt;&gt;""") - COUNTIF($FZ$2:$FZ$92, ""))</f>
        <v>0.76666666666666672</v>
      </c>
      <c r="GB30" s="196" t="str">
        <f t="shared" si="105"/>
        <v>Low</v>
      </c>
      <c r="GC30" s="196">
        <f>COUNTIF($GB$2:$GB$92, GB30)/(COUNTIF($GB$2:$GB$92, "&lt;&gt;""") - COUNTIF($GB$2:$GB$92, ""))</f>
        <v>0.55555555555555558</v>
      </c>
      <c r="GD30" s="196" t="str">
        <f t="shared" si="106"/>
        <v>High</v>
      </c>
      <c r="GE30" s="196">
        <f>COUNTIF($GD$2:$GD$92, GD30)/(COUNTIF($GD$2:$GD$92, "&lt;&gt;""") - COUNTIF($GD$2:$GD$92, ""))</f>
        <v>0.8</v>
      </c>
      <c r="GF30" s="207"/>
      <c r="GG30" s="36"/>
      <c r="GH30" s="209" t="e">
        <f t="shared" ca="1" si="107"/>
        <v>#NAME?</v>
      </c>
      <c r="GI30" s="212" t="e">
        <f t="shared" ca="1" si="108"/>
        <v>#NAME?</v>
      </c>
    </row>
    <row r="31" spans="1:191" ht="15.75" customHeight="1">
      <c r="A31" s="57"/>
      <c r="B31" s="57" t="s">
        <v>409</v>
      </c>
      <c r="C31" s="49">
        <v>1806624</v>
      </c>
      <c r="D31" s="34" t="s">
        <v>813</v>
      </c>
      <c r="E31" s="230"/>
      <c r="F31" s="50" t="s">
        <v>337</v>
      </c>
      <c r="G31" s="229" t="s">
        <v>814</v>
      </c>
      <c r="H31" s="221" t="s">
        <v>815</v>
      </c>
      <c r="I31" s="82">
        <v>43903</v>
      </c>
      <c r="J31" s="34" t="s">
        <v>816</v>
      </c>
      <c r="K31" s="34" t="s">
        <v>817</v>
      </c>
      <c r="M31" s="35" t="s">
        <v>293</v>
      </c>
      <c r="N31" s="50" t="s">
        <v>168</v>
      </c>
      <c r="O31" s="50" t="s">
        <v>30</v>
      </c>
      <c r="P31" s="50" t="s">
        <v>31</v>
      </c>
      <c r="Q31" s="50" t="s">
        <v>35</v>
      </c>
      <c r="R31" s="176"/>
      <c r="S31" s="50" t="s">
        <v>216</v>
      </c>
      <c r="T31" s="177"/>
      <c r="U31" s="178"/>
      <c r="V31" s="65">
        <v>6410000</v>
      </c>
      <c r="W31" s="180"/>
      <c r="X31" s="181"/>
      <c r="Y31" s="55" t="str">
        <f t="shared" si="115"/>
        <v/>
      </c>
      <c r="Z31" s="274">
        <f t="shared" si="116"/>
        <v>6410000</v>
      </c>
      <c r="AA31" s="183" t="e">
        <f t="shared" ca="1" si="117"/>
        <v>#NAME?</v>
      </c>
      <c r="AB31" s="50" t="s">
        <v>36</v>
      </c>
      <c r="AC31" s="50" t="s">
        <v>179</v>
      </c>
      <c r="AD31" s="50" t="s">
        <v>38</v>
      </c>
      <c r="AE31" s="50" t="s">
        <v>190</v>
      </c>
      <c r="AF31" s="50" t="s">
        <v>181</v>
      </c>
      <c r="AG31" s="35" t="s">
        <v>39</v>
      </c>
      <c r="AH31" s="50" t="s">
        <v>190</v>
      </c>
      <c r="AI31" s="83"/>
      <c r="AJ31" s="277">
        <v>203800000000</v>
      </c>
      <c r="AK31" s="224" t="e">
        <f t="shared" ca="1" si="118"/>
        <v>#NAME?</v>
      </c>
      <c r="AL31" s="277">
        <v>3000000000</v>
      </c>
      <c r="AM31" s="224" t="e">
        <f t="shared" ca="1" si="119"/>
        <v>#NAME?</v>
      </c>
      <c r="AN31" s="277">
        <v>0.03</v>
      </c>
      <c r="AO31" s="185" t="e">
        <f t="shared" ca="1" si="63"/>
        <v>#NAME?</v>
      </c>
      <c r="AP31" s="185" t="s">
        <v>264</v>
      </c>
      <c r="AQ31" s="50" t="s">
        <v>181</v>
      </c>
      <c r="AR31" s="50" t="s">
        <v>181</v>
      </c>
      <c r="AS31" s="50" t="s">
        <v>42</v>
      </c>
      <c r="AT31" s="34" t="s">
        <v>181</v>
      </c>
      <c r="AU31" s="35" t="s">
        <v>39</v>
      </c>
      <c r="AV31" s="50" t="s">
        <v>190</v>
      </c>
      <c r="AW31" s="50" t="s">
        <v>190</v>
      </c>
      <c r="AX31" s="50" t="s">
        <v>227</v>
      </c>
      <c r="AY31" s="50" t="s">
        <v>190</v>
      </c>
      <c r="AZ31" s="65">
        <v>0</v>
      </c>
      <c r="BA31" s="55" t="e">
        <f t="shared" ca="1" si="120"/>
        <v>#NAME?</v>
      </c>
      <c r="BB31" s="277">
        <v>0</v>
      </c>
      <c r="BC31" s="277">
        <v>0</v>
      </c>
      <c r="BD31" s="62" t="e">
        <f t="shared" ca="1" si="121"/>
        <v>#NAME?</v>
      </c>
      <c r="BE31" s="277">
        <f t="shared" si="122"/>
        <v>1</v>
      </c>
      <c r="BF31" s="62" t="e">
        <f t="shared" ca="1" si="123"/>
        <v>#NAME?</v>
      </c>
      <c r="BG31" s="50" t="s">
        <v>183</v>
      </c>
      <c r="BH31" s="176"/>
      <c r="BI31" s="50" t="s">
        <v>190</v>
      </c>
      <c r="BJ31" s="49">
        <v>0</v>
      </c>
      <c r="BK31" s="277">
        <v>1</v>
      </c>
      <c r="BL31" s="50" t="s">
        <v>190</v>
      </c>
      <c r="BM31" s="50" t="s">
        <v>190</v>
      </c>
      <c r="BN31" s="50" t="s">
        <v>190</v>
      </c>
      <c r="BO31" s="50" t="s">
        <v>227</v>
      </c>
      <c r="BP31" s="49">
        <v>0</v>
      </c>
      <c r="BQ31" s="49">
        <v>1</v>
      </c>
      <c r="BR31" s="49">
        <v>0</v>
      </c>
      <c r="BS31" s="49">
        <v>0</v>
      </c>
      <c r="BT31" s="203"/>
      <c r="BU31" s="48">
        <v>35</v>
      </c>
      <c r="BV31" s="48">
        <v>0</v>
      </c>
      <c r="BW31" s="48">
        <v>49</v>
      </c>
      <c r="BX31" s="34" t="s">
        <v>190</v>
      </c>
      <c r="BY31" s="203"/>
      <c r="BZ31" s="57"/>
      <c r="CA31" s="57"/>
      <c r="CB31" s="57"/>
      <c r="CC31" s="57"/>
      <c r="CD31" s="203"/>
      <c r="CE31" s="57"/>
      <c r="CF31" s="57"/>
      <c r="CG31" s="57"/>
      <c r="CH31" s="57"/>
      <c r="CI31" s="203"/>
      <c r="CJ31" s="57"/>
      <c r="CK31" s="57"/>
      <c r="CL31" s="57"/>
      <c r="CM31" s="57"/>
      <c r="CN31" s="203"/>
      <c r="CO31" s="57"/>
      <c r="CP31" s="57"/>
      <c r="CQ31" s="57"/>
      <c r="CR31" s="57"/>
      <c r="CS31" s="203"/>
      <c r="CT31" s="57"/>
      <c r="CU31" s="57"/>
      <c r="CV31" s="57"/>
      <c r="CW31" s="57"/>
      <c r="CX31" s="203"/>
      <c r="CY31" s="57"/>
      <c r="CZ31" s="57"/>
      <c r="DA31" s="57"/>
      <c r="DB31" s="57"/>
      <c r="DC31" s="203"/>
      <c r="DD31" s="57"/>
      <c r="DE31" s="57"/>
      <c r="DF31" s="57"/>
      <c r="DG31" s="57"/>
      <c r="DH31" s="203"/>
      <c r="DI31" s="57"/>
      <c r="DJ31" s="57"/>
      <c r="DK31" s="57"/>
      <c r="DL31" s="57"/>
      <c r="DM31" s="204"/>
      <c r="DN31" s="205"/>
      <c r="DO31" s="205"/>
      <c r="DQ31" s="206"/>
      <c r="DR31" s="188">
        <f t="shared" si="64"/>
        <v>35</v>
      </c>
      <c r="DS31" s="188"/>
      <c r="DT31" s="189">
        <f t="shared" si="65"/>
        <v>0</v>
      </c>
      <c r="DU31" s="189"/>
      <c r="DV31" s="188">
        <f t="shared" si="66"/>
        <v>49</v>
      </c>
      <c r="DW31" s="183" t="e">
        <f t="shared" ca="1" si="67"/>
        <v>#NAME?</v>
      </c>
      <c r="DX31" s="207"/>
      <c r="DY31" s="190" t="e">
        <f t="shared" ca="1" si="68"/>
        <v>#NAME?</v>
      </c>
      <c r="DZ31" s="191" t="str">
        <f t="shared" si="69"/>
        <v/>
      </c>
      <c r="EA31" s="191" t="str">
        <f t="shared" si="70"/>
        <v/>
      </c>
      <c r="EB31" s="191" t="str">
        <f t="shared" si="71"/>
        <v/>
      </c>
      <c r="EC31" s="208" t="e">
        <f t="shared" ca="1" si="72"/>
        <v>#NAME?</v>
      </c>
      <c r="ED31" s="36" t="str">
        <f t="shared" si="73"/>
        <v>Equity - Common</v>
      </c>
      <c r="EE31" s="193">
        <f>COUNTIF($ED$2:$ED$92, ED31)/(COUNTIF($ED$2:$ED$92, "&lt;&gt;""") - COUNTIF($ED$2:$ED$92, ""))</f>
        <v>0.32222222222222224</v>
      </c>
      <c r="EF31" s="36" t="str">
        <f t="shared" si="74"/>
        <v>Early</v>
      </c>
      <c r="EG31" s="207"/>
      <c r="EH31" s="194" t="e">
        <f t="shared" ca="1" si="75"/>
        <v>#NAME?</v>
      </c>
      <c r="EI31" s="194" t="e">
        <f t="shared" ca="1" si="76"/>
        <v>#NAME?</v>
      </c>
      <c r="EJ31" s="209" t="e">
        <f t="shared" ca="1" si="77"/>
        <v>#NAME?</v>
      </c>
      <c r="EK31" s="208" t="e">
        <f t="shared" ca="1" si="78"/>
        <v>#NAME?</v>
      </c>
      <c r="EL31" s="36" t="str">
        <f t="shared" si="79"/>
        <v>No</v>
      </c>
      <c r="EM31" s="207"/>
      <c r="EN31" s="192">
        <f t="shared" si="80"/>
        <v>4.3333333333333339</v>
      </c>
      <c r="EO31" s="192">
        <f t="shared" si="81"/>
        <v>1</v>
      </c>
      <c r="EP31" s="209">
        <f t="shared" si="82"/>
        <v>5.3333333333333339</v>
      </c>
      <c r="EQ31" s="210">
        <f t="shared" si="83"/>
        <v>3.6168224299065428</v>
      </c>
      <c r="ER31" s="36" t="e">
        <f t="shared" ca="1" si="84"/>
        <v>#NAME?</v>
      </c>
      <c r="ES31" s="40">
        <f ca="1">COUNTIF($ER$2:$ER$92, ER31)/(COUNTIF($ER$2:$ER$92, "&lt;&gt;""") - COUNTIF($ER$2:$ER$92, ""))</f>
        <v>1</v>
      </c>
      <c r="ET31" s="36">
        <f t="shared" si="85"/>
        <v>1</v>
      </c>
      <c r="EU31" s="40">
        <f>COUNTIF($ET$2:$ET$92, ET31)/(COUNTIF($ET$2:$ET$92, "&lt;&gt;""") - COUNTIF($ET$2:$ET$92, ""))</f>
        <v>0.45555555555555555</v>
      </c>
      <c r="EV31" s="36">
        <f t="shared" si="86"/>
        <v>1</v>
      </c>
      <c r="EW31" s="40">
        <f>COUNTIF($EV$2:$EV$92, EV31)/(COUNTIF($EV$2:$EV$92, "&lt;&gt;""") - COUNTIF($EV$2:$EV$92, ""))</f>
        <v>7.7777777777777779E-2</v>
      </c>
      <c r="EX31" s="36" t="str">
        <f t="shared" si="87"/>
        <v>No</v>
      </c>
      <c r="EY31" s="40">
        <f>COUNTIF($EX$2:$EX$92, EX31)/(COUNTIF($EX$2:$EX$92, "&lt;&gt;""") - COUNTIF($EX$2:$EX$92, ""))</f>
        <v>0.72222222222222221</v>
      </c>
      <c r="EZ31" s="36" t="str">
        <f t="shared" ref="EZ31:FB31" si="135">BM31</f>
        <v>No</v>
      </c>
      <c r="FA31" s="36" t="str">
        <f t="shared" si="135"/>
        <v>No</v>
      </c>
      <c r="FB31" s="36" t="str">
        <f t="shared" si="135"/>
        <v>Yes</v>
      </c>
      <c r="FC31" s="207"/>
      <c r="FD31" s="36" t="str">
        <f t="shared" si="89"/>
        <v>Transactional</v>
      </c>
      <c r="FE31" s="40">
        <f>COUNTIF($FD$2:$FD$92, FD31)/(COUNTIF($FD$2:$FD$92, "&lt;&gt;""") - COUNTIF($FD$2:$FD$92, ""))</f>
        <v>0.6</v>
      </c>
      <c r="FF31" s="36" t="str">
        <f t="shared" si="90"/>
        <v>B2C</v>
      </c>
      <c r="FG31" s="40">
        <f>COUNTIF($FF$2:$FF$92, FF31)/(COUNTIF($FF$2:$FF$92, "&lt;&gt;""") - COUNTIF($FF$2:$FF$92, ""))</f>
        <v>0.41111111111111109</v>
      </c>
      <c r="FH31" s="36" t="str">
        <f t="shared" si="91"/>
        <v>Low</v>
      </c>
      <c r="FI31" s="40">
        <f>COUNTIF($FH$2:$FH$92, FH31)/(COUNTIF($FH$2:$FH$92, "&lt;&gt;""") - COUNTIF($FH$2:$FH$92, ""))</f>
        <v>0.46666666666666667</v>
      </c>
      <c r="FJ31" s="36" t="str">
        <f t="shared" si="92"/>
        <v>High</v>
      </c>
      <c r="FK31" s="40">
        <f>COUNTIF($FJ$2:$FJ$92, FJ31)/(COUNTIF($FJ$2:$FJ$92, "&lt;&gt;""") - COUNTIF($FJ$2:$FJ$92, ""))</f>
        <v>0.58888888888888891</v>
      </c>
      <c r="FL31" s="207"/>
      <c r="FM31" s="192">
        <f t="shared" si="93"/>
        <v>3</v>
      </c>
      <c r="FN31" s="192" t="e">
        <f t="shared" ca="1" si="94"/>
        <v>#NAME?</v>
      </c>
      <c r="FO31" s="192" t="e">
        <f t="shared" ca="1" si="95"/>
        <v>#NAME?</v>
      </c>
      <c r="FP31" s="192" t="e">
        <f t="shared" ca="1" si="96"/>
        <v>#NAME?</v>
      </c>
      <c r="FQ31" s="209" t="e">
        <f t="shared" ca="1" si="97"/>
        <v>#NAME?</v>
      </c>
      <c r="FR31" s="208" t="e">
        <f t="shared" ca="1" si="98"/>
        <v>#NAME?</v>
      </c>
      <c r="FS31" s="36" t="str">
        <f t="shared" si="99"/>
        <v>Pre-Revenue</v>
      </c>
      <c r="FT31" s="196">
        <f>COUNTIF($FS$2:$FS$92, FS31)/(COUNTIF($FS$2:$FS$92, "&lt;&gt;""") - COUNTIF($FZ$2:$FZ$92, ""))</f>
        <v>0.2</v>
      </c>
      <c r="FU31" s="207"/>
      <c r="FV31" s="192" t="e">
        <f t="shared" ca="1" si="100"/>
        <v>#NAME?</v>
      </c>
      <c r="FW31" s="197" t="e">
        <f t="shared" ca="1" si="101"/>
        <v>#NAME?</v>
      </c>
      <c r="FX31" s="209" t="e">
        <f t="shared" ca="1" si="102"/>
        <v>#NAME?</v>
      </c>
      <c r="FY31" s="211" t="e">
        <f t="shared" ca="1" si="103"/>
        <v>#NAME?</v>
      </c>
      <c r="FZ31" s="36" t="str">
        <f t="shared" si="104"/>
        <v>No</v>
      </c>
      <c r="GA31" s="196">
        <f>COUNTIF($FZ$2:$FZ$92, FZ31)/(COUNTIF($FZ$2:$FZ$92, "&lt;&gt;""") - COUNTIF($FZ$2:$FZ$92, ""))</f>
        <v>0.76666666666666672</v>
      </c>
      <c r="GB31" s="196" t="str">
        <f t="shared" si="105"/>
        <v>Low</v>
      </c>
      <c r="GC31" s="196">
        <f>COUNTIF($GB$2:$GB$92, GB31)/(COUNTIF($GB$2:$GB$92, "&lt;&gt;""") - COUNTIF($GB$2:$GB$92, ""))</f>
        <v>0.55555555555555558</v>
      </c>
      <c r="GD31" s="196" t="str">
        <f t="shared" si="106"/>
        <v>High</v>
      </c>
      <c r="GE31" s="196">
        <f>COUNTIF($GD$2:$GD$92, GD31)/(COUNTIF($GD$2:$GD$92, "&lt;&gt;""") - COUNTIF($GD$2:$GD$92, ""))</f>
        <v>0.8</v>
      </c>
      <c r="GF31" s="207"/>
      <c r="GG31" s="36"/>
      <c r="GH31" s="209" t="e">
        <f t="shared" ca="1" si="107"/>
        <v>#NAME?</v>
      </c>
      <c r="GI31" s="212" t="e">
        <f t="shared" ca="1" si="108"/>
        <v>#NAME?</v>
      </c>
    </row>
    <row r="32" spans="1:191" ht="15.75" customHeight="1">
      <c r="A32" s="57"/>
      <c r="B32" s="57" t="s">
        <v>409</v>
      </c>
      <c r="C32" s="49">
        <v>1802409</v>
      </c>
      <c r="D32" s="34" t="s">
        <v>818</v>
      </c>
      <c r="E32" s="230"/>
      <c r="F32" s="50" t="s">
        <v>344</v>
      </c>
      <c r="G32" s="229" t="s">
        <v>819</v>
      </c>
      <c r="H32" s="221" t="s">
        <v>820</v>
      </c>
      <c r="I32" s="82">
        <v>43871</v>
      </c>
      <c r="J32" s="34" t="s">
        <v>821</v>
      </c>
      <c r="K32" s="34" t="s">
        <v>818</v>
      </c>
      <c r="M32" s="35" t="s">
        <v>293</v>
      </c>
      <c r="N32" s="50" t="s">
        <v>168</v>
      </c>
      <c r="O32" s="50" t="s">
        <v>30</v>
      </c>
      <c r="P32" s="50" t="s">
        <v>31</v>
      </c>
      <c r="Q32" s="50" t="s">
        <v>35</v>
      </c>
      <c r="R32" s="176"/>
      <c r="S32" s="50" t="s">
        <v>269</v>
      </c>
      <c r="T32" s="177"/>
      <c r="U32" s="178"/>
      <c r="V32" s="180"/>
      <c r="W32" s="65">
        <v>4500000</v>
      </c>
      <c r="X32" s="61">
        <v>0.2</v>
      </c>
      <c r="Y32" s="55">
        <f t="shared" si="115"/>
        <v>3600000</v>
      </c>
      <c r="Z32" s="274">
        <f t="shared" si="116"/>
        <v>3600000</v>
      </c>
      <c r="AA32" s="183" t="e">
        <f t="shared" ca="1" si="117"/>
        <v>#NAME?</v>
      </c>
      <c r="AB32" s="50" t="s">
        <v>36</v>
      </c>
      <c r="AC32" s="50" t="s">
        <v>179</v>
      </c>
      <c r="AD32" s="50" t="s">
        <v>38</v>
      </c>
      <c r="AE32" s="50" t="s">
        <v>227</v>
      </c>
      <c r="AF32" s="50" t="s">
        <v>181</v>
      </c>
      <c r="AG32" s="35" t="s">
        <v>39</v>
      </c>
      <c r="AH32" s="50" t="s">
        <v>190</v>
      </c>
      <c r="AI32" s="83"/>
      <c r="AJ32" s="277">
        <v>47000000000</v>
      </c>
      <c r="AK32" s="224" t="e">
        <f t="shared" ca="1" si="118"/>
        <v>#NAME?</v>
      </c>
      <c r="AL32" s="277">
        <v>10000000000</v>
      </c>
      <c r="AM32" s="224" t="e">
        <f t="shared" ca="1" si="119"/>
        <v>#NAME?</v>
      </c>
      <c r="AN32" s="277">
        <v>1.9E-2</v>
      </c>
      <c r="AO32" s="185" t="e">
        <f t="shared" ca="1" si="63"/>
        <v>#NAME?</v>
      </c>
      <c r="AP32" s="185" t="s">
        <v>264</v>
      </c>
      <c r="AQ32" s="35" t="s">
        <v>39</v>
      </c>
      <c r="AR32" s="50" t="s">
        <v>181</v>
      </c>
      <c r="AS32" s="50" t="s">
        <v>42</v>
      </c>
      <c r="AT32" s="34" t="s">
        <v>181</v>
      </c>
      <c r="AU32" s="35" t="s">
        <v>39</v>
      </c>
      <c r="AV32" s="50" t="s">
        <v>190</v>
      </c>
      <c r="AW32" s="50" t="s">
        <v>190</v>
      </c>
      <c r="AX32" s="50" t="s">
        <v>227</v>
      </c>
      <c r="AY32" s="50" t="s">
        <v>227</v>
      </c>
      <c r="AZ32" s="65">
        <v>1282750</v>
      </c>
      <c r="BA32" s="55" t="e">
        <f t="shared" ca="1" si="120"/>
        <v>#NAME?</v>
      </c>
      <c r="BB32" s="277">
        <v>24193</v>
      </c>
      <c r="BC32" s="277">
        <v>435700</v>
      </c>
      <c r="BD32" s="62" t="e">
        <f t="shared" ca="1" si="121"/>
        <v>#NAME?</v>
      </c>
      <c r="BE32" s="277">
        <f t="shared" si="122"/>
        <v>5.5526738581592842E-2</v>
      </c>
      <c r="BF32" s="62" t="e">
        <f t="shared" ca="1" si="123"/>
        <v>#NAME?</v>
      </c>
      <c r="BG32" s="50" t="s">
        <v>202</v>
      </c>
      <c r="BH32" s="176"/>
      <c r="BI32" s="50" t="s">
        <v>190</v>
      </c>
      <c r="BJ32" s="49">
        <v>0</v>
      </c>
      <c r="BK32" s="277">
        <v>1</v>
      </c>
      <c r="BL32" s="50" t="s">
        <v>190</v>
      </c>
      <c r="BM32" s="50" t="s">
        <v>190</v>
      </c>
      <c r="BN32" s="50" t="s">
        <v>190</v>
      </c>
      <c r="BO32" s="50" t="s">
        <v>190</v>
      </c>
      <c r="BP32" s="49">
        <v>1</v>
      </c>
      <c r="BQ32" s="49">
        <v>5</v>
      </c>
      <c r="BR32" s="49">
        <v>0</v>
      </c>
      <c r="BS32" s="49">
        <v>2</v>
      </c>
      <c r="BT32" s="203"/>
      <c r="BU32" s="48">
        <v>0</v>
      </c>
      <c r="BV32" s="48">
        <v>0</v>
      </c>
      <c r="BW32" s="48">
        <v>49</v>
      </c>
      <c r="BX32" s="34" t="s">
        <v>190</v>
      </c>
      <c r="BY32" s="203"/>
      <c r="BZ32" s="57"/>
      <c r="CA32" s="57"/>
      <c r="CB32" s="57"/>
      <c r="CC32" s="57"/>
      <c r="CD32" s="203"/>
      <c r="CE32" s="57"/>
      <c r="CF32" s="57"/>
      <c r="CG32" s="57"/>
      <c r="CH32" s="57"/>
      <c r="CI32" s="203"/>
      <c r="CJ32" s="57"/>
      <c r="CK32" s="57"/>
      <c r="CL32" s="57"/>
      <c r="CM32" s="57"/>
      <c r="CN32" s="203"/>
      <c r="CO32" s="186"/>
      <c r="CP32" s="186"/>
      <c r="CQ32" s="186"/>
      <c r="CR32" s="57"/>
      <c r="CS32" s="203"/>
      <c r="CT32" s="186"/>
      <c r="CU32" s="186"/>
      <c r="CV32" s="186"/>
      <c r="CW32" s="57"/>
      <c r="CX32" s="203"/>
      <c r="CY32" s="186"/>
      <c r="CZ32" s="186"/>
      <c r="DA32" s="186"/>
      <c r="DB32" s="57"/>
      <c r="DC32" s="203"/>
      <c r="DD32" s="186"/>
      <c r="DE32" s="186"/>
      <c r="DF32" s="186"/>
      <c r="DG32" s="57"/>
      <c r="DH32" s="203"/>
      <c r="DI32" s="186"/>
      <c r="DJ32" s="186"/>
      <c r="DK32" s="186"/>
      <c r="DL32" s="57"/>
      <c r="DM32" s="204"/>
      <c r="DN32" s="205"/>
      <c r="DO32" s="205"/>
      <c r="DQ32" s="206"/>
      <c r="DR32" s="188">
        <f t="shared" si="64"/>
        <v>0</v>
      </c>
      <c r="DS32" s="188"/>
      <c r="DT32" s="189">
        <f t="shared" si="65"/>
        <v>0</v>
      </c>
      <c r="DU32" s="189"/>
      <c r="DV32" s="188">
        <f t="shared" si="66"/>
        <v>49</v>
      </c>
      <c r="DW32" s="183" t="e">
        <f t="shared" ca="1" si="67"/>
        <v>#NAME?</v>
      </c>
      <c r="DX32" s="207"/>
      <c r="DY32" s="190" t="e">
        <f t="shared" ca="1" si="68"/>
        <v>#NAME?</v>
      </c>
      <c r="DZ32" s="191">
        <f t="shared" si="69"/>
        <v>3.1052631578947367</v>
      </c>
      <c r="EA32" s="191" t="str">
        <f t="shared" si="70"/>
        <v/>
      </c>
      <c r="EB32" s="191" t="str">
        <f t="shared" si="71"/>
        <v/>
      </c>
      <c r="EC32" s="208" t="e">
        <f t="shared" ca="1" si="72"/>
        <v>#NAME?</v>
      </c>
      <c r="ED32" s="36" t="str">
        <f t="shared" si="73"/>
        <v>SAFE</v>
      </c>
      <c r="EE32" s="193">
        <f>COUNTIF($ED$2:$ED$92, ED32)/(COUNTIF($ED$2:$ED$92, "&lt;&gt;""") - COUNTIF($ED$2:$ED$92, ""))</f>
        <v>0.37777777777777777</v>
      </c>
      <c r="EF32" s="36" t="str">
        <f t="shared" si="74"/>
        <v>Early</v>
      </c>
      <c r="EG32" s="207"/>
      <c r="EH32" s="194" t="e">
        <f t="shared" ca="1" si="75"/>
        <v>#NAME?</v>
      </c>
      <c r="EI32" s="194" t="e">
        <f t="shared" ca="1" si="76"/>
        <v>#NAME?</v>
      </c>
      <c r="EJ32" s="209" t="e">
        <f t="shared" ca="1" si="77"/>
        <v>#NAME?</v>
      </c>
      <c r="EK32" s="208" t="e">
        <f t="shared" ca="1" si="78"/>
        <v>#NAME?</v>
      </c>
      <c r="EL32" s="36" t="str">
        <f t="shared" si="79"/>
        <v>No</v>
      </c>
      <c r="EM32" s="207"/>
      <c r="EN32" s="192">
        <f t="shared" si="80"/>
        <v>1</v>
      </c>
      <c r="EO32" s="192">
        <f t="shared" si="81"/>
        <v>1</v>
      </c>
      <c r="EP32" s="209">
        <f t="shared" si="82"/>
        <v>2</v>
      </c>
      <c r="EQ32" s="210">
        <f t="shared" si="83"/>
        <v>1</v>
      </c>
      <c r="ER32" s="36" t="e">
        <f t="shared" ca="1" si="84"/>
        <v>#NAME?</v>
      </c>
      <c r="ES32" s="40">
        <f ca="1">COUNTIF($ER$2:$ER$92, ER32)/(COUNTIF($ER$2:$ER$92, "&lt;&gt;""") - COUNTIF($ER$2:$ER$92, ""))</f>
        <v>1</v>
      </c>
      <c r="ET32" s="36">
        <f t="shared" si="85"/>
        <v>1</v>
      </c>
      <c r="EU32" s="40">
        <f>COUNTIF($ET$2:$ET$92, ET32)/(COUNTIF($ET$2:$ET$92, "&lt;&gt;""") - COUNTIF($ET$2:$ET$92, ""))</f>
        <v>0.45555555555555555</v>
      </c>
      <c r="EV32" s="36">
        <f t="shared" si="86"/>
        <v>5</v>
      </c>
      <c r="EW32" s="40">
        <f>COUNTIF($EV$2:$EV$92, EV32)/(COUNTIF($EV$2:$EV$92, "&lt;&gt;""") - COUNTIF($EV$2:$EV$92, ""))</f>
        <v>0.13333333333333333</v>
      </c>
      <c r="EX32" s="36" t="str">
        <f t="shared" si="87"/>
        <v>No</v>
      </c>
      <c r="EY32" s="40">
        <f>COUNTIF($EX$2:$EX$92, EX32)/(COUNTIF($EX$2:$EX$92, "&lt;&gt;""") - COUNTIF($EX$2:$EX$92, ""))</f>
        <v>0.72222222222222221</v>
      </c>
      <c r="EZ32" s="36" t="str">
        <f t="shared" ref="EZ32:FB32" si="136">BM32</f>
        <v>No</v>
      </c>
      <c r="FA32" s="36" t="str">
        <f t="shared" si="136"/>
        <v>No</v>
      </c>
      <c r="FB32" s="36" t="str">
        <f t="shared" si="136"/>
        <v>No</v>
      </c>
      <c r="FC32" s="207"/>
      <c r="FD32" s="36" t="str">
        <f t="shared" si="89"/>
        <v>Transactional</v>
      </c>
      <c r="FE32" s="40">
        <f>COUNTIF($FD$2:$FD$92, FD32)/(COUNTIF($FD$2:$FD$92, "&lt;&gt;""") - COUNTIF($FD$2:$FD$92, ""))</f>
        <v>0.6</v>
      </c>
      <c r="FF32" s="36" t="str">
        <f t="shared" si="90"/>
        <v>B2C</v>
      </c>
      <c r="FG32" s="40">
        <f>COUNTIF($FF$2:$FF$92, FF32)/(COUNTIF($FF$2:$FF$92, "&lt;&gt;""") - COUNTIF($FF$2:$FF$92, ""))</f>
        <v>0.41111111111111109</v>
      </c>
      <c r="FH32" s="36" t="str">
        <f t="shared" si="91"/>
        <v>Low</v>
      </c>
      <c r="FI32" s="40">
        <f>COUNTIF($FH$2:$FH$92, FH32)/(COUNTIF($FH$2:$FH$92, "&lt;&gt;""") - COUNTIF($FH$2:$FH$92, ""))</f>
        <v>0.46666666666666667</v>
      </c>
      <c r="FJ32" s="36" t="str">
        <f t="shared" si="92"/>
        <v>High</v>
      </c>
      <c r="FK32" s="40">
        <f>COUNTIF($FJ$2:$FJ$92, FJ32)/(COUNTIF($FJ$2:$FJ$92, "&lt;&gt;""") - COUNTIF($FJ$2:$FJ$92, ""))</f>
        <v>0.58888888888888891</v>
      </c>
      <c r="FL32" s="207"/>
      <c r="FM32" s="192">
        <f t="shared" si="93"/>
        <v>5</v>
      </c>
      <c r="FN32" s="192" t="e">
        <f t="shared" ca="1" si="94"/>
        <v>#NAME?</v>
      </c>
      <c r="FO32" s="192" t="e">
        <f t="shared" ca="1" si="95"/>
        <v>#NAME?</v>
      </c>
      <c r="FP32" s="192" t="e">
        <f t="shared" ca="1" si="96"/>
        <v>#NAME?</v>
      </c>
      <c r="FQ32" s="209" t="e">
        <f t="shared" ca="1" si="97"/>
        <v>#NAME?</v>
      </c>
      <c r="FR32" s="208" t="e">
        <f t="shared" ca="1" si="98"/>
        <v>#NAME?</v>
      </c>
      <c r="FS32" s="36" t="str">
        <f t="shared" si="99"/>
        <v>Pre-Profit</v>
      </c>
      <c r="FT32" s="196">
        <f>COUNTIF($FS$2:$FS$92, FS32)/(COUNTIF($FS$2:$FS$92, "&lt;&gt;""") - COUNTIF($FZ$2:$FZ$92, ""))</f>
        <v>0.51111111111111107</v>
      </c>
      <c r="FU32" s="207"/>
      <c r="FV32" s="192">
        <f t="shared" si="100"/>
        <v>3</v>
      </c>
      <c r="FW32" s="197" t="e">
        <f t="shared" ca="1" si="101"/>
        <v>#NAME?</v>
      </c>
      <c r="FX32" s="209" t="e">
        <f t="shared" ca="1" si="102"/>
        <v>#NAME?</v>
      </c>
      <c r="FY32" s="211" t="e">
        <f t="shared" ca="1" si="103"/>
        <v>#NAME?</v>
      </c>
      <c r="FZ32" s="36" t="str">
        <f t="shared" si="104"/>
        <v>No</v>
      </c>
      <c r="GA32" s="196">
        <f>COUNTIF($FZ$2:$FZ$92, FZ32)/(COUNTIF($FZ$2:$FZ$92, "&lt;&gt;""") - COUNTIF($FZ$2:$FZ$92, ""))</f>
        <v>0.76666666666666672</v>
      </c>
      <c r="GB32" s="196" t="str">
        <f t="shared" si="105"/>
        <v>Low</v>
      </c>
      <c r="GC32" s="196">
        <f>COUNTIF($GB$2:$GB$92, GB32)/(COUNTIF($GB$2:$GB$92, "&lt;&gt;""") - COUNTIF($GB$2:$GB$92, ""))</f>
        <v>0.55555555555555558</v>
      </c>
      <c r="GD32" s="196" t="str">
        <f t="shared" si="106"/>
        <v>High</v>
      </c>
      <c r="GE32" s="196">
        <f>COUNTIF($GD$2:$GD$92, GD32)/(COUNTIF($GD$2:$GD$92, "&lt;&gt;""") - COUNTIF($GD$2:$GD$92, ""))</f>
        <v>0.8</v>
      </c>
      <c r="GF32" s="207"/>
      <c r="GG32" s="36"/>
      <c r="GH32" s="209" t="e">
        <f t="shared" ca="1" si="107"/>
        <v>#NAME?</v>
      </c>
      <c r="GI32" s="212" t="e">
        <f t="shared" ca="1" si="108"/>
        <v>#NAME?</v>
      </c>
    </row>
    <row r="33" spans="1:191" ht="15.75" customHeight="1">
      <c r="A33" s="57"/>
      <c r="B33" s="57" t="s">
        <v>409</v>
      </c>
      <c r="C33" s="49">
        <v>1736388</v>
      </c>
      <c r="D33" s="34" t="s">
        <v>822</v>
      </c>
      <c r="E33" s="230"/>
      <c r="F33" s="50" t="s">
        <v>337</v>
      </c>
      <c r="G33" s="229" t="s">
        <v>823</v>
      </c>
      <c r="H33" s="221" t="s">
        <v>824</v>
      </c>
      <c r="I33" s="82">
        <v>43907</v>
      </c>
      <c r="J33" s="34" t="s">
        <v>825</v>
      </c>
      <c r="K33" s="34" t="s">
        <v>822</v>
      </c>
      <c r="M33" s="35" t="s">
        <v>310</v>
      </c>
      <c r="N33" s="50" t="s">
        <v>230</v>
      </c>
      <c r="O33" s="50" t="s">
        <v>30</v>
      </c>
      <c r="P33" s="50" t="s">
        <v>31</v>
      </c>
      <c r="Q33" s="50" t="s">
        <v>35</v>
      </c>
      <c r="R33" s="176"/>
      <c r="S33" s="50" t="s">
        <v>176</v>
      </c>
      <c r="T33" s="177"/>
      <c r="U33" s="178"/>
      <c r="V33" s="180"/>
      <c r="W33" s="65">
        <v>8000000</v>
      </c>
      <c r="X33" s="61">
        <v>0.18</v>
      </c>
      <c r="Y33" s="55">
        <f t="shared" si="115"/>
        <v>6560000</v>
      </c>
      <c r="Z33" s="274">
        <f t="shared" si="116"/>
        <v>6560000</v>
      </c>
      <c r="AA33" s="183" t="e">
        <f t="shared" ca="1" si="117"/>
        <v>#NAME?</v>
      </c>
      <c r="AB33" s="50" t="s">
        <v>36</v>
      </c>
      <c r="AC33" s="50" t="s">
        <v>37</v>
      </c>
      <c r="AD33" s="35" t="s">
        <v>180</v>
      </c>
      <c r="AE33" s="50" t="s">
        <v>227</v>
      </c>
      <c r="AF33" s="35" t="s">
        <v>39</v>
      </c>
      <c r="AG33" s="35" t="s">
        <v>39</v>
      </c>
      <c r="AH33" s="50" t="s">
        <v>227</v>
      </c>
      <c r="AI33" s="83"/>
      <c r="AJ33" s="277">
        <v>9900000000</v>
      </c>
      <c r="AK33" s="224" t="e">
        <f t="shared" ca="1" si="118"/>
        <v>#NAME?</v>
      </c>
      <c r="AL33" s="277">
        <v>8440000000</v>
      </c>
      <c r="AM33" s="224" t="e">
        <f t="shared" ca="1" si="119"/>
        <v>#NAME?</v>
      </c>
      <c r="AN33" s="277">
        <v>0.17699999999999999</v>
      </c>
      <c r="AO33" s="185" t="e">
        <f t="shared" ca="1" si="63"/>
        <v>#NAME?</v>
      </c>
      <c r="AP33" s="185" t="s">
        <v>211</v>
      </c>
      <c r="AQ33" s="35" t="s">
        <v>39</v>
      </c>
      <c r="AR33" s="50" t="s">
        <v>181</v>
      </c>
      <c r="AS33" s="50" t="s">
        <v>182</v>
      </c>
      <c r="AT33" s="34" t="s">
        <v>181</v>
      </c>
      <c r="AU33" s="35" t="s">
        <v>39</v>
      </c>
      <c r="AV33" s="50" t="s">
        <v>190</v>
      </c>
      <c r="AW33" s="50" t="s">
        <v>227</v>
      </c>
      <c r="AX33" s="50" t="s">
        <v>190</v>
      </c>
      <c r="AY33" s="50" t="s">
        <v>190</v>
      </c>
      <c r="AZ33" s="65">
        <v>0</v>
      </c>
      <c r="BA33" s="55" t="e">
        <f t="shared" ca="1" si="120"/>
        <v>#NAME?</v>
      </c>
      <c r="BB33" s="277">
        <v>14347</v>
      </c>
      <c r="BC33" s="277">
        <v>550000</v>
      </c>
      <c r="BD33" s="62" t="e">
        <f t="shared" ca="1" si="121"/>
        <v>#NAME?</v>
      </c>
      <c r="BE33" s="277">
        <f t="shared" si="122"/>
        <v>2.6085454545454547E-2</v>
      </c>
      <c r="BF33" s="62" t="e">
        <f t="shared" ca="1" si="123"/>
        <v>#NAME?</v>
      </c>
      <c r="BG33" s="50" t="s">
        <v>43</v>
      </c>
      <c r="BH33" s="176"/>
      <c r="BI33" s="50" t="s">
        <v>227</v>
      </c>
      <c r="BJ33" s="49">
        <v>7</v>
      </c>
      <c r="BK33" s="277">
        <v>1</v>
      </c>
      <c r="BL33" s="50" t="s">
        <v>190</v>
      </c>
      <c r="BM33" s="50" t="s">
        <v>190</v>
      </c>
      <c r="BN33" s="50" t="s">
        <v>190</v>
      </c>
      <c r="BO33" s="50" t="s">
        <v>190</v>
      </c>
      <c r="BP33" s="49">
        <v>2</v>
      </c>
      <c r="BQ33" s="49">
        <v>5</v>
      </c>
      <c r="BR33" s="49">
        <v>1</v>
      </c>
      <c r="BS33" s="49">
        <v>2</v>
      </c>
      <c r="BT33" s="203"/>
      <c r="BU33" s="48">
        <v>2</v>
      </c>
      <c r="BV33" s="48">
        <v>0</v>
      </c>
      <c r="BW33" s="48">
        <v>28</v>
      </c>
      <c r="BX33" s="34" t="s">
        <v>227</v>
      </c>
      <c r="BY33" s="203"/>
      <c r="BZ33" s="57"/>
      <c r="CA33" s="57"/>
      <c r="CB33" s="57"/>
      <c r="CC33" s="57"/>
      <c r="CD33" s="203"/>
      <c r="CE33" s="57"/>
      <c r="CF33" s="57"/>
      <c r="CG33" s="57"/>
      <c r="CH33" s="57"/>
      <c r="CI33" s="203"/>
      <c r="CJ33" s="57"/>
      <c r="CK33" s="57"/>
      <c r="CL33" s="57"/>
      <c r="CM33" s="57"/>
      <c r="CN33" s="203"/>
      <c r="CO33" s="57"/>
      <c r="CP33" s="57"/>
      <c r="CQ33" s="57"/>
      <c r="CR33" s="57"/>
      <c r="CS33" s="203"/>
      <c r="CT33" s="57"/>
      <c r="CU33" s="57"/>
      <c r="CV33" s="57"/>
      <c r="CW33" s="57"/>
      <c r="CX33" s="203"/>
      <c r="CY33" s="57"/>
      <c r="CZ33" s="57"/>
      <c r="DA33" s="57"/>
      <c r="DB33" s="57"/>
      <c r="DC33" s="203"/>
      <c r="DD33" s="57"/>
      <c r="DE33" s="57"/>
      <c r="DF33" s="57"/>
      <c r="DG33" s="57"/>
      <c r="DH33" s="203"/>
      <c r="DI33" s="57"/>
      <c r="DJ33" s="57"/>
      <c r="DK33" s="57"/>
      <c r="DL33" s="57"/>
      <c r="DM33" s="204"/>
      <c r="DN33" s="205"/>
      <c r="DO33" s="205"/>
      <c r="DQ33" s="206"/>
      <c r="DR33" s="188">
        <f t="shared" si="64"/>
        <v>2</v>
      </c>
      <c r="DS33" s="188"/>
      <c r="DT33" s="189">
        <f t="shared" si="65"/>
        <v>0</v>
      </c>
      <c r="DU33" s="189"/>
      <c r="DV33" s="188">
        <f t="shared" si="66"/>
        <v>28</v>
      </c>
      <c r="DW33" s="183" t="e">
        <f t="shared" ca="1" si="67"/>
        <v>#NAME?</v>
      </c>
      <c r="DX33" s="207"/>
      <c r="DY33" s="190" t="e">
        <f t="shared" ca="1" si="68"/>
        <v>#NAME?</v>
      </c>
      <c r="DZ33" s="191">
        <f t="shared" si="69"/>
        <v>2.8947368421052628</v>
      </c>
      <c r="EA33" s="191" t="str">
        <f t="shared" si="70"/>
        <v/>
      </c>
      <c r="EB33" s="191" t="str">
        <f t="shared" si="71"/>
        <v/>
      </c>
      <c r="EC33" s="208" t="e">
        <f t="shared" ca="1" si="72"/>
        <v>#NAME?</v>
      </c>
      <c r="ED33" s="36" t="str">
        <f t="shared" si="73"/>
        <v>Convertible Note</v>
      </c>
      <c r="EE33" s="193">
        <f>COUNTIF($ED$2:$ED$92, ED33)/(COUNTIF($ED$2:$ED$92, "&lt;&gt;""") - COUNTIF($ED$2:$ED$92, ""))</f>
        <v>0.13333333333333333</v>
      </c>
      <c r="EF33" s="36" t="str">
        <f t="shared" si="74"/>
        <v>Early</v>
      </c>
      <c r="EG33" s="207"/>
      <c r="EH33" s="194" t="e">
        <f t="shared" ca="1" si="75"/>
        <v>#NAME?</v>
      </c>
      <c r="EI33" s="194" t="e">
        <f t="shared" ca="1" si="76"/>
        <v>#NAME?</v>
      </c>
      <c r="EJ33" s="209" t="e">
        <f t="shared" ca="1" si="77"/>
        <v>#NAME?</v>
      </c>
      <c r="EK33" s="208" t="e">
        <f t="shared" ca="1" si="78"/>
        <v>#NAME?</v>
      </c>
      <c r="EL33" s="36" t="str">
        <f t="shared" si="79"/>
        <v>No</v>
      </c>
      <c r="EM33" s="207"/>
      <c r="EN33" s="192">
        <f t="shared" si="80"/>
        <v>1.1904761904761905</v>
      </c>
      <c r="EO33" s="192">
        <f t="shared" si="81"/>
        <v>1</v>
      </c>
      <c r="EP33" s="209">
        <f t="shared" si="82"/>
        <v>2.1904761904761907</v>
      </c>
      <c r="EQ33" s="210">
        <f t="shared" si="83"/>
        <v>1.1495327102803741</v>
      </c>
      <c r="ER33" s="36" t="e">
        <f t="shared" ca="1" si="84"/>
        <v>#NAME?</v>
      </c>
      <c r="ES33" s="40">
        <f ca="1">COUNTIF($ER$2:$ER$92, ER33)/(COUNTIF($ER$2:$ER$92, "&lt;&gt;""") - COUNTIF($ER$2:$ER$92, ""))</f>
        <v>1</v>
      </c>
      <c r="ET33" s="36">
        <f t="shared" si="85"/>
        <v>1</v>
      </c>
      <c r="EU33" s="40">
        <f>COUNTIF($ET$2:$ET$92, ET33)/(COUNTIF($ET$2:$ET$92, "&lt;&gt;""") - COUNTIF($ET$2:$ET$92, ""))</f>
        <v>0.45555555555555555</v>
      </c>
      <c r="EV33" s="36">
        <f t="shared" si="86"/>
        <v>5</v>
      </c>
      <c r="EW33" s="40">
        <f>COUNTIF($EV$2:$EV$92, EV33)/(COUNTIF($EV$2:$EV$92, "&lt;&gt;""") - COUNTIF($EV$2:$EV$92, ""))</f>
        <v>0.13333333333333333</v>
      </c>
      <c r="EX33" s="36" t="str">
        <f t="shared" si="87"/>
        <v>No</v>
      </c>
      <c r="EY33" s="40">
        <f>COUNTIF($EX$2:$EX$92, EX33)/(COUNTIF($EX$2:$EX$92, "&lt;&gt;""") - COUNTIF($EX$2:$EX$92, ""))</f>
        <v>0.72222222222222221</v>
      </c>
      <c r="EZ33" s="36" t="str">
        <f t="shared" ref="EZ33:FB33" si="137">BM33</f>
        <v>No</v>
      </c>
      <c r="FA33" s="36" t="str">
        <f t="shared" si="137"/>
        <v>No</v>
      </c>
      <c r="FB33" s="36" t="str">
        <f t="shared" si="137"/>
        <v>No</v>
      </c>
      <c r="FC33" s="207"/>
      <c r="FD33" s="36" t="str">
        <f t="shared" si="89"/>
        <v>Transactional</v>
      </c>
      <c r="FE33" s="40">
        <f>COUNTIF($FD$2:$FD$92, FD33)/(COUNTIF($FD$2:$FD$92, "&lt;&gt;""") - COUNTIF($FD$2:$FD$92, ""))</f>
        <v>0.6</v>
      </c>
      <c r="FF33" s="36" t="str">
        <f t="shared" si="90"/>
        <v>B2B</v>
      </c>
      <c r="FG33" s="40">
        <f>COUNTIF($FF$2:$FF$92, FF33)/(COUNTIF($FF$2:$FF$92, "&lt;&gt;""") - COUNTIF($FF$2:$FF$92, ""))</f>
        <v>0.24444444444444444</v>
      </c>
      <c r="FH33" s="36" t="str">
        <f t="shared" si="91"/>
        <v>High</v>
      </c>
      <c r="FI33" s="40">
        <f>COUNTIF($FH$2:$FH$92, FH33)/(COUNTIF($FH$2:$FH$92, "&lt;&gt;""") - COUNTIF($FH$2:$FH$92, ""))</f>
        <v>0.53333333333333333</v>
      </c>
      <c r="FJ33" s="36" t="str">
        <f t="shared" si="92"/>
        <v>High</v>
      </c>
      <c r="FK33" s="40">
        <f>COUNTIF($FJ$2:$FJ$92, FJ33)/(COUNTIF($FJ$2:$FJ$92, "&lt;&gt;""") - COUNTIF($FJ$2:$FJ$92, ""))</f>
        <v>0.58888888888888891</v>
      </c>
      <c r="FL33" s="207"/>
      <c r="FM33" s="192">
        <f t="shared" si="93"/>
        <v>1</v>
      </c>
      <c r="FN33" s="192" t="e">
        <f t="shared" ca="1" si="94"/>
        <v>#NAME?</v>
      </c>
      <c r="FO33" s="192" t="e">
        <f t="shared" ca="1" si="95"/>
        <v>#NAME?</v>
      </c>
      <c r="FP33" s="192" t="e">
        <f t="shared" ca="1" si="96"/>
        <v>#NAME?</v>
      </c>
      <c r="FQ33" s="209" t="e">
        <f t="shared" ca="1" si="97"/>
        <v>#NAME?</v>
      </c>
      <c r="FR33" s="208" t="e">
        <f t="shared" ca="1" si="98"/>
        <v>#NAME?</v>
      </c>
      <c r="FS33" s="36" t="str">
        <f t="shared" si="99"/>
        <v>Pre-Product</v>
      </c>
      <c r="FT33" s="196">
        <f>COUNTIF($FS$2:$FS$92, FS33)/(COUNTIF($FS$2:$FS$92, "&lt;&gt;""") - COUNTIF($FZ$2:$FZ$92, ""))</f>
        <v>0.22222222222222221</v>
      </c>
      <c r="FU33" s="207"/>
      <c r="FV33" s="192">
        <f t="shared" si="100"/>
        <v>3</v>
      </c>
      <c r="FW33" s="197" t="e">
        <f t="shared" ca="1" si="101"/>
        <v>#NAME?</v>
      </c>
      <c r="FX33" s="209" t="e">
        <f t="shared" ca="1" si="102"/>
        <v>#NAME?</v>
      </c>
      <c r="FY33" s="211" t="e">
        <f t="shared" ca="1" si="103"/>
        <v>#NAME?</v>
      </c>
      <c r="FZ33" s="36" t="str">
        <f t="shared" si="104"/>
        <v>Yes</v>
      </c>
      <c r="GA33" s="196">
        <f>COUNTIF($FZ$2:$FZ$92, FZ33)/(COUNTIF($FZ$2:$FZ$92, "&lt;&gt;""") - COUNTIF($FZ$2:$FZ$92, ""))</f>
        <v>0.23333333333333334</v>
      </c>
      <c r="GB33" s="196" t="str">
        <f t="shared" si="105"/>
        <v>Low</v>
      </c>
      <c r="GC33" s="196">
        <f>COUNTIF($GB$2:$GB$92, GB33)/(COUNTIF($GB$2:$GB$92, "&lt;&gt;""") - COUNTIF($GB$2:$GB$92, ""))</f>
        <v>0.55555555555555558</v>
      </c>
      <c r="GD33" s="196" t="str">
        <f t="shared" si="106"/>
        <v>High</v>
      </c>
      <c r="GE33" s="196">
        <f>COUNTIF($GD$2:$GD$92, GD33)/(COUNTIF($GD$2:$GD$92, "&lt;&gt;""") - COUNTIF($GD$2:$GD$92, ""))</f>
        <v>0.8</v>
      </c>
      <c r="GF33" s="207"/>
      <c r="GG33" s="36"/>
      <c r="GH33" s="209" t="e">
        <f t="shared" ca="1" si="107"/>
        <v>#NAME?</v>
      </c>
      <c r="GI33" s="212" t="e">
        <f t="shared" ca="1" si="108"/>
        <v>#NAME?</v>
      </c>
    </row>
    <row r="34" spans="1:191" ht="15.75" customHeight="1">
      <c r="A34" s="57"/>
      <c r="B34" s="57" t="s">
        <v>409</v>
      </c>
      <c r="C34" s="49">
        <v>1689683</v>
      </c>
      <c r="D34" s="34" t="s">
        <v>826</v>
      </c>
      <c r="E34" s="230"/>
      <c r="F34" s="50" t="s">
        <v>307</v>
      </c>
      <c r="G34" s="229" t="s">
        <v>827</v>
      </c>
      <c r="H34" s="221" t="s">
        <v>828</v>
      </c>
      <c r="I34" s="82">
        <v>43908</v>
      </c>
      <c r="J34" s="34" t="s">
        <v>829</v>
      </c>
      <c r="K34" s="34" t="s">
        <v>826</v>
      </c>
      <c r="M34" s="35" t="s">
        <v>293</v>
      </c>
      <c r="N34" s="50" t="s">
        <v>168</v>
      </c>
      <c r="O34" s="50" t="s">
        <v>30</v>
      </c>
      <c r="P34" s="50" t="s">
        <v>31</v>
      </c>
      <c r="Q34" s="50" t="s">
        <v>35</v>
      </c>
      <c r="R34" s="176"/>
      <c r="S34" s="50" t="s">
        <v>176</v>
      </c>
      <c r="T34" s="177"/>
      <c r="U34" s="178"/>
      <c r="V34" s="180"/>
      <c r="W34" s="65">
        <v>4000000</v>
      </c>
      <c r="X34" s="61">
        <v>0.2</v>
      </c>
      <c r="Y34" s="55">
        <f t="shared" si="115"/>
        <v>3200000</v>
      </c>
      <c r="Z34" s="274">
        <f t="shared" si="116"/>
        <v>3200000</v>
      </c>
      <c r="AA34" s="183" t="e">
        <f t="shared" ca="1" si="117"/>
        <v>#NAME?</v>
      </c>
      <c r="AB34" s="50" t="s">
        <v>36</v>
      </c>
      <c r="AC34" s="50" t="s">
        <v>218</v>
      </c>
      <c r="AD34" s="50" t="s">
        <v>38</v>
      </c>
      <c r="AE34" s="50" t="s">
        <v>190</v>
      </c>
      <c r="AF34" s="50" t="s">
        <v>181</v>
      </c>
      <c r="AG34" s="35" t="s">
        <v>39</v>
      </c>
      <c r="AH34" s="50" t="s">
        <v>227</v>
      </c>
      <c r="AI34" s="83"/>
      <c r="AJ34" s="277">
        <v>806000000000</v>
      </c>
      <c r="AK34" s="224" t="e">
        <f t="shared" ca="1" si="118"/>
        <v>#NAME?</v>
      </c>
      <c r="AL34" s="277">
        <v>12500000000</v>
      </c>
      <c r="AM34" s="224" t="e">
        <f t="shared" ca="1" si="119"/>
        <v>#NAME?</v>
      </c>
      <c r="AN34" s="277">
        <v>0.11799999999999999</v>
      </c>
      <c r="AO34" s="185" t="e">
        <f t="shared" ca="1" si="63"/>
        <v>#NAME?</v>
      </c>
      <c r="AP34" s="185" t="s">
        <v>169</v>
      </c>
      <c r="AQ34" s="35" t="s">
        <v>39</v>
      </c>
      <c r="AR34" s="50" t="s">
        <v>181</v>
      </c>
      <c r="AS34" s="50" t="s">
        <v>42</v>
      </c>
      <c r="AT34" s="34" t="s">
        <v>181</v>
      </c>
      <c r="AU34" s="35" t="s">
        <v>39</v>
      </c>
      <c r="AV34" s="50" t="s">
        <v>190</v>
      </c>
      <c r="AW34" s="50" t="s">
        <v>190</v>
      </c>
      <c r="AX34" s="50" t="s">
        <v>227</v>
      </c>
      <c r="AY34" s="50" t="s">
        <v>227</v>
      </c>
      <c r="AZ34" s="65">
        <v>489576</v>
      </c>
      <c r="BA34" s="55" t="e">
        <f t="shared" ca="1" si="120"/>
        <v>#NAME?</v>
      </c>
      <c r="BB34" s="277">
        <v>12123</v>
      </c>
      <c r="BC34" s="277">
        <v>0</v>
      </c>
      <c r="BD34" s="62" t="e">
        <f t="shared" ca="1" si="121"/>
        <v>#NAME?</v>
      </c>
      <c r="BE34" s="277">
        <f t="shared" si="122"/>
        <v>1</v>
      </c>
      <c r="BF34" s="62" t="e">
        <f t="shared" ca="1" si="123"/>
        <v>#NAME?</v>
      </c>
      <c r="BG34" s="50" t="s">
        <v>202</v>
      </c>
      <c r="BH34" s="176"/>
      <c r="BI34" s="50" t="s">
        <v>227</v>
      </c>
      <c r="BJ34" s="49">
        <v>9</v>
      </c>
      <c r="BK34" s="277">
        <v>1</v>
      </c>
      <c r="BL34" s="50" t="s">
        <v>190</v>
      </c>
      <c r="BM34" s="50" t="s">
        <v>190</v>
      </c>
      <c r="BN34" s="50" t="s">
        <v>190</v>
      </c>
      <c r="BO34" s="50" t="s">
        <v>190</v>
      </c>
      <c r="BP34" s="49">
        <v>1</v>
      </c>
      <c r="BQ34" s="49">
        <v>2</v>
      </c>
      <c r="BR34" s="49">
        <v>0</v>
      </c>
      <c r="BS34" s="49">
        <v>0</v>
      </c>
      <c r="BT34" s="203"/>
      <c r="BU34" s="48">
        <v>9</v>
      </c>
      <c r="BV34" s="48">
        <v>0</v>
      </c>
      <c r="BW34" s="48">
        <v>39</v>
      </c>
      <c r="BX34" s="34" t="s">
        <v>190</v>
      </c>
      <c r="BY34" s="203"/>
      <c r="BZ34" s="57"/>
      <c r="CA34" s="57"/>
      <c r="CB34" s="57"/>
      <c r="CC34" s="57"/>
      <c r="CD34" s="203"/>
      <c r="CE34" s="57"/>
      <c r="CF34" s="57"/>
      <c r="CG34" s="57"/>
      <c r="CH34" s="57"/>
      <c r="CI34" s="203"/>
      <c r="CJ34" s="57"/>
      <c r="CK34" s="57"/>
      <c r="CL34" s="57"/>
      <c r="CM34" s="57"/>
      <c r="CN34" s="203"/>
      <c r="CO34" s="57"/>
      <c r="CP34" s="57"/>
      <c r="CQ34" s="57"/>
      <c r="CR34" s="57"/>
      <c r="CS34" s="203"/>
      <c r="CT34" s="57"/>
      <c r="CU34" s="57"/>
      <c r="CV34" s="57"/>
      <c r="CW34" s="57"/>
      <c r="CX34" s="203"/>
      <c r="CY34" s="57"/>
      <c r="CZ34" s="57"/>
      <c r="DA34" s="57"/>
      <c r="DB34" s="57"/>
      <c r="DC34" s="203"/>
      <c r="DD34" s="57"/>
      <c r="DE34" s="57"/>
      <c r="DF34" s="57"/>
      <c r="DG34" s="57"/>
      <c r="DH34" s="203"/>
      <c r="DI34" s="57"/>
      <c r="DJ34" s="57"/>
      <c r="DK34" s="57"/>
      <c r="DL34" s="57"/>
      <c r="DM34" s="204"/>
      <c r="DN34" s="205"/>
      <c r="DO34" s="205"/>
      <c r="DQ34" s="206"/>
      <c r="DR34" s="188">
        <f t="shared" si="64"/>
        <v>9</v>
      </c>
      <c r="DS34" s="188"/>
      <c r="DT34" s="189">
        <f t="shared" si="65"/>
        <v>0</v>
      </c>
      <c r="DU34" s="189"/>
      <c r="DV34" s="188">
        <f t="shared" si="66"/>
        <v>39</v>
      </c>
      <c r="DW34" s="183" t="e">
        <f t="shared" ca="1" si="67"/>
        <v>#NAME?</v>
      </c>
      <c r="DX34" s="207"/>
      <c r="DY34" s="190" t="e">
        <f t="shared" ca="1" si="68"/>
        <v>#NAME?</v>
      </c>
      <c r="DZ34" s="191">
        <f t="shared" si="69"/>
        <v>3.1052631578947367</v>
      </c>
      <c r="EA34" s="191" t="str">
        <f t="shared" si="70"/>
        <v/>
      </c>
      <c r="EB34" s="191" t="str">
        <f t="shared" si="71"/>
        <v/>
      </c>
      <c r="EC34" s="208" t="e">
        <f t="shared" ca="1" si="72"/>
        <v>#NAME?</v>
      </c>
      <c r="ED34" s="36" t="str">
        <f t="shared" si="73"/>
        <v>Convertible Note</v>
      </c>
      <c r="EE34" s="193">
        <f>COUNTIF($ED$2:$ED$92, ED34)/(COUNTIF($ED$2:$ED$92, "&lt;&gt;""") - COUNTIF($ED$2:$ED$92, ""))</f>
        <v>0.13333333333333333</v>
      </c>
      <c r="EF34" s="36" t="str">
        <f t="shared" si="74"/>
        <v>Early</v>
      </c>
      <c r="EG34" s="207"/>
      <c r="EH34" s="194" t="e">
        <f t="shared" ca="1" si="75"/>
        <v>#NAME?</v>
      </c>
      <c r="EI34" s="194" t="e">
        <f t="shared" ca="1" si="76"/>
        <v>#NAME?</v>
      </c>
      <c r="EJ34" s="209" t="e">
        <f t="shared" ca="1" si="77"/>
        <v>#NAME?</v>
      </c>
      <c r="EK34" s="208" t="e">
        <f t="shared" ca="1" si="78"/>
        <v>#NAME?</v>
      </c>
      <c r="EL34" s="36" t="str">
        <f t="shared" si="79"/>
        <v>No</v>
      </c>
      <c r="EM34" s="207"/>
      <c r="EN34" s="192">
        <f t="shared" si="80"/>
        <v>1.8571428571428572</v>
      </c>
      <c r="EO34" s="192">
        <f t="shared" si="81"/>
        <v>1</v>
      </c>
      <c r="EP34" s="209">
        <f t="shared" si="82"/>
        <v>2.8571428571428572</v>
      </c>
      <c r="EQ34" s="210">
        <f t="shared" si="83"/>
        <v>1.6728971962616823</v>
      </c>
      <c r="ER34" s="36" t="e">
        <f t="shared" ca="1" si="84"/>
        <v>#NAME?</v>
      </c>
      <c r="ES34" s="40">
        <f ca="1">COUNTIF($ER$2:$ER$92, ER34)/(COUNTIF($ER$2:$ER$92, "&lt;&gt;""") - COUNTIF($ER$2:$ER$92, ""))</f>
        <v>1</v>
      </c>
      <c r="ET34" s="36">
        <f t="shared" si="85"/>
        <v>1</v>
      </c>
      <c r="EU34" s="40">
        <f>COUNTIF($ET$2:$ET$92, ET34)/(COUNTIF($ET$2:$ET$92, "&lt;&gt;""") - COUNTIF($ET$2:$ET$92, ""))</f>
        <v>0.45555555555555555</v>
      </c>
      <c r="EV34" s="36">
        <f t="shared" si="86"/>
        <v>2</v>
      </c>
      <c r="EW34" s="40">
        <f>COUNTIF($EV$2:$EV$92, EV34)/(COUNTIF($EV$2:$EV$92, "&lt;&gt;""") - COUNTIF($EV$2:$EV$92, ""))</f>
        <v>0.15555555555555556</v>
      </c>
      <c r="EX34" s="36" t="str">
        <f t="shared" si="87"/>
        <v>No</v>
      </c>
      <c r="EY34" s="40">
        <f>COUNTIF($EX$2:$EX$92, EX34)/(COUNTIF($EX$2:$EX$92, "&lt;&gt;""") - COUNTIF($EX$2:$EX$92, ""))</f>
        <v>0.72222222222222221</v>
      </c>
      <c r="EZ34" s="36" t="str">
        <f t="shared" ref="EZ34:FB34" si="138">BM34</f>
        <v>No</v>
      </c>
      <c r="FA34" s="36" t="str">
        <f t="shared" si="138"/>
        <v>No</v>
      </c>
      <c r="FB34" s="36" t="str">
        <f t="shared" si="138"/>
        <v>No</v>
      </c>
      <c r="FC34" s="207"/>
      <c r="FD34" s="36" t="str">
        <f t="shared" si="89"/>
        <v>Transactional</v>
      </c>
      <c r="FE34" s="40">
        <f>COUNTIF($FD$2:$FD$92, FD34)/(COUNTIF($FD$2:$FD$92, "&lt;&gt;""") - COUNTIF($FD$2:$FD$92, ""))</f>
        <v>0.6</v>
      </c>
      <c r="FF34" s="36" t="str">
        <f t="shared" si="90"/>
        <v>B2B/B2C</v>
      </c>
      <c r="FG34" s="40">
        <f>COUNTIF($FF$2:$FF$92, FF34)/(COUNTIF($FF$2:$FF$92, "&lt;&gt;""") - COUNTIF($FF$2:$FF$92, ""))</f>
        <v>0.27777777777777779</v>
      </c>
      <c r="FH34" s="36" t="str">
        <f t="shared" si="91"/>
        <v>Low</v>
      </c>
      <c r="FI34" s="40">
        <f>COUNTIF($FH$2:$FH$92, FH34)/(COUNTIF($FH$2:$FH$92, "&lt;&gt;""") - COUNTIF($FH$2:$FH$92, ""))</f>
        <v>0.46666666666666667</v>
      </c>
      <c r="FJ34" s="36" t="str">
        <f t="shared" si="92"/>
        <v>High</v>
      </c>
      <c r="FK34" s="40">
        <f>COUNTIF($FJ$2:$FJ$92, FJ34)/(COUNTIF($FJ$2:$FJ$92, "&lt;&gt;""") - COUNTIF($FJ$2:$FJ$92, ""))</f>
        <v>0.58888888888888891</v>
      </c>
      <c r="FL34" s="207"/>
      <c r="FM34" s="192">
        <f t="shared" si="93"/>
        <v>5</v>
      </c>
      <c r="FN34" s="192" t="e">
        <f t="shared" ca="1" si="94"/>
        <v>#NAME?</v>
      </c>
      <c r="FO34" s="192" t="e">
        <f t="shared" ca="1" si="95"/>
        <v>#NAME?</v>
      </c>
      <c r="FP34" s="192" t="e">
        <f t="shared" ca="1" si="96"/>
        <v>#NAME?</v>
      </c>
      <c r="FQ34" s="209" t="e">
        <f t="shared" ca="1" si="97"/>
        <v>#NAME?</v>
      </c>
      <c r="FR34" s="208" t="e">
        <f t="shared" ca="1" si="98"/>
        <v>#NAME?</v>
      </c>
      <c r="FS34" s="36" t="str">
        <f t="shared" si="99"/>
        <v>Pre-Profit</v>
      </c>
      <c r="FT34" s="196">
        <f>COUNTIF($FS$2:$FS$92, FS34)/(COUNTIF($FS$2:$FS$92, "&lt;&gt;""") - COUNTIF($FZ$2:$FZ$92, ""))</f>
        <v>0.51111111111111107</v>
      </c>
      <c r="FU34" s="207"/>
      <c r="FV34" s="192">
        <f t="shared" si="100"/>
        <v>3</v>
      </c>
      <c r="FW34" s="197" t="e">
        <f t="shared" ca="1" si="101"/>
        <v>#NAME?</v>
      </c>
      <c r="FX34" s="209" t="e">
        <f t="shared" ca="1" si="102"/>
        <v>#NAME?</v>
      </c>
      <c r="FY34" s="211" t="e">
        <f t="shared" ca="1" si="103"/>
        <v>#NAME?</v>
      </c>
      <c r="FZ34" s="36" t="str">
        <f t="shared" si="104"/>
        <v>No</v>
      </c>
      <c r="GA34" s="196">
        <f>COUNTIF($FZ$2:$FZ$92, FZ34)/(COUNTIF($FZ$2:$FZ$92, "&lt;&gt;""") - COUNTIF($FZ$2:$FZ$92, ""))</f>
        <v>0.76666666666666672</v>
      </c>
      <c r="GB34" s="196" t="str">
        <f t="shared" si="105"/>
        <v>Low</v>
      </c>
      <c r="GC34" s="196">
        <f>COUNTIF($GB$2:$GB$92, GB34)/(COUNTIF($GB$2:$GB$92, "&lt;&gt;""") - COUNTIF($GB$2:$GB$92, ""))</f>
        <v>0.55555555555555558</v>
      </c>
      <c r="GD34" s="196" t="str">
        <f t="shared" si="106"/>
        <v>High</v>
      </c>
      <c r="GE34" s="196">
        <f>COUNTIF($GD$2:$GD$92, GD34)/(COUNTIF($GD$2:$GD$92, "&lt;&gt;""") - COUNTIF($GD$2:$GD$92, ""))</f>
        <v>0.8</v>
      </c>
      <c r="GF34" s="207"/>
      <c r="GG34" s="36"/>
      <c r="GH34" s="209" t="e">
        <f t="shared" ca="1" si="107"/>
        <v>#NAME?</v>
      </c>
      <c r="GI34" s="212" t="e">
        <f t="shared" ca="1" si="108"/>
        <v>#NAME?</v>
      </c>
    </row>
    <row r="35" spans="1:191" ht="15.75" customHeight="1">
      <c r="A35" s="57"/>
      <c r="B35" s="57" t="s">
        <v>409</v>
      </c>
      <c r="C35" s="49">
        <v>1807032</v>
      </c>
      <c r="D35" s="34" t="s">
        <v>830</v>
      </c>
      <c r="E35" s="230"/>
      <c r="F35" s="50" t="s">
        <v>337</v>
      </c>
      <c r="G35" s="229" t="s">
        <v>831</v>
      </c>
      <c r="H35" s="221" t="s">
        <v>832</v>
      </c>
      <c r="I35" s="82">
        <v>43909</v>
      </c>
      <c r="J35" s="34" t="s">
        <v>830</v>
      </c>
      <c r="K35" s="34" t="s">
        <v>833</v>
      </c>
      <c r="M35" s="35" t="s">
        <v>171</v>
      </c>
      <c r="N35" s="50" t="s">
        <v>168</v>
      </c>
      <c r="O35" s="50" t="s">
        <v>30</v>
      </c>
      <c r="P35" s="50" t="s">
        <v>31</v>
      </c>
      <c r="Q35" s="50" t="s">
        <v>35</v>
      </c>
      <c r="R35" s="176"/>
      <c r="S35" s="50" t="s">
        <v>216</v>
      </c>
      <c r="T35" s="177"/>
      <c r="U35" s="178"/>
      <c r="V35" s="65">
        <v>7100000</v>
      </c>
      <c r="W35" s="180"/>
      <c r="X35" s="181"/>
      <c r="Y35" s="55" t="str">
        <f t="shared" si="115"/>
        <v/>
      </c>
      <c r="Z35" s="274">
        <f t="shared" si="116"/>
        <v>7100000</v>
      </c>
      <c r="AA35" s="183" t="e">
        <f t="shared" ca="1" si="117"/>
        <v>#NAME?</v>
      </c>
      <c r="AB35" s="50" t="s">
        <v>36</v>
      </c>
      <c r="AC35" s="50" t="s">
        <v>179</v>
      </c>
      <c r="AD35" s="50" t="s">
        <v>38</v>
      </c>
      <c r="AE35" s="50" t="s">
        <v>190</v>
      </c>
      <c r="AF35" s="50" t="s">
        <v>181</v>
      </c>
      <c r="AG35" s="35" t="s">
        <v>39</v>
      </c>
      <c r="AH35" s="50" t="s">
        <v>190</v>
      </c>
      <c r="AI35" s="83"/>
      <c r="AJ35" s="277">
        <v>207600000000</v>
      </c>
      <c r="AK35" s="224" t="e">
        <f t="shared" ca="1" si="118"/>
        <v>#NAME?</v>
      </c>
      <c r="AL35" s="277">
        <v>28800000</v>
      </c>
      <c r="AM35" s="224" t="e">
        <f t="shared" ca="1" si="119"/>
        <v>#NAME?</v>
      </c>
      <c r="AN35" s="277">
        <v>6.2E-2</v>
      </c>
      <c r="AO35" s="185" t="e">
        <f t="shared" ca="1" si="63"/>
        <v>#NAME?</v>
      </c>
      <c r="AP35" s="185" t="s">
        <v>242</v>
      </c>
      <c r="AQ35" s="35" t="s">
        <v>39</v>
      </c>
      <c r="AR35" s="50" t="s">
        <v>181</v>
      </c>
      <c r="AS35" s="50" t="s">
        <v>42</v>
      </c>
      <c r="AT35" s="34" t="s">
        <v>181</v>
      </c>
      <c r="AU35" s="35" t="s">
        <v>39</v>
      </c>
      <c r="AV35" s="50" t="s">
        <v>227</v>
      </c>
      <c r="AW35" s="50" t="s">
        <v>190</v>
      </c>
      <c r="AX35" s="50" t="s">
        <v>227</v>
      </c>
      <c r="AY35" s="50" t="s">
        <v>227</v>
      </c>
      <c r="AZ35" s="65">
        <v>244163</v>
      </c>
      <c r="BA35" s="55" t="e">
        <f t="shared" ca="1" si="120"/>
        <v>#NAME?</v>
      </c>
      <c r="BB35" s="277">
        <v>2256</v>
      </c>
      <c r="BC35" s="277">
        <v>0</v>
      </c>
      <c r="BD35" s="62" t="e">
        <f t="shared" ca="1" si="121"/>
        <v>#NAME?</v>
      </c>
      <c r="BE35" s="277">
        <f t="shared" si="122"/>
        <v>1</v>
      </c>
      <c r="BF35" s="62" t="e">
        <f t="shared" ca="1" si="123"/>
        <v>#NAME?</v>
      </c>
      <c r="BG35" s="50" t="s">
        <v>202</v>
      </c>
      <c r="BH35" s="176"/>
      <c r="BI35" s="50" t="s">
        <v>227</v>
      </c>
      <c r="BJ35" s="49">
        <v>1</v>
      </c>
      <c r="BK35" s="277">
        <v>1</v>
      </c>
      <c r="BL35" s="50" t="s">
        <v>190</v>
      </c>
      <c r="BM35" s="50" t="s">
        <v>190</v>
      </c>
      <c r="BN35" s="50" t="s">
        <v>190</v>
      </c>
      <c r="BO35" s="50" t="s">
        <v>190</v>
      </c>
      <c r="BP35" s="49">
        <v>1</v>
      </c>
      <c r="BQ35" s="49">
        <v>3</v>
      </c>
      <c r="BR35" s="49">
        <v>0</v>
      </c>
      <c r="BS35" s="49">
        <v>0</v>
      </c>
      <c r="BT35" s="203"/>
      <c r="BU35" s="48">
        <v>0</v>
      </c>
      <c r="BV35" s="48">
        <v>0</v>
      </c>
      <c r="BW35" s="48">
        <v>30</v>
      </c>
      <c r="BX35" s="34" t="s">
        <v>227</v>
      </c>
      <c r="BY35" s="203"/>
      <c r="BZ35" s="57"/>
      <c r="CA35" s="57"/>
      <c r="CB35" s="57"/>
      <c r="CC35" s="57"/>
      <c r="CD35" s="203"/>
      <c r="CE35" s="57"/>
      <c r="CF35" s="57"/>
      <c r="CG35" s="57"/>
      <c r="CH35" s="57"/>
      <c r="CI35" s="203"/>
      <c r="CJ35" s="57"/>
      <c r="CK35" s="57"/>
      <c r="CL35" s="57"/>
      <c r="CM35" s="57"/>
      <c r="CN35" s="203"/>
      <c r="CO35" s="186"/>
      <c r="CP35" s="186"/>
      <c r="CQ35" s="186"/>
      <c r="CR35" s="57"/>
      <c r="CS35" s="203"/>
      <c r="CT35" s="186"/>
      <c r="CU35" s="186"/>
      <c r="CV35" s="186"/>
      <c r="CW35" s="57"/>
      <c r="CX35" s="203"/>
      <c r="CY35" s="186"/>
      <c r="CZ35" s="186"/>
      <c r="DA35" s="186"/>
      <c r="DB35" s="57"/>
      <c r="DC35" s="203"/>
      <c r="DD35" s="186"/>
      <c r="DE35" s="186"/>
      <c r="DF35" s="186"/>
      <c r="DG35" s="57"/>
      <c r="DH35" s="203"/>
      <c r="DI35" s="186"/>
      <c r="DJ35" s="186"/>
      <c r="DK35" s="186"/>
      <c r="DL35" s="57"/>
      <c r="DM35" s="204"/>
      <c r="DN35" s="205"/>
      <c r="DO35" s="205"/>
      <c r="DQ35" s="206"/>
      <c r="DR35" s="188">
        <f t="shared" si="64"/>
        <v>0</v>
      </c>
      <c r="DS35" s="188"/>
      <c r="DT35" s="189">
        <f t="shared" si="65"/>
        <v>0</v>
      </c>
      <c r="DU35" s="189"/>
      <c r="DV35" s="188">
        <f t="shared" si="66"/>
        <v>30</v>
      </c>
      <c r="DW35" s="183" t="e">
        <f t="shared" ca="1" si="67"/>
        <v>#NAME?</v>
      </c>
      <c r="DX35" s="207"/>
      <c r="DY35" s="190" t="e">
        <f t="shared" ca="1" si="68"/>
        <v>#NAME?</v>
      </c>
      <c r="DZ35" s="191" t="str">
        <f t="shared" si="69"/>
        <v/>
      </c>
      <c r="EA35" s="191" t="str">
        <f t="shared" si="70"/>
        <v/>
      </c>
      <c r="EB35" s="191" t="str">
        <f t="shared" si="71"/>
        <v/>
      </c>
      <c r="EC35" s="208" t="e">
        <f t="shared" ca="1" si="72"/>
        <v>#NAME?</v>
      </c>
      <c r="ED35" s="36" t="str">
        <f t="shared" si="73"/>
        <v>Equity - Common</v>
      </c>
      <c r="EE35" s="193">
        <f>COUNTIF($ED$2:$ED$92, ED35)/(COUNTIF($ED$2:$ED$92, "&lt;&gt;""") - COUNTIF($ED$2:$ED$92, ""))</f>
        <v>0.32222222222222224</v>
      </c>
      <c r="EF35" s="36" t="str">
        <f t="shared" si="74"/>
        <v>Early</v>
      </c>
      <c r="EG35" s="207"/>
      <c r="EH35" s="194" t="e">
        <f t="shared" ca="1" si="75"/>
        <v>#NAME?</v>
      </c>
      <c r="EI35" s="194" t="e">
        <f t="shared" ca="1" si="76"/>
        <v>#NAME?</v>
      </c>
      <c r="EJ35" s="209" t="e">
        <f t="shared" ca="1" si="77"/>
        <v>#NAME?</v>
      </c>
      <c r="EK35" s="208" t="e">
        <f t="shared" ca="1" si="78"/>
        <v>#NAME?</v>
      </c>
      <c r="EL35" s="36" t="str">
        <f t="shared" si="79"/>
        <v>Yes</v>
      </c>
      <c r="EM35" s="207"/>
      <c r="EN35" s="192">
        <f t="shared" si="80"/>
        <v>1</v>
      </c>
      <c r="EO35" s="192">
        <f t="shared" si="81"/>
        <v>1</v>
      </c>
      <c r="EP35" s="209">
        <f t="shared" si="82"/>
        <v>2</v>
      </c>
      <c r="EQ35" s="210">
        <f t="shared" si="83"/>
        <v>1</v>
      </c>
      <c r="ER35" s="36" t="e">
        <f t="shared" ca="1" si="84"/>
        <v>#NAME?</v>
      </c>
      <c r="ES35" s="40">
        <f ca="1">COUNTIF($ER$2:$ER$92, ER35)/(COUNTIF($ER$2:$ER$92, "&lt;&gt;""") - COUNTIF($ER$2:$ER$92, ""))</f>
        <v>1</v>
      </c>
      <c r="ET35" s="36">
        <f t="shared" si="85"/>
        <v>1</v>
      </c>
      <c r="EU35" s="40">
        <f>COUNTIF($ET$2:$ET$92, ET35)/(COUNTIF($ET$2:$ET$92, "&lt;&gt;""") - COUNTIF($ET$2:$ET$92, ""))</f>
        <v>0.45555555555555555</v>
      </c>
      <c r="EV35" s="36">
        <f t="shared" si="86"/>
        <v>3</v>
      </c>
      <c r="EW35" s="40">
        <f>COUNTIF($EV$2:$EV$92, EV35)/(COUNTIF($EV$2:$EV$92, "&lt;&gt;""") - COUNTIF($EV$2:$EV$92, ""))</f>
        <v>8.8888888888888892E-2</v>
      </c>
      <c r="EX35" s="36" t="str">
        <f t="shared" si="87"/>
        <v>No</v>
      </c>
      <c r="EY35" s="40">
        <f>COUNTIF($EX$2:$EX$92, EX35)/(COUNTIF($EX$2:$EX$92, "&lt;&gt;""") - COUNTIF($EX$2:$EX$92, ""))</f>
        <v>0.72222222222222221</v>
      </c>
      <c r="EZ35" s="36" t="str">
        <f t="shared" ref="EZ35:FB35" si="139">BM35</f>
        <v>No</v>
      </c>
      <c r="FA35" s="36" t="str">
        <f t="shared" si="139"/>
        <v>No</v>
      </c>
      <c r="FB35" s="36" t="str">
        <f t="shared" si="139"/>
        <v>No</v>
      </c>
      <c r="FC35" s="207"/>
      <c r="FD35" s="36" t="str">
        <f t="shared" si="89"/>
        <v>Transactional</v>
      </c>
      <c r="FE35" s="40">
        <f>COUNTIF($FD$2:$FD$92, FD35)/(COUNTIF($FD$2:$FD$92, "&lt;&gt;""") - COUNTIF($FD$2:$FD$92, ""))</f>
        <v>0.6</v>
      </c>
      <c r="FF35" s="36" t="str">
        <f t="shared" si="90"/>
        <v>B2C</v>
      </c>
      <c r="FG35" s="40">
        <f>COUNTIF($FF$2:$FF$92, FF35)/(COUNTIF($FF$2:$FF$92, "&lt;&gt;""") - COUNTIF($FF$2:$FF$92, ""))</f>
        <v>0.41111111111111109</v>
      </c>
      <c r="FH35" s="36" t="str">
        <f t="shared" si="91"/>
        <v>Low</v>
      </c>
      <c r="FI35" s="40">
        <f>COUNTIF($FH$2:$FH$92, FH35)/(COUNTIF($FH$2:$FH$92, "&lt;&gt;""") - COUNTIF($FH$2:$FH$92, ""))</f>
        <v>0.46666666666666667</v>
      </c>
      <c r="FJ35" s="36" t="str">
        <f t="shared" si="92"/>
        <v>High</v>
      </c>
      <c r="FK35" s="40">
        <f>COUNTIF($FJ$2:$FJ$92, FJ35)/(COUNTIF($FJ$2:$FJ$92, "&lt;&gt;""") - COUNTIF($FJ$2:$FJ$92, ""))</f>
        <v>0.58888888888888891</v>
      </c>
      <c r="FL35" s="207"/>
      <c r="FM35" s="192">
        <f t="shared" si="93"/>
        <v>5</v>
      </c>
      <c r="FN35" s="192" t="e">
        <f t="shared" ca="1" si="94"/>
        <v>#NAME?</v>
      </c>
      <c r="FO35" s="192" t="e">
        <f t="shared" ca="1" si="95"/>
        <v>#NAME?</v>
      </c>
      <c r="FP35" s="192" t="e">
        <f t="shared" ca="1" si="96"/>
        <v>#NAME?</v>
      </c>
      <c r="FQ35" s="209" t="e">
        <f t="shared" ca="1" si="97"/>
        <v>#NAME?</v>
      </c>
      <c r="FR35" s="208" t="e">
        <f t="shared" ca="1" si="98"/>
        <v>#NAME?</v>
      </c>
      <c r="FS35" s="36" t="str">
        <f t="shared" si="99"/>
        <v>Pre-Profit</v>
      </c>
      <c r="FT35" s="196">
        <f>COUNTIF($FS$2:$FS$92, FS35)/(COUNTIF($FS$2:$FS$92, "&lt;&gt;""") - COUNTIF($FZ$2:$FZ$92, ""))</f>
        <v>0.51111111111111107</v>
      </c>
      <c r="FU35" s="207"/>
      <c r="FV35" s="192">
        <f t="shared" si="100"/>
        <v>3</v>
      </c>
      <c r="FW35" s="197" t="e">
        <f t="shared" ca="1" si="101"/>
        <v>#NAME?</v>
      </c>
      <c r="FX35" s="209" t="e">
        <f t="shared" ca="1" si="102"/>
        <v>#NAME?</v>
      </c>
      <c r="FY35" s="211" t="e">
        <f t="shared" ca="1" si="103"/>
        <v>#NAME?</v>
      </c>
      <c r="FZ35" s="36" t="str">
        <f t="shared" si="104"/>
        <v>No</v>
      </c>
      <c r="GA35" s="196">
        <f>COUNTIF($FZ$2:$FZ$92, FZ35)/(COUNTIF($FZ$2:$FZ$92, "&lt;&gt;""") - COUNTIF($FZ$2:$FZ$92, ""))</f>
        <v>0.76666666666666672</v>
      </c>
      <c r="GB35" s="196" t="str">
        <f t="shared" si="105"/>
        <v>Low</v>
      </c>
      <c r="GC35" s="196">
        <f>COUNTIF($GB$2:$GB$92, GB35)/(COUNTIF($GB$2:$GB$92, "&lt;&gt;""") - COUNTIF($GB$2:$GB$92, ""))</f>
        <v>0.55555555555555558</v>
      </c>
      <c r="GD35" s="196" t="str">
        <f t="shared" si="106"/>
        <v>High</v>
      </c>
      <c r="GE35" s="196">
        <f>COUNTIF($GD$2:$GD$92, GD35)/(COUNTIF($GD$2:$GD$92, "&lt;&gt;""") - COUNTIF($GD$2:$GD$92, ""))</f>
        <v>0.8</v>
      </c>
      <c r="GF35" s="207"/>
      <c r="GG35" s="36"/>
      <c r="GH35" s="209" t="e">
        <f t="shared" ca="1" si="107"/>
        <v>#NAME?</v>
      </c>
      <c r="GI35" s="212" t="e">
        <f t="shared" ca="1" si="108"/>
        <v>#NAME?</v>
      </c>
    </row>
    <row r="36" spans="1:191" ht="15.75" customHeight="1">
      <c r="A36" s="57"/>
      <c r="B36" s="57" t="s">
        <v>409</v>
      </c>
      <c r="C36" s="49">
        <v>1805193</v>
      </c>
      <c r="D36" s="34" t="s">
        <v>834</v>
      </c>
      <c r="E36" s="230"/>
      <c r="F36" s="50" t="s">
        <v>337</v>
      </c>
      <c r="G36" s="229" t="s">
        <v>835</v>
      </c>
      <c r="H36" s="221" t="s">
        <v>836</v>
      </c>
      <c r="I36" s="82">
        <v>43909</v>
      </c>
      <c r="J36" s="34" t="s">
        <v>837</v>
      </c>
      <c r="K36" s="34" t="s">
        <v>834</v>
      </c>
      <c r="M36" s="50" t="s">
        <v>171</v>
      </c>
      <c r="N36" s="50" t="s">
        <v>168</v>
      </c>
      <c r="O36" s="50" t="s">
        <v>30</v>
      </c>
      <c r="P36" s="50" t="s">
        <v>31</v>
      </c>
      <c r="Q36" s="50" t="s">
        <v>35</v>
      </c>
      <c r="R36" s="176"/>
      <c r="S36" s="50" t="s">
        <v>216</v>
      </c>
      <c r="T36" s="177"/>
      <c r="U36" s="178"/>
      <c r="V36" s="65">
        <v>5490000</v>
      </c>
      <c r="W36" s="180"/>
      <c r="X36" s="181"/>
      <c r="Y36" s="55" t="str">
        <f t="shared" si="115"/>
        <v/>
      </c>
      <c r="Z36" s="274">
        <f t="shared" si="116"/>
        <v>5490000</v>
      </c>
      <c r="AA36" s="183" t="e">
        <f t="shared" ca="1" si="117"/>
        <v>#NAME?</v>
      </c>
      <c r="AB36" s="50" t="s">
        <v>36</v>
      </c>
      <c r="AC36" s="50" t="s">
        <v>179</v>
      </c>
      <c r="AD36" s="50" t="s">
        <v>38</v>
      </c>
      <c r="AE36" s="50" t="s">
        <v>190</v>
      </c>
      <c r="AF36" s="50" t="s">
        <v>181</v>
      </c>
      <c r="AG36" s="35" t="s">
        <v>39</v>
      </c>
      <c r="AH36" s="50" t="s">
        <v>190</v>
      </c>
      <c r="AI36" s="83"/>
      <c r="AJ36" s="277">
        <v>25000000000</v>
      </c>
      <c r="AK36" s="224" t="e">
        <f t="shared" ca="1" si="118"/>
        <v>#NAME?</v>
      </c>
      <c r="AL36" s="277">
        <v>3600000000</v>
      </c>
      <c r="AM36" s="224" t="e">
        <f t="shared" ca="1" si="119"/>
        <v>#NAME?</v>
      </c>
      <c r="AN36" s="277">
        <v>6.5000000000000002E-2</v>
      </c>
      <c r="AO36" s="185" t="e">
        <f t="shared" ca="1" si="63"/>
        <v>#NAME?</v>
      </c>
      <c r="AP36" s="185" t="s">
        <v>228</v>
      </c>
      <c r="AQ36" s="50" t="s">
        <v>181</v>
      </c>
      <c r="AR36" s="50" t="s">
        <v>181</v>
      </c>
      <c r="AS36" s="50" t="s">
        <v>42</v>
      </c>
      <c r="AT36" s="34" t="s">
        <v>181</v>
      </c>
      <c r="AU36" s="34" t="s">
        <v>181</v>
      </c>
      <c r="AV36" s="50" t="s">
        <v>190</v>
      </c>
      <c r="AW36" s="50" t="s">
        <v>190</v>
      </c>
      <c r="AX36" s="50" t="s">
        <v>227</v>
      </c>
      <c r="AY36" s="50" t="s">
        <v>227</v>
      </c>
      <c r="AZ36" s="65">
        <v>492684</v>
      </c>
      <c r="BA36" s="55" t="e">
        <f t="shared" ca="1" si="120"/>
        <v>#NAME?</v>
      </c>
      <c r="BB36" s="277">
        <v>2491</v>
      </c>
      <c r="BC36" s="277">
        <v>0</v>
      </c>
      <c r="BD36" s="62" t="e">
        <f t="shared" ca="1" si="121"/>
        <v>#NAME?</v>
      </c>
      <c r="BE36" s="277">
        <f t="shared" si="122"/>
        <v>1</v>
      </c>
      <c r="BF36" s="62" t="e">
        <f t="shared" ca="1" si="123"/>
        <v>#NAME?</v>
      </c>
      <c r="BG36" s="50" t="s">
        <v>202</v>
      </c>
      <c r="BH36" s="176"/>
      <c r="BI36" s="50" t="s">
        <v>190</v>
      </c>
      <c r="BJ36" s="49">
        <v>0</v>
      </c>
      <c r="BK36" s="277">
        <v>1</v>
      </c>
      <c r="BL36" s="50" t="s">
        <v>190</v>
      </c>
      <c r="BM36" s="50" t="s">
        <v>190</v>
      </c>
      <c r="BN36" s="50" t="s">
        <v>190</v>
      </c>
      <c r="BO36" s="50" t="s">
        <v>190</v>
      </c>
      <c r="BP36" s="49">
        <v>1</v>
      </c>
      <c r="BQ36" s="49">
        <v>2</v>
      </c>
      <c r="BR36" s="49">
        <v>0</v>
      </c>
      <c r="BS36" s="49">
        <v>0</v>
      </c>
      <c r="BT36" s="203"/>
      <c r="BU36" s="48">
        <v>0</v>
      </c>
      <c r="BV36" s="48">
        <v>0</v>
      </c>
      <c r="BW36" s="48">
        <v>29</v>
      </c>
      <c r="BX36" s="34" t="s">
        <v>190</v>
      </c>
      <c r="BY36" s="203"/>
      <c r="BZ36" s="176"/>
      <c r="CA36" s="176"/>
      <c r="CB36" s="176"/>
      <c r="CC36" s="176"/>
      <c r="CD36" s="203"/>
      <c r="CE36" s="176"/>
      <c r="CF36" s="176"/>
      <c r="CG36" s="176"/>
      <c r="CH36" s="176"/>
      <c r="CI36" s="203"/>
      <c r="CJ36" s="176"/>
      <c r="CK36" s="176"/>
      <c r="CL36" s="176"/>
      <c r="CM36" s="176"/>
      <c r="CN36" s="203"/>
      <c r="CO36" s="57"/>
      <c r="CP36" s="57"/>
      <c r="CQ36" s="57"/>
      <c r="CR36" s="57"/>
      <c r="CS36" s="203"/>
      <c r="CT36" s="57"/>
      <c r="CU36" s="57"/>
      <c r="CV36" s="57"/>
      <c r="CW36" s="57"/>
      <c r="CX36" s="203"/>
      <c r="CY36" s="57"/>
      <c r="CZ36" s="57"/>
      <c r="DA36" s="57"/>
      <c r="DB36" s="57"/>
      <c r="DC36" s="203"/>
      <c r="DD36" s="57"/>
      <c r="DE36" s="57"/>
      <c r="DF36" s="57"/>
      <c r="DG36" s="57"/>
      <c r="DH36" s="203"/>
      <c r="DI36" s="57"/>
      <c r="DJ36" s="57"/>
      <c r="DK36" s="57"/>
      <c r="DL36" s="57"/>
      <c r="DM36" s="204"/>
      <c r="DN36" s="205"/>
      <c r="DO36" s="205"/>
      <c r="DQ36" s="206"/>
      <c r="DR36" s="188">
        <f t="shared" si="64"/>
        <v>0</v>
      </c>
      <c r="DS36" s="188"/>
      <c r="DT36" s="189">
        <f t="shared" si="65"/>
        <v>0</v>
      </c>
      <c r="DU36" s="189"/>
      <c r="DV36" s="188">
        <f t="shared" si="66"/>
        <v>29</v>
      </c>
      <c r="DW36" s="183" t="e">
        <f t="shared" ca="1" si="67"/>
        <v>#NAME?</v>
      </c>
      <c r="DX36" s="207"/>
      <c r="DY36" s="190" t="e">
        <f t="shared" ca="1" si="68"/>
        <v>#NAME?</v>
      </c>
      <c r="DZ36" s="191" t="str">
        <f t="shared" si="69"/>
        <v/>
      </c>
      <c r="EA36" s="191" t="str">
        <f t="shared" si="70"/>
        <v/>
      </c>
      <c r="EB36" s="191" t="str">
        <f t="shared" si="71"/>
        <v/>
      </c>
      <c r="EC36" s="208" t="e">
        <f t="shared" ca="1" si="72"/>
        <v>#NAME?</v>
      </c>
      <c r="ED36" s="36" t="str">
        <f t="shared" si="73"/>
        <v>Equity - Common</v>
      </c>
      <c r="EE36" s="193">
        <f>COUNTIF($ED$2:$ED$92, ED36)/(COUNTIF($ED$2:$ED$92, "&lt;&gt;""") - COUNTIF($ED$2:$ED$92, ""))</f>
        <v>0.32222222222222224</v>
      </c>
      <c r="EF36" s="36" t="str">
        <f t="shared" si="74"/>
        <v>Early</v>
      </c>
      <c r="EG36" s="207"/>
      <c r="EH36" s="194" t="e">
        <f t="shared" ca="1" si="75"/>
        <v>#NAME?</v>
      </c>
      <c r="EI36" s="194" t="e">
        <f t="shared" ca="1" si="76"/>
        <v>#NAME?</v>
      </c>
      <c r="EJ36" s="209" t="e">
        <f t="shared" ca="1" si="77"/>
        <v>#NAME?</v>
      </c>
      <c r="EK36" s="208" t="e">
        <f t="shared" ca="1" si="78"/>
        <v>#NAME?</v>
      </c>
      <c r="EL36" s="36" t="str">
        <f t="shared" si="79"/>
        <v>No</v>
      </c>
      <c r="EM36" s="207"/>
      <c r="EN36" s="192">
        <f t="shared" si="80"/>
        <v>1</v>
      </c>
      <c r="EO36" s="192">
        <f t="shared" si="81"/>
        <v>1</v>
      </c>
      <c r="EP36" s="209">
        <f t="shared" si="82"/>
        <v>2</v>
      </c>
      <c r="EQ36" s="210">
        <f t="shared" si="83"/>
        <v>1</v>
      </c>
      <c r="ER36" s="36" t="e">
        <f t="shared" ca="1" si="84"/>
        <v>#NAME?</v>
      </c>
      <c r="ES36" s="40">
        <f ca="1">COUNTIF($ER$2:$ER$92, ER36)/(COUNTIF($ER$2:$ER$92, "&lt;&gt;""") - COUNTIF($ER$2:$ER$92, ""))</f>
        <v>1</v>
      </c>
      <c r="ET36" s="36">
        <f t="shared" si="85"/>
        <v>1</v>
      </c>
      <c r="EU36" s="40">
        <f>COUNTIF($ET$2:$ET$92, ET36)/(COUNTIF($ET$2:$ET$92, "&lt;&gt;""") - COUNTIF($ET$2:$ET$92, ""))</f>
        <v>0.45555555555555555</v>
      </c>
      <c r="EV36" s="36">
        <f t="shared" si="86"/>
        <v>2</v>
      </c>
      <c r="EW36" s="40">
        <f>COUNTIF($EV$2:$EV$92, EV36)/(COUNTIF($EV$2:$EV$92, "&lt;&gt;""") - COUNTIF($EV$2:$EV$92, ""))</f>
        <v>0.15555555555555556</v>
      </c>
      <c r="EX36" s="36" t="str">
        <f t="shared" si="87"/>
        <v>No</v>
      </c>
      <c r="EY36" s="40">
        <f>COUNTIF($EX$2:$EX$92, EX36)/(COUNTIF($EX$2:$EX$92, "&lt;&gt;""") - COUNTIF($EX$2:$EX$92, ""))</f>
        <v>0.72222222222222221</v>
      </c>
      <c r="EZ36" s="36" t="str">
        <f t="shared" ref="EZ36:FB36" si="140">BM36</f>
        <v>No</v>
      </c>
      <c r="FA36" s="36" t="str">
        <f t="shared" si="140"/>
        <v>No</v>
      </c>
      <c r="FB36" s="36" t="str">
        <f t="shared" si="140"/>
        <v>No</v>
      </c>
      <c r="FC36" s="207"/>
      <c r="FD36" s="36" t="str">
        <f t="shared" si="89"/>
        <v>Transactional</v>
      </c>
      <c r="FE36" s="40">
        <f>COUNTIF($FD$2:$FD$92, FD36)/(COUNTIF($FD$2:$FD$92, "&lt;&gt;""") - COUNTIF($FD$2:$FD$92, ""))</f>
        <v>0.6</v>
      </c>
      <c r="FF36" s="36" t="str">
        <f t="shared" si="90"/>
        <v>B2C</v>
      </c>
      <c r="FG36" s="40">
        <f>COUNTIF($FF$2:$FF$92, FF36)/(COUNTIF($FF$2:$FF$92, "&lt;&gt;""") - COUNTIF($FF$2:$FF$92, ""))</f>
        <v>0.41111111111111109</v>
      </c>
      <c r="FH36" s="36" t="str">
        <f t="shared" si="91"/>
        <v>Low</v>
      </c>
      <c r="FI36" s="40">
        <f>COUNTIF($FH$2:$FH$92, FH36)/(COUNTIF($FH$2:$FH$92, "&lt;&gt;""") - COUNTIF($FH$2:$FH$92, ""))</f>
        <v>0.46666666666666667</v>
      </c>
      <c r="FJ36" s="36" t="str">
        <f t="shared" si="92"/>
        <v>High</v>
      </c>
      <c r="FK36" s="40">
        <f>COUNTIF($FJ$2:$FJ$92, FJ36)/(COUNTIF($FJ$2:$FJ$92, "&lt;&gt;""") - COUNTIF($FJ$2:$FJ$92, ""))</f>
        <v>0.58888888888888891</v>
      </c>
      <c r="FL36" s="207"/>
      <c r="FM36" s="192">
        <f t="shared" si="93"/>
        <v>5</v>
      </c>
      <c r="FN36" s="192" t="e">
        <f t="shared" ca="1" si="94"/>
        <v>#NAME?</v>
      </c>
      <c r="FO36" s="192" t="e">
        <f t="shared" ca="1" si="95"/>
        <v>#NAME?</v>
      </c>
      <c r="FP36" s="192" t="e">
        <f t="shared" ca="1" si="96"/>
        <v>#NAME?</v>
      </c>
      <c r="FQ36" s="209" t="e">
        <f t="shared" ca="1" si="97"/>
        <v>#NAME?</v>
      </c>
      <c r="FR36" s="208" t="e">
        <f t="shared" ca="1" si="98"/>
        <v>#NAME?</v>
      </c>
      <c r="FS36" s="36" t="str">
        <f t="shared" si="99"/>
        <v>Pre-Profit</v>
      </c>
      <c r="FT36" s="196">
        <f>COUNTIF($FS$2:$FS$92, FS36)/(COUNTIF($FS$2:$FS$92, "&lt;&gt;""") - COUNTIF($FZ$2:$FZ$92, ""))</f>
        <v>0.51111111111111107</v>
      </c>
      <c r="FU36" s="207"/>
      <c r="FV36" s="192" t="e">
        <f t="shared" ca="1" si="100"/>
        <v>#NAME?</v>
      </c>
      <c r="FW36" s="197" t="e">
        <f t="shared" ca="1" si="101"/>
        <v>#NAME?</v>
      </c>
      <c r="FX36" s="209" t="e">
        <f t="shared" ca="1" si="102"/>
        <v>#NAME?</v>
      </c>
      <c r="FY36" s="211" t="e">
        <f t="shared" ca="1" si="103"/>
        <v>#NAME?</v>
      </c>
      <c r="FZ36" s="36" t="str">
        <f t="shared" si="104"/>
        <v>No</v>
      </c>
      <c r="GA36" s="196">
        <f>COUNTIF($FZ$2:$FZ$92, FZ36)/(COUNTIF($FZ$2:$FZ$92, "&lt;&gt;""") - COUNTIF($FZ$2:$FZ$92, ""))</f>
        <v>0.76666666666666672</v>
      </c>
      <c r="GB36" s="196" t="str">
        <f t="shared" si="105"/>
        <v>Low</v>
      </c>
      <c r="GC36" s="196">
        <f>COUNTIF($GB$2:$GB$92, GB36)/(COUNTIF($GB$2:$GB$92, "&lt;&gt;""") - COUNTIF($GB$2:$GB$92, ""))</f>
        <v>0.55555555555555558</v>
      </c>
      <c r="GD36" s="196" t="str">
        <f t="shared" si="106"/>
        <v>Low</v>
      </c>
      <c r="GE36" s="196">
        <f>COUNTIF($GD$2:$GD$92, GD36)/(COUNTIF($GD$2:$GD$92, "&lt;&gt;""") - COUNTIF($GD$2:$GD$92, ""))</f>
        <v>0.18888888888888888</v>
      </c>
      <c r="GF36" s="207"/>
      <c r="GG36" s="36"/>
      <c r="GH36" s="209" t="e">
        <f t="shared" ca="1" si="107"/>
        <v>#NAME?</v>
      </c>
      <c r="GI36" s="212" t="e">
        <f t="shared" ca="1" si="108"/>
        <v>#NAME?</v>
      </c>
    </row>
    <row r="37" spans="1:191" ht="15.75" customHeight="1">
      <c r="A37" s="57"/>
      <c r="B37" s="57" t="s">
        <v>409</v>
      </c>
      <c r="C37" s="49">
        <v>1776308</v>
      </c>
      <c r="D37" s="34" t="s">
        <v>838</v>
      </c>
      <c r="E37" s="85">
        <v>43879.513888888891</v>
      </c>
      <c r="F37" s="50" t="s">
        <v>344</v>
      </c>
      <c r="G37" s="229" t="s">
        <v>839</v>
      </c>
      <c r="H37" s="221" t="s">
        <v>840</v>
      </c>
      <c r="I37" s="82">
        <v>43866</v>
      </c>
      <c r="J37" s="34" t="s">
        <v>841</v>
      </c>
      <c r="K37" s="34" t="s">
        <v>838</v>
      </c>
      <c r="M37" s="35" t="s">
        <v>229</v>
      </c>
      <c r="N37" s="50" t="s">
        <v>320</v>
      </c>
      <c r="O37" s="50" t="s">
        <v>30</v>
      </c>
      <c r="P37" s="50" t="s">
        <v>31</v>
      </c>
      <c r="Q37" s="50" t="s">
        <v>35</v>
      </c>
      <c r="R37" s="176"/>
      <c r="S37" s="50" t="s">
        <v>269</v>
      </c>
      <c r="T37" s="177"/>
      <c r="U37" s="178"/>
      <c r="V37" s="180"/>
      <c r="W37" s="65">
        <v>6250000</v>
      </c>
      <c r="X37" s="61">
        <v>0.2</v>
      </c>
      <c r="Y37" s="55">
        <f t="shared" si="115"/>
        <v>5000000</v>
      </c>
      <c r="Z37" s="274">
        <f t="shared" si="116"/>
        <v>5000000</v>
      </c>
      <c r="AA37" s="183" t="e">
        <f t="shared" ca="1" si="117"/>
        <v>#NAME?</v>
      </c>
      <c r="AB37" s="50" t="s">
        <v>178</v>
      </c>
      <c r="AC37" s="50" t="s">
        <v>37</v>
      </c>
      <c r="AD37" s="35" t="s">
        <v>180</v>
      </c>
      <c r="AE37" s="50" t="s">
        <v>227</v>
      </c>
      <c r="AF37" s="35" t="s">
        <v>39</v>
      </c>
      <c r="AG37" s="50" t="s">
        <v>181</v>
      </c>
      <c r="AH37" s="50" t="s">
        <v>190</v>
      </c>
      <c r="AI37" s="83"/>
      <c r="AJ37" s="277">
        <v>46000000000</v>
      </c>
      <c r="AK37" s="224" t="e">
        <f t="shared" ca="1" si="118"/>
        <v>#NAME?</v>
      </c>
      <c r="AL37" s="277">
        <v>17000000000</v>
      </c>
      <c r="AM37" s="224" t="e">
        <f t="shared" ca="1" si="119"/>
        <v>#NAME?</v>
      </c>
      <c r="AN37" s="277">
        <v>0.14000000000000001</v>
      </c>
      <c r="AO37" s="185" t="e">
        <f t="shared" ca="1" si="63"/>
        <v>#NAME?</v>
      </c>
      <c r="AP37" s="185" t="s">
        <v>192</v>
      </c>
      <c r="AQ37" s="35" t="s">
        <v>39</v>
      </c>
      <c r="AR37" s="50" t="s">
        <v>181</v>
      </c>
      <c r="AS37" s="50" t="s">
        <v>42</v>
      </c>
      <c r="AT37" s="34" t="s">
        <v>181</v>
      </c>
      <c r="AU37" s="35" t="s">
        <v>39</v>
      </c>
      <c r="AV37" s="50" t="s">
        <v>190</v>
      </c>
      <c r="AW37" s="50" t="s">
        <v>190</v>
      </c>
      <c r="AX37" s="50" t="s">
        <v>227</v>
      </c>
      <c r="AY37" s="50" t="s">
        <v>227</v>
      </c>
      <c r="AZ37" s="65">
        <v>52525</v>
      </c>
      <c r="BA37" s="55" t="e">
        <f t="shared" ca="1" si="120"/>
        <v>#NAME?</v>
      </c>
      <c r="BB37" s="277">
        <v>944</v>
      </c>
      <c r="BC37" s="277">
        <v>513950</v>
      </c>
      <c r="BD37" s="62" t="e">
        <f t="shared" ca="1" si="121"/>
        <v>#NAME?</v>
      </c>
      <c r="BE37" s="277">
        <f t="shared" si="122"/>
        <v>1.8367545481077926E-3</v>
      </c>
      <c r="BF37" s="62" t="e">
        <f t="shared" ca="1" si="123"/>
        <v>#NAME?</v>
      </c>
      <c r="BG37" s="50" t="s">
        <v>202</v>
      </c>
      <c r="BH37" s="176"/>
      <c r="BI37" s="50" t="s">
        <v>190</v>
      </c>
      <c r="BJ37" s="49">
        <v>0</v>
      </c>
      <c r="BK37" s="277">
        <v>1</v>
      </c>
      <c r="BL37" s="50" t="s">
        <v>190</v>
      </c>
      <c r="BM37" s="50" t="s">
        <v>227</v>
      </c>
      <c r="BN37" s="50" t="s">
        <v>190</v>
      </c>
      <c r="BO37" s="50" t="s">
        <v>190</v>
      </c>
      <c r="BP37" s="49">
        <v>2</v>
      </c>
      <c r="BQ37" s="49">
        <v>13</v>
      </c>
      <c r="BR37" s="49">
        <v>3</v>
      </c>
      <c r="BS37" s="49">
        <v>0</v>
      </c>
      <c r="BT37" s="203"/>
      <c r="BU37" s="48">
        <v>0</v>
      </c>
      <c r="BV37" s="48">
        <v>0</v>
      </c>
      <c r="BW37" s="48">
        <v>45</v>
      </c>
      <c r="BX37" s="34" t="s">
        <v>227</v>
      </c>
      <c r="BY37" s="203"/>
      <c r="BZ37" s="57"/>
      <c r="CA37" s="57"/>
      <c r="CB37" s="57"/>
      <c r="CC37" s="57"/>
      <c r="CD37" s="203"/>
      <c r="CE37" s="57"/>
      <c r="CF37" s="57"/>
      <c r="CG37" s="57"/>
      <c r="CH37" s="57"/>
      <c r="CI37" s="203"/>
      <c r="CJ37" s="57"/>
      <c r="CK37" s="57"/>
      <c r="CL37" s="57"/>
      <c r="CM37" s="57"/>
      <c r="CN37" s="203"/>
      <c r="CO37" s="176"/>
      <c r="CP37" s="176"/>
      <c r="CQ37" s="176"/>
      <c r="CR37" s="176"/>
      <c r="CS37" s="203"/>
      <c r="CT37" s="176"/>
      <c r="CU37" s="176"/>
      <c r="CV37" s="176"/>
      <c r="CW37" s="176"/>
      <c r="CX37" s="203"/>
      <c r="CY37" s="176"/>
      <c r="CZ37" s="176"/>
      <c r="DA37" s="176"/>
      <c r="DB37" s="176"/>
      <c r="DC37" s="203"/>
      <c r="DD37" s="176"/>
      <c r="DE37" s="176"/>
      <c r="DF37" s="176"/>
      <c r="DG37" s="176"/>
      <c r="DH37" s="203"/>
      <c r="DI37" s="176"/>
      <c r="DJ37" s="176"/>
      <c r="DK37" s="176"/>
      <c r="DL37" s="176"/>
      <c r="DM37" s="204"/>
      <c r="DN37" s="205"/>
      <c r="DO37" s="205"/>
      <c r="DQ37" s="206"/>
      <c r="DR37" s="188">
        <f t="shared" si="64"/>
        <v>0</v>
      </c>
      <c r="DS37" s="188"/>
      <c r="DT37" s="189">
        <f t="shared" si="65"/>
        <v>0</v>
      </c>
      <c r="DU37" s="189"/>
      <c r="DV37" s="188">
        <f t="shared" si="66"/>
        <v>45</v>
      </c>
      <c r="DW37" s="183" t="e">
        <f t="shared" ca="1" si="67"/>
        <v>#NAME?</v>
      </c>
      <c r="DX37" s="207"/>
      <c r="DY37" s="190" t="e">
        <f t="shared" ca="1" si="68"/>
        <v>#NAME?</v>
      </c>
      <c r="DZ37" s="191">
        <f t="shared" si="69"/>
        <v>3.1052631578947367</v>
      </c>
      <c r="EA37" s="191" t="str">
        <f t="shared" si="70"/>
        <v/>
      </c>
      <c r="EB37" s="191" t="str">
        <f t="shared" si="71"/>
        <v/>
      </c>
      <c r="EC37" s="208" t="e">
        <f t="shared" ca="1" si="72"/>
        <v>#NAME?</v>
      </c>
      <c r="ED37" s="36" t="str">
        <f t="shared" si="73"/>
        <v>SAFE</v>
      </c>
      <c r="EE37" s="193">
        <f>COUNTIF($ED$2:$ED$92, ED37)/(COUNTIF($ED$2:$ED$92, "&lt;&gt;""") - COUNTIF($ED$2:$ED$92, ""))</f>
        <v>0.37777777777777777</v>
      </c>
      <c r="EF37" s="36" t="str">
        <f t="shared" si="74"/>
        <v>Early</v>
      </c>
      <c r="EG37" s="207"/>
      <c r="EH37" s="194" t="e">
        <f t="shared" ca="1" si="75"/>
        <v>#NAME?</v>
      </c>
      <c r="EI37" s="194" t="e">
        <f t="shared" ca="1" si="76"/>
        <v>#NAME?</v>
      </c>
      <c r="EJ37" s="209" t="e">
        <f t="shared" ca="1" si="77"/>
        <v>#NAME?</v>
      </c>
      <c r="EK37" s="208" t="e">
        <f t="shared" ca="1" si="78"/>
        <v>#NAME?</v>
      </c>
      <c r="EL37" s="36" t="str">
        <f t="shared" si="79"/>
        <v>No</v>
      </c>
      <c r="EM37" s="207"/>
      <c r="EN37" s="192">
        <f t="shared" si="80"/>
        <v>1</v>
      </c>
      <c r="EO37" s="192">
        <f t="shared" si="81"/>
        <v>1</v>
      </c>
      <c r="EP37" s="209">
        <f t="shared" si="82"/>
        <v>2</v>
      </c>
      <c r="EQ37" s="210">
        <f t="shared" si="83"/>
        <v>1</v>
      </c>
      <c r="ER37" s="36" t="e">
        <f t="shared" ca="1" si="84"/>
        <v>#NAME?</v>
      </c>
      <c r="ES37" s="40">
        <f ca="1">COUNTIF($ER$2:$ER$92, ER37)/(COUNTIF($ER$2:$ER$92, "&lt;&gt;""") - COUNTIF($ER$2:$ER$92, ""))</f>
        <v>1</v>
      </c>
      <c r="ET37" s="36">
        <f t="shared" si="85"/>
        <v>1</v>
      </c>
      <c r="EU37" s="40">
        <f>COUNTIF($ET$2:$ET$92, ET37)/(COUNTIF($ET$2:$ET$92, "&lt;&gt;""") - COUNTIF($ET$2:$ET$92, ""))</f>
        <v>0.45555555555555555</v>
      </c>
      <c r="EV37" s="36">
        <f t="shared" si="86"/>
        <v>13</v>
      </c>
      <c r="EW37" s="40">
        <f>COUNTIF($EV$2:$EV$92, EV37)/(COUNTIF($EV$2:$EV$92, "&lt;&gt;""") - COUNTIF($EV$2:$EV$92, ""))</f>
        <v>2.2222222222222223E-2</v>
      </c>
      <c r="EX37" s="36" t="str">
        <f t="shared" si="87"/>
        <v>No</v>
      </c>
      <c r="EY37" s="40">
        <f>COUNTIF($EX$2:$EX$92, EX37)/(COUNTIF($EX$2:$EX$92, "&lt;&gt;""") - COUNTIF($EX$2:$EX$92, ""))</f>
        <v>0.72222222222222221</v>
      </c>
      <c r="EZ37" s="36" t="str">
        <f t="shared" ref="EZ37:FB37" si="141">BM37</f>
        <v>Yes</v>
      </c>
      <c r="FA37" s="36" t="str">
        <f t="shared" si="141"/>
        <v>No</v>
      </c>
      <c r="FB37" s="36" t="str">
        <f t="shared" si="141"/>
        <v>No</v>
      </c>
      <c r="FC37" s="207"/>
      <c r="FD37" s="36" t="str">
        <f t="shared" si="89"/>
        <v>Recurring</v>
      </c>
      <c r="FE37" s="40">
        <f>COUNTIF($FD$2:$FD$92, FD37)/(COUNTIF($FD$2:$FD$92, "&lt;&gt;""") - COUNTIF($FD$2:$FD$92, ""))</f>
        <v>0.4</v>
      </c>
      <c r="FF37" s="36" t="str">
        <f t="shared" si="90"/>
        <v>B2B</v>
      </c>
      <c r="FG37" s="40">
        <f>COUNTIF($FF$2:$FF$92, FF37)/(COUNTIF($FF$2:$FF$92, "&lt;&gt;""") - COUNTIF($FF$2:$FF$92, ""))</f>
        <v>0.24444444444444444</v>
      </c>
      <c r="FH37" s="36" t="str">
        <f t="shared" si="91"/>
        <v>High</v>
      </c>
      <c r="FI37" s="40">
        <f>COUNTIF($FH$2:$FH$92, FH37)/(COUNTIF($FH$2:$FH$92, "&lt;&gt;""") - COUNTIF($FH$2:$FH$92, ""))</f>
        <v>0.53333333333333333</v>
      </c>
      <c r="FJ37" s="36" t="str">
        <f t="shared" si="92"/>
        <v>Low</v>
      </c>
      <c r="FK37" s="40">
        <f>COUNTIF($FJ$2:$FJ$92, FJ37)/(COUNTIF($FJ$2:$FJ$92, "&lt;&gt;""") - COUNTIF($FJ$2:$FJ$92, ""))</f>
        <v>0.41111111111111109</v>
      </c>
      <c r="FL37" s="207"/>
      <c r="FM37" s="192">
        <f t="shared" si="93"/>
        <v>5</v>
      </c>
      <c r="FN37" s="192" t="e">
        <f t="shared" ca="1" si="94"/>
        <v>#NAME?</v>
      </c>
      <c r="FO37" s="192" t="e">
        <f t="shared" ca="1" si="95"/>
        <v>#NAME?</v>
      </c>
      <c r="FP37" s="192" t="e">
        <f t="shared" ca="1" si="96"/>
        <v>#NAME?</v>
      </c>
      <c r="FQ37" s="209" t="e">
        <f t="shared" ca="1" si="97"/>
        <v>#NAME?</v>
      </c>
      <c r="FR37" s="208" t="e">
        <f t="shared" ca="1" si="98"/>
        <v>#NAME?</v>
      </c>
      <c r="FS37" s="36" t="str">
        <f t="shared" si="99"/>
        <v>Pre-Profit</v>
      </c>
      <c r="FT37" s="196">
        <f>COUNTIF($FS$2:$FS$92, FS37)/(COUNTIF($FS$2:$FS$92, "&lt;&gt;""") - COUNTIF($FZ$2:$FZ$92, ""))</f>
        <v>0.51111111111111107</v>
      </c>
      <c r="FU37" s="207"/>
      <c r="FV37" s="192">
        <f t="shared" si="100"/>
        <v>3</v>
      </c>
      <c r="FW37" s="197" t="e">
        <f t="shared" ca="1" si="101"/>
        <v>#NAME?</v>
      </c>
      <c r="FX37" s="209" t="e">
        <f t="shared" ca="1" si="102"/>
        <v>#NAME?</v>
      </c>
      <c r="FY37" s="211" t="e">
        <f t="shared" ca="1" si="103"/>
        <v>#NAME?</v>
      </c>
      <c r="FZ37" s="36" t="str">
        <f t="shared" si="104"/>
        <v>No</v>
      </c>
      <c r="GA37" s="196">
        <f>COUNTIF($FZ$2:$FZ$92, FZ37)/(COUNTIF($FZ$2:$FZ$92, "&lt;&gt;""") - COUNTIF($FZ$2:$FZ$92, ""))</f>
        <v>0.76666666666666672</v>
      </c>
      <c r="GB37" s="196" t="str">
        <f t="shared" si="105"/>
        <v>Low</v>
      </c>
      <c r="GC37" s="196">
        <f>COUNTIF($GB$2:$GB$92, GB37)/(COUNTIF($GB$2:$GB$92, "&lt;&gt;""") - COUNTIF($GB$2:$GB$92, ""))</f>
        <v>0.55555555555555558</v>
      </c>
      <c r="GD37" s="196" t="str">
        <f t="shared" si="106"/>
        <v>High</v>
      </c>
      <c r="GE37" s="196">
        <f>COUNTIF($GD$2:$GD$92, GD37)/(COUNTIF($GD$2:$GD$92, "&lt;&gt;""") - COUNTIF($GD$2:$GD$92, ""))</f>
        <v>0.8</v>
      </c>
      <c r="GF37" s="207"/>
      <c r="GG37" s="36"/>
      <c r="GH37" s="209" t="e">
        <f t="shared" ca="1" si="107"/>
        <v>#NAME?</v>
      </c>
      <c r="GI37" s="212" t="e">
        <f t="shared" ca="1" si="108"/>
        <v>#NAME?</v>
      </c>
    </row>
    <row r="38" spans="1:191" ht="15.75" customHeight="1">
      <c r="A38" s="57"/>
      <c r="B38" s="57" t="s">
        <v>409</v>
      </c>
      <c r="C38" s="49">
        <v>1799584</v>
      </c>
      <c r="D38" s="34" t="s">
        <v>842</v>
      </c>
      <c r="E38" s="85">
        <v>43880.460416666669</v>
      </c>
      <c r="F38" s="50" t="s">
        <v>329</v>
      </c>
      <c r="G38" s="229" t="s">
        <v>843</v>
      </c>
      <c r="H38" s="221" t="s">
        <v>844</v>
      </c>
      <c r="I38" s="82">
        <v>43875</v>
      </c>
      <c r="J38" s="34" t="s">
        <v>845</v>
      </c>
      <c r="K38" s="34" t="s">
        <v>842</v>
      </c>
      <c r="M38" s="50" t="s">
        <v>171</v>
      </c>
      <c r="N38" s="50" t="s">
        <v>168</v>
      </c>
      <c r="O38" s="50" t="s">
        <v>30</v>
      </c>
      <c r="P38" s="50" t="s">
        <v>31</v>
      </c>
      <c r="Q38" s="50" t="s">
        <v>35</v>
      </c>
      <c r="R38" s="176"/>
      <c r="S38" s="50" t="s">
        <v>269</v>
      </c>
      <c r="T38" s="177"/>
      <c r="U38" s="178"/>
      <c r="V38" s="180"/>
      <c r="W38" s="65">
        <v>8000000</v>
      </c>
      <c r="X38" s="61">
        <v>0.1</v>
      </c>
      <c r="Y38" s="55">
        <f t="shared" si="115"/>
        <v>7200000</v>
      </c>
      <c r="Z38" s="274">
        <f t="shared" si="116"/>
        <v>7200000</v>
      </c>
      <c r="AA38" s="183" t="e">
        <f t="shared" ca="1" si="117"/>
        <v>#NAME?</v>
      </c>
      <c r="AB38" s="50" t="s">
        <v>178</v>
      </c>
      <c r="AC38" s="50" t="s">
        <v>179</v>
      </c>
      <c r="AD38" s="50" t="s">
        <v>38</v>
      </c>
      <c r="AE38" s="50" t="s">
        <v>227</v>
      </c>
      <c r="AF38" s="35" t="s">
        <v>39</v>
      </c>
      <c r="AG38" s="35" t="s">
        <v>39</v>
      </c>
      <c r="AH38" s="50" t="s">
        <v>190</v>
      </c>
      <c r="AI38" s="83"/>
      <c r="AJ38" s="277">
        <v>360000000000</v>
      </c>
      <c r="AK38" s="224" t="e">
        <f t="shared" ca="1" si="118"/>
        <v>#NAME?</v>
      </c>
      <c r="AL38" s="277">
        <v>37000000000</v>
      </c>
      <c r="AM38" s="224" t="e">
        <f t="shared" ca="1" si="119"/>
        <v>#NAME?</v>
      </c>
      <c r="AN38" s="277">
        <v>9.1999999999999998E-2</v>
      </c>
      <c r="AO38" s="185" t="e">
        <f t="shared" ca="1" si="63"/>
        <v>#NAME?</v>
      </c>
      <c r="AP38" s="185" t="s">
        <v>211</v>
      </c>
      <c r="AQ38" s="35" t="s">
        <v>39</v>
      </c>
      <c r="AR38" s="50" t="s">
        <v>181</v>
      </c>
      <c r="AS38" s="50" t="s">
        <v>42</v>
      </c>
      <c r="AT38" s="34" t="s">
        <v>181</v>
      </c>
      <c r="AU38" s="35" t="s">
        <v>39</v>
      </c>
      <c r="AV38" s="50" t="s">
        <v>227</v>
      </c>
      <c r="AW38" s="50" t="s">
        <v>190</v>
      </c>
      <c r="AX38" s="50" t="s">
        <v>227</v>
      </c>
      <c r="AY38" s="50" t="s">
        <v>227</v>
      </c>
      <c r="AZ38" s="65">
        <v>56258</v>
      </c>
      <c r="BA38" s="55" t="e">
        <f t="shared" ca="1" si="120"/>
        <v>#NAME?</v>
      </c>
      <c r="BB38" s="277">
        <v>5555</v>
      </c>
      <c r="BC38" s="277">
        <v>200000</v>
      </c>
      <c r="BD38" s="62" t="e">
        <f t="shared" ca="1" si="121"/>
        <v>#NAME?</v>
      </c>
      <c r="BE38" s="277">
        <f t="shared" si="122"/>
        <v>2.7775000000000001E-2</v>
      </c>
      <c r="BF38" s="62" t="e">
        <f t="shared" ca="1" si="123"/>
        <v>#NAME?</v>
      </c>
      <c r="BG38" s="50" t="s">
        <v>202</v>
      </c>
      <c r="BH38" s="176"/>
      <c r="BI38" s="50" t="s">
        <v>227</v>
      </c>
      <c r="BJ38" s="49">
        <v>0</v>
      </c>
      <c r="BK38" s="277">
        <v>2</v>
      </c>
      <c r="BL38" s="50" t="s">
        <v>227</v>
      </c>
      <c r="BM38" s="50" t="s">
        <v>227</v>
      </c>
      <c r="BN38" s="50" t="s">
        <v>190</v>
      </c>
      <c r="BO38" s="50" t="s">
        <v>190</v>
      </c>
      <c r="BP38" s="49">
        <v>3</v>
      </c>
      <c r="BQ38" s="49">
        <v>3</v>
      </c>
      <c r="BR38" s="49">
        <v>0</v>
      </c>
      <c r="BS38" s="49">
        <v>0</v>
      </c>
      <c r="BT38" s="203"/>
      <c r="BU38" s="48">
        <v>15</v>
      </c>
      <c r="BV38" s="48">
        <v>0</v>
      </c>
      <c r="BW38" s="48">
        <v>33</v>
      </c>
      <c r="BX38" s="34" t="s">
        <v>227</v>
      </c>
      <c r="BY38" s="203"/>
      <c r="BZ38" s="48">
        <v>3</v>
      </c>
      <c r="CA38" s="48">
        <v>0</v>
      </c>
      <c r="CB38" s="48">
        <v>34</v>
      </c>
      <c r="CC38" s="34" t="s">
        <v>227</v>
      </c>
      <c r="CD38" s="203"/>
      <c r="CE38" s="57"/>
      <c r="CF38" s="57"/>
      <c r="CG38" s="57"/>
      <c r="CH38" s="57"/>
      <c r="CI38" s="203"/>
      <c r="CJ38" s="57"/>
      <c r="CK38" s="57"/>
      <c r="CL38" s="57"/>
      <c r="CM38" s="57"/>
      <c r="CN38" s="203"/>
      <c r="CO38" s="186"/>
      <c r="CP38" s="186"/>
      <c r="CQ38" s="186"/>
      <c r="CR38" s="57"/>
      <c r="CS38" s="203"/>
      <c r="CT38" s="186"/>
      <c r="CU38" s="186"/>
      <c r="CV38" s="186"/>
      <c r="CW38" s="57"/>
      <c r="CX38" s="203"/>
      <c r="CY38" s="186"/>
      <c r="CZ38" s="186"/>
      <c r="DA38" s="186"/>
      <c r="DB38" s="57"/>
      <c r="DC38" s="203"/>
      <c r="DD38" s="186"/>
      <c r="DE38" s="186"/>
      <c r="DF38" s="186"/>
      <c r="DG38" s="57"/>
      <c r="DH38" s="203"/>
      <c r="DI38" s="186"/>
      <c r="DJ38" s="186"/>
      <c r="DK38" s="186"/>
      <c r="DL38" s="57"/>
      <c r="DM38" s="204"/>
      <c r="DN38" s="205"/>
      <c r="DO38" s="205"/>
      <c r="DQ38" s="206"/>
      <c r="DR38" s="188">
        <f t="shared" si="64"/>
        <v>9</v>
      </c>
      <c r="DS38" s="188"/>
      <c r="DT38" s="189">
        <f t="shared" si="65"/>
        <v>0</v>
      </c>
      <c r="DU38" s="189"/>
      <c r="DV38" s="188">
        <f t="shared" si="66"/>
        <v>33.5</v>
      </c>
      <c r="DW38" s="183" t="e">
        <f t="shared" ca="1" si="67"/>
        <v>#NAME?</v>
      </c>
      <c r="DX38" s="207"/>
      <c r="DY38" s="190" t="e">
        <f t="shared" ca="1" si="68"/>
        <v>#NAME?</v>
      </c>
      <c r="DZ38" s="191">
        <f t="shared" si="69"/>
        <v>2.0526315789473681</v>
      </c>
      <c r="EA38" s="191" t="str">
        <f t="shared" si="70"/>
        <v/>
      </c>
      <c r="EB38" s="191" t="str">
        <f t="shared" si="71"/>
        <v/>
      </c>
      <c r="EC38" s="208" t="e">
        <f t="shared" ca="1" si="72"/>
        <v>#NAME?</v>
      </c>
      <c r="ED38" s="36" t="str">
        <f t="shared" si="73"/>
        <v>SAFE</v>
      </c>
      <c r="EE38" s="193">
        <f>COUNTIF($ED$2:$ED$92, ED38)/(COUNTIF($ED$2:$ED$92, "&lt;&gt;""") - COUNTIF($ED$2:$ED$92, ""))</f>
        <v>0.37777777777777777</v>
      </c>
      <c r="EF38" s="36" t="str">
        <f t="shared" si="74"/>
        <v>Early</v>
      </c>
      <c r="EG38" s="207"/>
      <c r="EH38" s="194" t="e">
        <f t="shared" ca="1" si="75"/>
        <v>#NAME?</v>
      </c>
      <c r="EI38" s="194" t="e">
        <f t="shared" ca="1" si="76"/>
        <v>#NAME?</v>
      </c>
      <c r="EJ38" s="209" t="e">
        <f t="shared" ca="1" si="77"/>
        <v>#NAME?</v>
      </c>
      <c r="EK38" s="208" t="e">
        <f t="shared" ca="1" si="78"/>
        <v>#NAME?</v>
      </c>
      <c r="EL38" s="36" t="str">
        <f t="shared" si="79"/>
        <v>Yes</v>
      </c>
      <c r="EM38" s="207"/>
      <c r="EN38" s="192">
        <f t="shared" si="80"/>
        <v>1.8571428571428572</v>
      </c>
      <c r="EO38" s="192">
        <f t="shared" si="81"/>
        <v>1</v>
      </c>
      <c r="EP38" s="209">
        <f t="shared" si="82"/>
        <v>2.8571428571428572</v>
      </c>
      <c r="EQ38" s="210">
        <f t="shared" si="83"/>
        <v>1.6728971962616823</v>
      </c>
      <c r="ER38" s="36" t="e">
        <f t="shared" ca="1" si="84"/>
        <v>#NAME?</v>
      </c>
      <c r="ES38" s="40">
        <f ca="1">COUNTIF($ER$2:$ER$92, ER38)/(COUNTIF($ER$2:$ER$92, "&lt;&gt;""") - COUNTIF($ER$2:$ER$92, ""))</f>
        <v>1</v>
      </c>
      <c r="ET38" s="36">
        <f t="shared" si="85"/>
        <v>2</v>
      </c>
      <c r="EU38" s="40">
        <f>COUNTIF($ET$2:$ET$92, ET38)/(COUNTIF($ET$2:$ET$92, "&lt;&gt;""") - COUNTIF($ET$2:$ET$92, ""))</f>
        <v>0.45555555555555555</v>
      </c>
      <c r="EV38" s="36">
        <f t="shared" si="86"/>
        <v>3</v>
      </c>
      <c r="EW38" s="40">
        <f>COUNTIF($EV$2:$EV$92, EV38)/(COUNTIF($EV$2:$EV$92, "&lt;&gt;""") - COUNTIF($EV$2:$EV$92, ""))</f>
        <v>8.8888888888888892E-2</v>
      </c>
      <c r="EX38" s="36" t="str">
        <f t="shared" si="87"/>
        <v>Yes</v>
      </c>
      <c r="EY38" s="40">
        <f>COUNTIF($EX$2:$EX$92, EX38)/(COUNTIF($EX$2:$EX$92, "&lt;&gt;""") - COUNTIF($EX$2:$EX$92, ""))</f>
        <v>0.27777777777777779</v>
      </c>
      <c r="EZ38" s="36" t="str">
        <f t="shared" ref="EZ38:FB38" si="142">BM38</f>
        <v>Yes</v>
      </c>
      <c r="FA38" s="36" t="str">
        <f t="shared" si="142"/>
        <v>No</v>
      </c>
      <c r="FB38" s="36" t="str">
        <f t="shared" si="142"/>
        <v>No</v>
      </c>
      <c r="FC38" s="207"/>
      <c r="FD38" s="36" t="str">
        <f t="shared" si="89"/>
        <v>Recurring</v>
      </c>
      <c r="FE38" s="40">
        <f>COUNTIF($FD$2:$FD$92, FD38)/(COUNTIF($FD$2:$FD$92, "&lt;&gt;""") - COUNTIF($FD$2:$FD$92, ""))</f>
        <v>0.4</v>
      </c>
      <c r="FF38" s="36" t="str">
        <f t="shared" si="90"/>
        <v>B2C</v>
      </c>
      <c r="FG38" s="40">
        <f>COUNTIF($FF$2:$FF$92, FF38)/(COUNTIF($FF$2:$FF$92, "&lt;&gt;""") - COUNTIF($FF$2:$FF$92, ""))</f>
        <v>0.41111111111111109</v>
      </c>
      <c r="FH38" s="36" t="str">
        <f t="shared" si="91"/>
        <v>High</v>
      </c>
      <c r="FI38" s="40">
        <f>COUNTIF($FH$2:$FH$92, FH38)/(COUNTIF($FH$2:$FH$92, "&lt;&gt;""") - COUNTIF($FH$2:$FH$92, ""))</f>
        <v>0.53333333333333333</v>
      </c>
      <c r="FJ38" s="36" t="str">
        <f t="shared" si="92"/>
        <v>High</v>
      </c>
      <c r="FK38" s="40">
        <f>COUNTIF($FJ$2:$FJ$92, FJ38)/(COUNTIF($FJ$2:$FJ$92, "&lt;&gt;""") - COUNTIF($FJ$2:$FJ$92, ""))</f>
        <v>0.58888888888888891</v>
      </c>
      <c r="FL38" s="207"/>
      <c r="FM38" s="192">
        <f t="shared" si="93"/>
        <v>5</v>
      </c>
      <c r="FN38" s="192" t="e">
        <f t="shared" ca="1" si="94"/>
        <v>#NAME?</v>
      </c>
      <c r="FO38" s="192" t="e">
        <f t="shared" ca="1" si="95"/>
        <v>#NAME?</v>
      </c>
      <c r="FP38" s="192" t="e">
        <f t="shared" ca="1" si="96"/>
        <v>#NAME?</v>
      </c>
      <c r="FQ38" s="209" t="e">
        <f t="shared" ca="1" si="97"/>
        <v>#NAME?</v>
      </c>
      <c r="FR38" s="208" t="e">
        <f t="shared" ca="1" si="98"/>
        <v>#NAME?</v>
      </c>
      <c r="FS38" s="36" t="str">
        <f t="shared" si="99"/>
        <v>Pre-Profit</v>
      </c>
      <c r="FT38" s="196">
        <f>COUNTIF($FS$2:$FS$92, FS38)/(COUNTIF($FS$2:$FS$92, "&lt;&gt;""") - COUNTIF($FZ$2:$FZ$92, ""))</f>
        <v>0.51111111111111107</v>
      </c>
      <c r="FU38" s="207"/>
      <c r="FV38" s="192">
        <f t="shared" si="100"/>
        <v>3</v>
      </c>
      <c r="FW38" s="197" t="e">
        <f t="shared" ca="1" si="101"/>
        <v>#NAME?</v>
      </c>
      <c r="FX38" s="209" t="e">
        <f t="shared" ca="1" si="102"/>
        <v>#NAME?</v>
      </c>
      <c r="FY38" s="211" t="e">
        <f t="shared" ca="1" si="103"/>
        <v>#NAME?</v>
      </c>
      <c r="FZ38" s="36" t="str">
        <f t="shared" si="104"/>
        <v>No</v>
      </c>
      <c r="GA38" s="196">
        <f>COUNTIF($FZ$2:$FZ$92, FZ38)/(COUNTIF($FZ$2:$FZ$92, "&lt;&gt;""") - COUNTIF($FZ$2:$FZ$92, ""))</f>
        <v>0.76666666666666672</v>
      </c>
      <c r="GB38" s="196" t="str">
        <f t="shared" si="105"/>
        <v>Low</v>
      </c>
      <c r="GC38" s="196">
        <f>COUNTIF($GB$2:$GB$92, GB38)/(COUNTIF($GB$2:$GB$92, "&lt;&gt;""") - COUNTIF($GB$2:$GB$92, ""))</f>
        <v>0.55555555555555558</v>
      </c>
      <c r="GD38" s="196" t="str">
        <f t="shared" si="106"/>
        <v>High</v>
      </c>
      <c r="GE38" s="196">
        <f>COUNTIF($GD$2:$GD$92, GD38)/(COUNTIF($GD$2:$GD$92, "&lt;&gt;""") - COUNTIF($GD$2:$GD$92, ""))</f>
        <v>0.8</v>
      </c>
      <c r="GF38" s="207"/>
      <c r="GG38" s="36"/>
      <c r="GH38" s="209" t="e">
        <f t="shared" ca="1" si="107"/>
        <v>#NAME?</v>
      </c>
      <c r="GI38" s="212" t="e">
        <f t="shared" ca="1" si="108"/>
        <v>#NAME?</v>
      </c>
    </row>
    <row r="39" spans="1:191" ht="15.75" customHeight="1">
      <c r="A39" s="57"/>
      <c r="B39" s="57" t="s">
        <v>409</v>
      </c>
      <c r="C39" s="49">
        <v>1708246</v>
      </c>
      <c r="D39" s="34" t="s">
        <v>846</v>
      </c>
      <c r="E39" s="85">
        <v>43881.434027777781</v>
      </c>
      <c r="F39" s="50" t="s">
        <v>847</v>
      </c>
      <c r="G39" s="229" t="s">
        <v>848</v>
      </c>
      <c r="H39" s="221" t="s">
        <v>849</v>
      </c>
      <c r="I39" s="82">
        <v>43880</v>
      </c>
      <c r="J39" s="34" t="s">
        <v>850</v>
      </c>
      <c r="K39" s="34" t="s">
        <v>846</v>
      </c>
      <c r="M39" s="16" t="s">
        <v>343</v>
      </c>
      <c r="N39" s="50" t="s">
        <v>294</v>
      </c>
      <c r="O39" s="50" t="s">
        <v>30</v>
      </c>
      <c r="P39" s="50" t="s">
        <v>174</v>
      </c>
      <c r="Q39" s="50" t="s">
        <v>35</v>
      </c>
      <c r="R39" s="176"/>
      <c r="S39" s="50" t="s">
        <v>176</v>
      </c>
      <c r="T39" s="177"/>
      <c r="U39" s="178"/>
      <c r="V39" s="180"/>
      <c r="W39" s="65">
        <v>22000000</v>
      </c>
      <c r="X39" s="61">
        <v>0.2</v>
      </c>
      <c r="Y39" s="55">
        <f t="shared" si="115"/>
        <v>17600000</v>
      </c>
      <c r="Z39" s="274">
        <f t="shared" si="116"/>
        <v>17600000</v>
      </c>
      <c r="AA39" s="183" t="e">
        <f t="shared" ca="1" si="117"/>
        <v>#NAME?</v>
      </c>
      <c r="AB39" s="50" t="s">
        <v>36</v>
      </c>
      <c r="AC39" s="50" t="s">
        <v>37</v>
      </c>
      <c r="AD39" s="50" t="s">
        <v>38</v>
      </c>
      <c r="AE39" s="50" t="s">
        <v>227</v>
      </c>
      <c r="AF39" s="50" t="s">
        <v>181</v>
      </c>
      <c r="AG39" s="35" t="s">
        <v>39</v>
      </c>
      <c r="AH39" s="50" t="s">
        <v>227</v>
      </c>
      <c r="AI39" s="83"/>
      <c r="AJ39" s="277">
        <v>7100000000</v>
      </c>
      <c r="AK39" s="224" t="e">
        <f t="shared" ca="1" si="118"/>
        <v>#NAME?</v>
      </c>
      <c r="AL39" s="277">
        <v>3500000000</v>
      </c>
      <c r="AM39" s="224" t="e">
        <f t="shared" ca="1" si="119"/>
        <v>#NAME?</v>
      </c>
      <c r="AN39" s="277">
        <v>5.8000000000000003E-2</v>
      </c>
      <c r="AO39" s="185" t="e">
        <f t="shared" ca="1" si="63"/>
        <v>#NAME?</v>
      </c>
      <c r="AP39" s="185" t="s">
        <v>169</v>
      </c>
      <c r="AQ39" s="50" t="s">
        <v>181</v>
      </c>
      <c r="AR39" s="50" t="s">
        <v>181</v>
      </c>
      <c r="AS39" s="50" t="s">
        <v>42</v>
      </c>
      <c r="AT39" s="35" t="s">
        <v>39</v>
      </c>
      <c r="AU39" s="34" t="s">
        <v>181</v>
      </c>
      <c r="AV39" s="50" t="s">
        <v>190</v>
      </c>
      <c r="AW39" s="50" t="s">
        <v>227</v>
      </c>
      <c r="AX39" s="50" t="s">
        <v>190</v>
      </c>
      <c r="AY39" s="50" t="s">
        <v>190</v>
      </c>
      <c r="AZ39" s="65">
        <v>0</v>
      </c>
      <c r="BA39" s="55" t="e">
        <f t="shared" ca="1" si="120"/>
        <v>#NAME?</v>
      </c>
      <c r="BB39" s="277">
        <v>138175</v>
      </c>
      <c r="BC39" s="277">
        <v>4900000</v>
      </c>
      <c r="BD39" s="62" t="e">
        <f t="shared" ca="1" si="121"/>
        <v>#NAME?</v>
      </c>
      <c r="BE39" s="277">
        <f t="shared" si="122"/>
        <v>2.8198979591836735E-2</v>
      </c>
      <c r="BF39" s="62" t="e">
        <f t="shared" ca="1" si="123"/>
        <v>#NAME?</v>
      </c>
      <c r="BG39" s="50" t="s">
        <v>183</v>
      </c>
      <c r="BH39" s="176"/>
      <c r="BI39" s="50" t="s">
        <v>227</v>
      </c>
      <c r="BJ39" s="49">
        <v>2</v>
      </c>
      <c r="BK39" s="277">
        <v>3</v>
      </c>
      <c r="BL39" s="50" t="s">
        <v>190</v>
      </c>
      <c r="BM39" s="50" t="s">
        <v>227</v>
      </c>
      <c r="BN39" s="50" t="s">
        <v>190</v>
      </c>
      <c r="BO39" s="50" t="s">
        <v>190</v>
      </c>
      <c r="BP39" s="49">
        <v>7</v>
      </c>
      <c r="BQ39" s="49">
        <v>5</v>
      </c>
      <c r="BR39" s="49">
        <v>0</v>
      </c>
      <c r="BS39" s="49">
        <v>0</v>
      </c>
      <c r="BT39" s="203"/>
      <c r="BU39" s="48">
        <v>0</v>
      </c>
      <c r="BV39" s="48">
        <v>0</v>
      </c>
      <c r="BW39" s="48">
        <v>42</v>
      </c>
      <c r="BX39" s="34" t="s">
        <v>227</v>
      </c>
      <c r="BY39" s="203"/>
      <c r="BZ39" s="48">
        <v>14</v>
      </c>
      <c r="CA39" s="48">
        <v>0</v>
      </c>
      <c r="CB39" s="48">
        <v>39</v>
      </c>
      <c r="CC39" s="34" t="s">
        <v>227</v>
      </c>
      <c r="CD39" s="203"/>
      <c r="CE39" s="48">
        <v>0</v>
      </c>
      <c r="CF39" s="48">
        <v>0</v>
      </c>
      <c r="CG39" s="48">
        <v>59</v>
      </c>
      <c r="CH39" s="34" t="s">
        <v>227</v>
      </c>
      <c r="CI39" s="203"/>
      <c r="CJ39" s="57"/>
      <c r="CK39" s="57"/>
      <c r="CL39" s="57"/>
      <c r="CM39" s="57"/>
      <c r="CN39" s="203"/>
      <c r="CO39" s="57"/>
      <c r="CP39" s="57"/>
      <c r="CQ39" s="57"/>
      <c r="CR39" s="57"/>
      <c r="CS39" s="203"/>
      <c r="CT39" s="57"/>
      <c r="CU39" s="57"/>
      <c r="CV39" s="57"/>
      <c r="CW39" s="57"/>
      <c r="CX39" s="203"/>
      <c r="CY39" s="57"/>
      <c r="CZ39" s="57"/>
      <c r="DA39" s="57"/>
      <c r="DB39" s="57"/>
      <c r="DC39" s="203"/>
      <c r="DD39" s="57"/>
      <c r="DE39" s="57"/>
      <c r="DF39" s="57"/>
      <c r="DG39" s="57"/>
      <c r="DH39" s="203"/>
      <c r="DI39" s="57"/>
      <c r="DJ39" s="57"/>
      <c r="DK39" s="57"/>
      <c r="DL39" s="57"/>
      <c r="DM39" s="204"/>
      <c r="DN39" s="205"/>
      <c r="DO39" s="205"/>
      <c r="DQ39" s="206"/>
      <c r="DR39" s="188">
        <f t="shared" si="64"/>
        <v>4.666666666666667</v>
      </c>
      <c r="DS39" s="188"/>
      <c r="DT39" s="189">
        <f t="shared" si="65"/>
        <v>0</v>
      </c>
      <c r="DU39" s="189"/>
      <c r="DV39" s="188">
        <f t="shared" si="66"/>
        <v>46.666666666666664</v>
      </c>
      <c r="DW39" s="183" t="e">
        <f t="shared" ca="1" si="67"/>
        <v>#NAME?</v>
      </c>
      <c r="DX39" s="207"/>
      <c r="DY39" s="190" t="e">
        <f t="shared" ca="1" si="68"/>
        <v>#NAME?</v>
      </c>
      <c r="DZ39" s="191">
        <f t="shared" si="69"/>
        <v>3.1052631578947367</v>
      </c>
      <c r="EA39" s="191" t="str">
        <f t="shared" si="70"/>
        <v/>
      </c>
      <c r="EB39" s="191" t="str">
        <f t="shared" si="71"/>
        <v/>
      </c>
      <c r="EC39" s="208" t="e">
        <f t="shared" ca="1" si="72"/>
        <v>#NAME?</v>
      </c>
      <c r="ED39" s="36" t="str">
        <f t="shared" si="73"/>
        <v>Convertible Note</v>
      </c>
      <c r="EE39" s="193">
        <f>COUNTIF($ED$2:$ED$92, ED39)/(COUNTIF($ED$2:$ED$92, "&lt;&gt;""") - COUNTIF($ED$2:$ED$92, ""))</f>
        <v>0.13333333333333333</v>
      </c>
      <c r="EF39" s="36" t="str">
        <f t="shared" si="74"/>
        <v>Early</v>
      </c>
      <c r="EG39" s="207"/>
      <c r="EH39" s="194" t="e">
        <f t="shared" ca="1" si="75"/>
        <v>#NAME?</v>
      </c>
      <c r="EI39" s="194" t="e">
        <f t="shared" ca="1" si="76"/>
        <v>#NAME?</v>
      </c>
      <c r="EJ39" s="209" t="e">
        <f t="shared" ca="1" si="77"/>
        <v>#NAME?</v>
      </c>
      <c r="EK39" s="208" t="e">
        <f t="shared" ca="1" si="78"/>
        <v>#NAME?</v>
      </c>
      <c r="EL39" s="36" t="str">
        <f t="shared" si="79"/>
        <v>No</v>
      </c>
      <c r="EM39" s="207"/>
      <c r="EN39" s="192">
        <f t="shared" si="80"/>
        <v>1.4444444444444444</v>
      </c>
      <c r="EO39" s="192">
        <f t="shared" si="81"/>
        <v>1</v>
      </c>
      <c r="EP39" s="209">
        <f t="shared" si="82"/>
        <v>2.4444444444444446</v>
      </c>
      <c r="EQ39" s="210">
        <f t="shared" si="83"/>
        <v>1.3489096573208725</v>
      </c>
      <c r="ER39" s="36" t="e">
        <f t="shared" ca="1" si="84"/>
        <v>#NAME?</v>
      </c>
      <c r="ES39" s="40">
        <f ca="1">COUNTIF($ER$2:$ER$92, ER39)/(COUNTIF($ER$2:$ER$92, "&lt;&gt;""") - COUNTIF($ER$2:$ER$92, ""))</f>
        <v>1</v>
      </c>
      <c r="ET39" s="36">
        <f t="shared" si="85"/>
        <v>3</v>
      </c>
      <c r="EU39" s="40">
        <f>COUNTIF($ET$2:$ET$92, ET39)/(COUNTIF($ET$2:$ET$92, "&lt;&gt;""") - COUNTIF($ET$2:$ET$92, ""))</f>
        <v>4.4444444444444446E-2</v>
      </c>
      <c r="EV39" s="36">
        <f t="shared" si="86"/>
        <v>5</v>
      </c>
      <c r="EW39" s="40">
        <f>COUNTIF($EV$2:$EV$92, EV39)/(COUNTIF($EV$2:$EV$92, "&lt;&gt;""") - COUNTIF($EV$2:$EV$92, ""))</f>
        <v>0.13333333333333333</v>
      </c>
      <c r="EX39" s="36" t="str">
        <f t="shared" si="87"/>
        <v>No</v>
      </c>
      <c r="EY39" s="40">
        <f>COUNTIF($EX$2:$EX$92, EX39)/(COUNTIF($EX$2:$EX$92, "&lt;&gt;""") - COUNTIF($EX$2:$EX$92, ""))</f>
        <v>0.72222222222222221</v>
      </c>
      <c r="EZ39" s="36" t="str">
        <f t="shared" ref="EZ39:FB39" si="143">BM39</f>
        <v>Yes</v>
      </c>
      <c r="FA39" s="36" t="str">
        <f t="shared" si="143"/>
        <v>No</v>
      </c>
      <c r="FB39" s="36" t="str">
        <f t="shared" si="143"/>
        <v>No</v>
      </c>
      <c r="FC39" s="207"/>
      <c r="FD39" s="36" t="str">
        <f t="shared" si="89"/>
        <v>Transactional</v>
      </c>
      <c r="FE39" s="40">
        <f>COUNTIF($FD$2:$FD$92, FD39)/(COUNTIF($FD$2:$FD$92, "&lt;&gt;""") - COUNTIF($FD$2:$FD$92, ""))</f>
        <v>0.6</v>
      </c>
      <c r="FF39" s="36" t="str">
        <f t="shared" si="90"/>
        <v>B2B</v>
      </c>
      <c r="FG39" s="40">
        <f>COUNTIF($FF$2:$FF$92, FF39)/(COUNTIF($FF$2:$FF$92, "&lt;&gt;""") - COUNTIF($FF$2:$FF$92, ""))</f>
        <v>0.24444444444444444</v>
      </c>
      <c r="FH39" s="36" t="str">
        <f t="shared" si="91"/>
        <v>Low</v>
      </c>
      <c r="FI39" s="40">
        <f>COUNTIF($FH$2:$FH$92, FH39)/(COUNTIF($FH$2:$FH$92, "&lt;&gt;""") - COUNTIF($FH$2:$FH$92, ""))</f>
        <v>0.46666666666666667</v>
      </c>
      <c r="FJ39" s="36" t="str">
        <f t="shared" si="92"/>
        <v>High</v>
      </c>
      <c r="FK39" s="40">
        <f>COUNTIF($FJ$2:$FJ$92, FJ39)/(COUNTIF($FJ$2:$FJ$92, "&lt;&gt;""") - COUNTIF($FJ$2:$FJ$92, ""))</f>
        <v>0.58888888888888891</v>
      </c>
      <c r="FL39" s="207"/>
      <c r="FM39" s="192">
        <f t="shared" si="93"/>
        <v>1</v>
      </c>
      <c r="FN39" s="192" t="e">
        <f t="shared" ca="1" si="94"/>
        <v>#NAME?</v>
      </c>
      <c r="FO39" s="192" t="e">
        <f t="shared" ca="1" si="95"/>
        <v>#NAME?</v>
      </c>
      <c r="FP39" s="192" t="e">
        <f t="shared" ca="1" si="96"/>
        <v>#NAME?</v>
      </c>
      <c r="FQ39" s="209" t="e">
        <f t="shared" ca="1" si="97"/>
        <v>#NAME?</v>
      </c>
      <c r="FR39" s="208" t="e">
        <f t="shared" ca="1" si="98"/>
        <v>#NAME?</v>
      </c>
      <c r="FS39" s="36" t="str">
        <f t="shared" si="99"/>
        <v>Pre-Revenue</v>
      </c>
      <c r="FT39" s="196">
        <f>COUNTIF($FS$2:$FS$92, FS39)/(COUNTIF($FS$2:$FS$92, "&lt;&gt;""") - COUNTIF($FZ$2:$FZ$92, ""))</f>
        <v>0.2</v>
      </c>
      <c r="FU39" s="207"/>
      <c r="FV39" s="192" t="e">
        <f t="shared" ca="1" si="100"/>
        <v>#NAME?</v>
      </c>
      <c r="FW39" s="197" t="e">
        <f t="shared" ca="1" si="101"/>
        <v>#NAME?</v>
      </c>
      <c r="FX39" s="209" t="e">
        <f t="shared" ca="1" si="102"/>
        <v>#NAME?</v>
      </c>
      <c r="FY39" s="211" t="e">
        <f t="shared" ca="1" si="103"/>
        <v>#NAME?</v>
      </c>
      <c r="FZ39" s="36" t="str">
        <f t="shared" si="104"/>
        <v>Yes</v>
      </c>
      <c r="GA39" s="196">
        <f>COUNTIF($FZ$2:$FZ$92, FZ39)/(COUNTIF($FZ$2:$FZ$92, "&lt;&gt;""") - COUNTIF($FZ$2:$FZ$92, ""))</f>
        <v>0.23333333333333334</v>
      </c>
      <c r="GB39" s="196" t="str">
        <f t="shared" si="105"/>
        <v>High</v>
      </c>
      <c r="GC39" s="196">
        <f>COUNTIF($GB$2:$GB$92, GB39)/(COUNTIF($GB$2:$GB$92, "&lt;&gt;""") - COUNTIF($GB$2:$GB$92, ""))</f>
        <v>0.43333333333333335</v>
      </c>
      <c r="GD39" s="196" t="str">
        <f t="shared" si="106"/>
        <v>Low</v>
      </c>
      <c r="GE39" s="196">
        <f>COUNTIF($GD$2:$GD$92, GD39)/(COUNTIF($GD$2:$GD$92, "&lt;&gt;""") - COUNTIF($GD$2:$GD$92, ""))</f>
        <v>0.18888888888888888</v>
      </c>
      <c r="GF39" s="207"/>
      <c r="GG39" s="36"/>
      <c r="GH39" s="209" t="e">
        <f t="shared" ca="1" si="107"/>
        <v>#NAME?</v>
      </c>
      <c r="GI39" s="212" t="e">
        <f t="shared" ca="1" si="108"/>
        <v>#NAME?</v>
      </c>
    </row>
    <row r="40" spans="1:191" ht="15.75" customHeight="1">
      <c r="A40" s="57"/>
      <c r="B40" s="57" t="s">
        <v>409</v>
      </c>
      <c r="C40" s="49">
        <v>1806364</v>
      </c>
      <c r="D40" s="34" t="s">
        <v>851</v>
      </c>
      <c r="E40" s="85"/>
      <c r="F40" s="50" t="s">
        <v>344</v>
      </c>
      <c r="G40" s="229" t="s">
        <v>852</v>
      </c>
      <c r="H40" s="221" t="s">
        <v>853</v>
      </c>
      <c r="I40" s="82">
        <v>43906</v>
      </c>
      <c r="J40" s="34" t="s">
        <v>854</v>
      </c>
      <c r="K40" s="34" t="s">
        <v>851</v>
      </c>
      <c r="M40" s="35" t="s">
        <v>323</v>
      </c>
      <c r="N40" s="50" t="s">
        <v>294</v>
      </c>
      <c r="O40" s="50" t="s">
        <v>30</v>
      </c>
      <c r="P40" s="50" t="s">
        <v>31</v>
      </c>
      <c r="Q40" s="50" t="s">
        <v>35</v>
      </c>
      <c r="R40" s="176"/>
      <c r="S40" s="50" t="s">
        <v>232</v>
      </c>
      <c r="T40" s="177"/>
      <c r="U40" s="178"/>
      <c r="V40" s="65">
        <v>12000000</v>
      </c>
      <c r="W40" s="180"/>
      <c r="X40" s="181"/>
      <c r="Y40" s="55" t="str">
        <f t="shared" si="115"/>
        <v/>
      </c>
      <c r="Z40" s="274">
        <f t="shared" si="116"/>
        <v>12000000</v>
      </c>
      <c r="AA40" s="183" t="e">
        <f t="shared" ca="1" si="117"/>
        <v>#NAME?</v>
      </c>
      <c r="AB40" s="50" t="s">
        <v>36</v>
      </c>
      <c r="AC40" s="50" t="s">
        <v>179</v>
      </c>
      <c r="AD40" s="50" t="s">
        <v>38</v>
      </c>
      <c r="AE40" s="50" t="s">
        <v>227</v>
      </c>
      <c r="AF40" s="50" t="s">
        <v>181</v>
      </c>
      <c r="AG40" s="35" t="s">
        <v>39</v>
      </c>
      <c r="AH40" s="50" t="s">
        <v>190</v>
      </c>
      <c r="AI40" s="83"/>
      <c r="AJ40" s="277">
        <v>184000000000</v>
      </c>
      <c r="AK40" s="224" t="e">
        <f t="shared" ca="1" si="118"/>
        <v>#NAME?</v>
      </c>
      <c r="AL40" s="277">
        <v>42600000000</v>
      </c>
      <c r="AM40" s="224" t="e">
        <f t="shared" ca="1" si="119"/>
        <v>#NAME?</v>
      </c>
      <c r="AN40" s="277">
        <v>0.20399999999999999</v>
      </c>
      <c r="AO40" s="185" t="e">
        <f t="shared" ca="1" si="63"/>
        <v>#NAME?</v>
      </c>
      <c r="AP40" s="185" t="s">
        <v>192</v>
      </c>
      <c r="AQ40" s="35" t="s">
        <v>39</v>
      </c>
      <c r="AR40" s="50" t="s">
        <v>181</v>
      </c>
      <c r="AS40" s="50" t="s">
        <v>182</v>
      </c>
      <c r="AT40" s="34" t="s">
        <v>181</v>
      </c>
      <c r="AU40" s="35" t="s">
        <v>39</v>
      </c>
      <c r="AV40" s="50" t="s">
        <v>190</v>
      </c>
      <c r="AW40" s="50" t="s">
        <v>190</v>
      </c>
      <c r="AX40" s="50" t="s">
        <v>227</v>
      </c>
      <c r="AY40" s="50" t="s">
        <v>227</v>
      </c>
      <c r="AZ40" s="65">
        <v>4428320</v>
      </c>
      <c r="BA40" s="55" t="e">
        <f t="shared" ca="1" si="120"/>
        <v>#NAME?</v>
      </c>
      <c r="BB40" s="277">
        <v>261255</v>
      </c>
      <c r="BC40" s="277">
        <v>3274790</v>
      </c>
      <c r="BD40" s="62" t="e">
        <f t="shared" ca="1" si="121"/>
        <v>#NAME?</v>
      </c>
      <c r="BE40" s="277">
        <f t="shared" si="122"/>
        <v>7.9777634596416874E-2</v>
      </c>
      <c r="BF40" s="62" t="e">
        <f t="shared" ca="1" si="123"/>
        <v>#NAME?</v>
      </c>
      <c r="BG40" s="50" t="s">
        <v>202</v>
      </c>
      <c r="BH40" s="176"/>
      <c r="BI40" s="50" t="s">
        <v>227</v>
      </c>
      <c r="BJ40" s="49">
        <v>1</v>
      </c>
      <c r="BK40" s="277">
        <v>1</v>
      </c>
      <c r="BL40" s="50" t="s">
        <v>190</v>
      </c>
      <c r="BM40" s="50" t="s">
        <v>190</v>
      </c>
      <c r="BN40" s="50" t="s">
        <v>190</v>
      </c>
      <c r="BO40" s="50" t="s">
        <v>190</v>
      </c>
      <c r="BP40" s="49">
        <v>0</v>
      </c>
      <c r="BQ40" s="49">
        <v>27</v>
      </c>
      <c r="BR40" s="49">
        <v>0</v>
      </c>
      <c r="BS40" s="49">
        <v>1</v>
      </c>
      <c r="BT40" s="203"/>
      <c r="BU40" s="48">
        <v>11</v>
      </c>
      <c r="BV40" s="48">
        <v>1</v>
      </c>
      <c r="BW40" s="48">
        <v>42</v>
      </c>
      <c r="BX40" s="57" t="s">
        <v>190</v>
      </c>
      <c r="BY40" s="203"/>
      <c r="BZ40" s="57"/>
      <c r="CA40" s="57"/>
      <c r="CB40" s="57"/>
      <c r="CC40" s="57"/>
      <c r="CD40" s="203"/>
      <c r="CE40" s="57"/>
      <c r="CF40" s="57"/>
      <c r="CG40" s="57"/>
      <c r="CH40" s="57"/>
      <c r="CI40" s="203"/>
      <c r="CJ40" s="57"/>
      <c r="CK40" s="57"/>
      <c r="CL40" s="57"/>
      <c r="CM40" s="57"/>
      <c r="CN40" s="203"/>
      <c r="CO40" s="186"/>
      <c r="CP40" s="186"/>
      <c r="CQ40" s="186"/>
      <c r="CR40" s="57"/>
      <c r="CS40" s="203"/>
      <c r="CT40" s="186"/>
      <c r="CU40" s="186"/>
      <c r="CV40" s="186"/>
      <c r="CW40" s="57"/>
      <c r="CX40" s="203"/>
      <c r="CY40" s="186"/>
      <c r="CZ40" s="186"/>
      <c r="DA40" s="186"/>
      <c r="DB40" s="57"/>
      <c r="DC40" s="203"/>
      <c r="DD40" s="186"/>
      <c r="DE40" s="186"/>
      <c r="DF40" s="186"/>
      <c r="DG40" s="57"/>
      <c r="DH40" s="203"/>
      <c r="DI40" s="186"/>
      <c r="DJ40" s="186"/>
      <c r="DK40" s="186"/>
      <c r="DL40" s="57"/>
      <c r="DM40" s="204"/>
      <c r="DN40" s="205"/>
      <c r="DO40" s="205"/>
      <c r="DQ40" s="206"/>
      <c r="DR40" s="188">
        <f t="shared" si="64"/>
        <v>11</v>
      </c>
      <c r="DS40" s="188"/>
      <c r="DT40" s="189">
        <f t="shared" si="65"/>
        <v>1</v>
      </c>
      <c r="DU40" s="189"/>
      <c r="DV40" s="188">
        <f t="shared" si="66"/>
        <v>42</v>
      </c>
      <c r="DW40" s="183" t="e">
        <f t="shared" ca="1" si="67"/>
        <v>#NAME?</v>
      </c>
      <c r="DX40" s="207"/>
      <c r="DY40" s="190" t="e">
        <f t="shared" ca="1" si="68"/>
        <v>#NAME?</v>
      </c>
      <c r="DZ40" s="191" t="str">
        <f t="shared" si="69"/>
        <v/>
      </c>
      <c r="EA40" s="191" t="str">
        <f t="shared" si="70"/>
        <v/>
      </c>
      <c r="EB40" s="191" t="str">
        <f t="shared" si="71"/>
        <v/>
      </c>
      <c r="EC40" s="208" t="e">
        <f t="shared" ca="1" si="72"/>
        <v>#NAME?</v>
      </c>
      <c r="ED40" s="36" t="str">
        <f t="shared" si="73"/>
        <v>Equity - Preferred</v>
      </c>
      <c r="EE40" s="193">
        <f>COUNTIF($ED$2:$ED$92, ED40)/(COUNTIF($ED$2:$ED$92, "&lt;&gt;""") - COUNTIF($ED$2:$ED$92, ""))</f>
        <v>6.6666666666666666E-2</v>
      </c>
      <c r="EF40" s="36" t="str">
        <f t="shared" si="74"/>
        <v>Early</v>
      </c>
      <c r="EG40" s="207"/>
      <c r="EH40" s="194" t="e">
        <f t="shared" ca="1" si="75"/>
        <v>#NAME?</v>
      </c>
      <c r="EI40" s="194" t="e">
        <f t="shared" ca="1" si="76"/>
        <v>#NAME?</v>
      </c>
      <c r="EJ40" s="209" t="e">
        <f t="shared" ca="1" si="77"/>
        <v>#NAME?</v>
      </c>
      <c r="EK40" s="208" t="e">
        <f t="shared" ca="1" si="78"/>
        <v>#NAME?</v>
      </c>
      <c r="EL40" s="36" t="str">
        <f t="shared" si="79"/>
        <v>No</v>
      </c>
      <c r="EM40" s="207"/>
      <c r="EN40" s="192">
        <f t="shared" si="80"/>
        <v>2.0476190476190474</v>
      </c>
      <c r="EO40" s="192">
        <f t="shared" si="81"/>
        <v>2</v>
      </c>
      <c r="EP40" s="209">
        <f t="shared" si="82"/>
        <v>4.0476190476190474</v>
      </c>
      <c r="EQ40" s="210">
        <f t="shared" si="83"/>
        <v>2.6074766355140184</v>
      </c>
      <c r="ER40" s="36" t="e">
        <f t="shared" ca="1" si="84"/>
        <v>#NAME?</v>
      </c>
      <c r="ES40" s="40">
        <f ca="1">COUNTIF($ER$2:$ER$92, ER40)/(COUNTIF($ER$2:$ER$92, "&lt;&gt;""") - COUNTIF($ER$2:$ER$92, ""))</f>
        <v>1</v>
      </c>
      <c r="ET40" s="36">
        <f t="shared" si="85"/>
        <v>1</v>
      </c>
      <c r="EU40" s="40">
        <f>COUNTIF($ET$2:$ET$92, ET40)/(COUNTIF($ET$2:$ET$92, "&lt;&gt;""") - COUNTIF($ET$2:$ET$92, ""))</f>
        <v>0.45555555555555555</v>
      </c>
      <c r="EV40" s="36">
        <f t="shared" si="86"/>
        <v>27</v>
      </c>
      <c r="EW40" s="40">
        <f>COUNTIF($EV$2:$EV$92, EV40)/(COUNTIF($EV$2:$EV$92, "&lt;&gt;""") - COUNTIF($EV$2:$EV$92, ""))</f>
        <v>1.1111111111111112E-2</v>
      </c>
      <c r="EX40" s="36" t="str">
        <f t="shared" si="87"/>
        <v>No</v>
      </c>
      <c r="EY40" s="40">
        <f>COUNTIF($EX$2:$EX$92, EX40)/(COUNTIF($EX$2:$EX$92, "&lt;&gt;""") - COUNTIF($EX$2:$EX$92, ""))</f>
        <v>0.72222222222222221</v>
      </c>
      <c r="EZ40" s="36" t="str">
        <f t="shared" ref="EZ40:FB40" si="144">BM40</f>
        <v>No</v>
      </c>
      <c r="FA40" s="36" t="str">
        <f t="shared" si="144"/>
        <v>No</v>
      </c>
      <c r="FB40" s="36" t="str">
        <f t="shared" si="144"/>
        <v>No</v>
      </c>
      <c r="FC40" s="207"/>
      <c r="FD40" s="36" t="str">
        <f t="shared" si="89"/>
        <v>Transactional</v>
      </c>
      <c r="FE40" s="40">
        <f>COUNTIF($FD$2:$FD$92, FD40)/(COUNTIF($FD$2:$FD$92, "&lt;&gt;""") - COUNTIF($FD$2:$FD$92, ""))</f>
        <v>0.6</v>
      </c>
      <c r="FF40" s="36" t="str">
        <f t="shared" si="90"/>
        <v>B2C</v>
      </c>
      <c r="FG40" s="40">
        <f>COUNTIF($FF$2:$FF$92, FF40)/(COUNTIF($FF$2:$FF$92, "&lt;&gt;""") - COUNTIF($FF$2:$FF$92, ""))</f>
        <v>0.41111111111111109</v>
      </c>
      <c r="FH40" s="36" t="str">
        <f t="shared" si="91"/>
        <v>Low</v>
      </c>
      <c r="FI40" s="40">
        <f>COUNTIF($FH$2:$FH$92, FH40)/(COUNTIF($FH$2:$FH$92, "&lt;&gt;""") - COUNTIF($FH$2:$FH$92, ""))</f>
        <v>0.46666666666666667</v>
      </c>
      <c r="FJ40" s="36" t="str">
        <f t="shared" si="92"/>
        <v>High</v>
      </c>
      <c r="FK40" s="40">
        <f>COUNTIF($FJ$2:$FJ$92, FJ40)/(COUNTIF($FJ$2:$FJ$92, "&lt;&gt;""") - COUNTIF($FJ$2:$FJ$92, ""))</f>
        <v>0.58888888888888891</v>
      </c>
      <c r="FL40" s="207"/>
      <c r="FM40" s="192">
        <f t="shared" si="93"/>
        <v>5</v>
      </c>
      <c r="FN40" s="192" t="e">
        <f t="shared" ca="1" si="94"/>
        <v>#NAME?</v>
      </c>
      <c r="FO40" s="192" t="e">
        <f t="shared" ca="1" si="95"/>
        <v>#NAME?</v>
      </c>
      <c r="FP40" s="192" t="e">
        <f t="shared" ca="1" si="96"/>
        <v>#NAME?</v>
      </c>
      <c r="FQ40" s="209" t="e">
        <f t="shared" ca="1" si="97"/>
        <v>#NAME?</v>
      </c>
      <c r="FR40" s="208" t="e">
        <f t="shared" ca="1" si="98"/>
        <v>#NAME?</v>
      </c>
      <c r="FS40" s="36" t="str">
        <f t="shared" si="99"/>
        <v>Pre-Profit</v>
      </c>
      <c r="FT40" s="196">
        <f>COUNTIF($FS$2:$FS$92, FS40)/(COUNTIF($FS$2:$FS$92, "&lt;&gt;""") - COUNTIF($FZ$2:$FZ$92, ""))</f>
        <v>0.51111111111111107</v>
      </c>
      <c r="FU40" s="207"/>
      <c r="FV40" s="192">
        <f t="shared" si="100"/>
        <v>3</v>
      </c>
      <c r="FW40" s="197" t="e">
        <f t="shared" ca="1" si="101"/>
        <v>#NAME?</v>
      </c>
      <c r="FX40" s="209" t="e">
        <f t="shared" ca="1" si="102"/>
        <v>#NAME?</v>
      </c>
      <c r="FY40" s="211" t="e">
        <f t="shared" ca="1" si="103"/>
        <v>#NAME?</v>
      </c>
      <c r="FZ40" s="36" t="str">
        <f t="shared" si="104"/>
        <v>No</v>
      </c>
      <c r="GA40" s="196">
        <f>COUNTIF($FZ$2:$FZ$92, FZ40)/(COUNTIF($FZ$2:$FZ$92, "&lt;&gt;""") - COUNTIF($FZ$2:$FZ$92, ""))</f>
        <v>0.76666666666666672</v>
      </c>
      <c r="GB40" s="196" t="str">
        <f t="shared" si="105"/>
        <v>Low</v>
      </c>
      <c r="GC40" s="196">
        <f>COUNTIF($GB$2:$GB$92, GB40)/(COUNTIF($GB$2:$GB$92, "&lt;&gt;""") - COUNTIF($GB$2:$GB$92, ""))</f>
        <v>0.55555555555555558</v>
      </c>
      <c r="GD40" s="196" t="str">
        <f t="shared" si="106"/>
        <v>High</v>
      </c>
      <c r="GE40" s="196">
        <f>COUNTIF($GD$2:$GD$92, GD40)/(COUNTIF($GD$2:$GD$92, "&lt;&gt;""") - COUNTIF($GD$2:$GD$92, ""))</f>
        <v>0.8</v>
      </c>
      <c r="GF40" s="207"/>
      <c r="GG40" s="36"/>
      <c r="GH40" s="209" t="e">
        <f t="shared" ca="1" si="107"/>
        <v>#NAME?</v>
      </c>
      <c r="GI40" s="212" t="e">
        <f t="shared" ca="1" si="108"/>
        <v>#NAME?</v>
      </c>
    </row>
    <row r="41" spans="1:191" ht="15.75" customHeight="1">
      <c r="A41" s="57"/>
      <c r="B41" s="57" t="s">
        <v>409</v>
      </c>
      <c r="C41" s="49">
        <v>1803906</v>
      </c>
      <c r="D41" s="34" t="s">
        <v>855</v>
      </c>
      <c r="E41" s="85"/>
      <c r="F41" s="50" t="s">
        <v>316</v>
      </c>
      <c r="G41" s="229" t="s">
        <v>856</v>
      </c>
      <c r="H41" s="221" t="s">
        <v>857</v>
      </c>
      <c r="I41" s="82">
        <v>43915</v>
      </c>
      <c r="J41" s="34" t="s">
        <v>858</v>
      </c>
      <c r="K41" s="34" t="s">
        <v>855</v>
      </c>
      <c r="M41" s="231" t="s">
        <v>286</v>
      </c>
      <c r="N41" s="50" t="s">
        <v>278</v>
      </c>
      <c r="O41" s="50" t="s">
        <v>30</v>
      </c>
      <c r="P41" s="50" t="s">
        <v>174</v>
      </c>
      <c r="Q41" s="50" t="s">
        <v>35</v>
      </c>
      <c r="R41" s="176"/>
      <c r="S41" s="50" t="s">
        <v>216</v>
      </c>
      <c r="T41" s="177"/>
      <c r="U41" s="178"/>
      <c r="V41" s="65">
        <v>2500000</v>
      </c>
      <c r="W41" s="180"/>
      <c r="X41" s="181"/>
      <c r="Y41" s="55" t="str">
        <f t="shared" si="115"/>
        <v/>
      </c>
      <c r="Z41" s="274">
        <f t="shared" si="116"/>
        <v>2500000</v>
      </c>
      <c r="AA41" s="183" t="e">
        <f t="shared" ca="1" si="117"/>
        <v>#NAME?</v>
      </c>
      <c r="AB41" s="50" t="s">
        <v>178</v>
      </c>
      <c r="AC41" s="50" t="s">
        <v>179</v>
      </c>
      <c r="AD41" s="35" t="s">
        <v>180</v>
      </c>
      <c r="AE41" s="50" t="s">
        <v>227</v>
      </c>
      <c r="AF41" s="50" t="s">
        <v>181</v>
      </c>
      <c r="AG41" s="50" t="s">
        <v>181</v>
      </c>
      <c r="AH41" s="50" t="s">
        <v>190</v>
      </c>
      <c r="AI41" s="83"/>
      <c r="AJ41" s="277">
        <v>100100000000</v>
      </c>
      <c r="AK41" s="224" t="e">
        <f t="shared" ca="1" si="118"/>
        <v>#NAME?</v>
      </c>
      <c r="AL41" s="277">
        <v>5180000000</v>
      </c>
      <c r="AM41" s="224" t="e">
        <f t="shared" ca="1" si="119"/>
        <v>#NAME?</v>
      </c>
      <c r="AN41" s="277">
        <v>7.0000000000000007E-2</v>
      </c>
      <c r="AO41" s="185" t="e">
        <f t="shared" ca="1" si="63"/>
        <v>#NAME?</v>
      </c>
      <c r="AP41" s="185" t="s">
        <v>228</v>
      </c>
      <c r="AQ41" s="50" t="s">
        <v>181</v>
      </c>
      <c r="AR41" s="50" t="s">
        <v>181</v>
      </c>
      <c r="AS41" s="50" t="s">
        <v>201</v>
      </c>
      <c r="AT41" s="34" t="s">
        <v>181</v>
      </c>
      <c r="AU41" s="35" t="s">
        <v>39</v>
      </c>
      <c r="AV41" s="50" t="s">
        <v>190</v>
      </c>
      <c r="AW41" s="50" t="s">
        <v>190</v>
      </c>
      <c r="AX41" s="50" t="s">
        <v>190</v>
      </c>
      <c r="AY41" s="50" t="s">
        <v>190</v>
      </c>
      <c r="AZ41" s="65">
        <v>0</v>
      </c>
      <c r="BA41" s="55" t="e">
        <f t="shared" ca="1" si="120"/>
        <v>#NAME?</v>
      </c>
      <c r="BB41" s="277">
        <v>3685</v>
      </c>
      <c r="BC41" s="277">
        <v>600000</v>
      </c>
      <c r="BD41" s="62" t="e">
        <f t="shared" ca="1" si="121"/>
        <v>#NAME?</v>
      </c>
      <c r="BE41" s="277">
        <f t="shared" si="122"/>
        <v>6.1416666666666668E-3</v>
      </c>
      <c r="BF41" s="62" t="e">
        <f t="shared" ca="1" si="123"/>
        <v>#NAME?</v>
      </c>
      <c r="BG41" s="50" t="s">
        <v>183</v>
      </c>
      <c r="BH41" s="176"/>
      <c r="BI41" s="50" t="s">
        <v>227</v>
      </c>
      <c r="BJ41" s="49">
        <v>10</v>
      </c>
      <c r="BK41" s="277">
        <v>2</v>
      </c>
      <c r="BL41" s="50" t="s">
        <v>190</v>
      </c>
      <c r="BM41" s="50" t="s">
        <v>190</v>
      </c>
      <c r="BN41" s="50" t="s">
        <v>190</v>
      </c>
      <c r="BO41" s="50" t="s">
        <v>190</v>
      </c>
      <c r="BP41" s="49">
        <v>2</v>
      </c>
      <c r="BQ41" s="49">
        <v>4</v>
      </c>
      <c r="BR41" s="49">
        <v>0</v>
      </c>
      <c r="BS41" s="49">
        <v>0</v>
      </c>
      <c r="BT41" s="203"/>
      <c r="BU41" s="48">
        <v>0</v>
      </c>
      <c r="BV41" s="48">
        <v>0</v>
      </c>
      <c r="BW41" s="48">
        <v>35</v>
      </c>
      <c r="BX41" s="34" t="s">
        <v>227</v>
      </c>
      <c r="BY41" s="203"/>
      <c r="BZ41" s="48">
        <v>20</v>
      </c>
      <c r="CA41" s="48">
        <v>0</v>
      </c>
      <c r="CB41" s="48">
        <v>45</v>
      </c>
      <c r="CC41" s="34" t="s">
        <v>227</v>
      </c>
      <c r="CD41" s="203"/>
      <c r="CE41" s="57"/>
      <c r="CF41" s="57"/>
      <c r="CG41" s="57"/>
      <c r="CH41" s="57"/>
      <c r="CI41" s="203"/>
      <c r="CJ41" s="57"/>
      <c r="CK41" s="57"/>
      <c r="CL41" s="57"/>
      <c r="CM41" s="57"/>
      <c r="CN41" s="203"/>
      <c r="CO41" s="57"/>
      <c r="CP41" s="57"/>
      <c r="CQ41" s="57"/>
      <c r="CR41" s="57"/>
      <c r="CS41" s="203"/>
      <c r="CT41" s="57"/>
      <c r="CU41" s="57"/>
      <c r="CV41" s="57"/>
      <c r="CW41" s="57"/>
      <c r="CX41" s="203"/>
      <c r="CY41" s="57"/>
      <c r="CZ41" s="57"/>
      <c r="DA41" s="57"/>
      <c r="DB41" s="57"/>
      <c r="DC41" s="203"/>
      <c r="DD41" s="57"/>
      <c r="DE41" s="57"/>
      <c r="DF41" s="57"/>
      <c r="DG41" s="57"/>
      <c r="DH41" s="203"/>
      <c r="DI41" s="57"/>
      <c r="DJ41" s="57"/>
      <c r="DK41" s="57"/>
      <c r="DL41" s="57"/>
      <c r="DM41" s="204"/>
      <c r="DN41" s="205"/>
      <c r="DO41" s="205"/>
      <c r="DQ41" s="206"/>
      <c r="DR41" s="188">
        <f t="shared" si="64"/>
        <v>10</v>
      </c>
      <c r="DS41" s="188"/>
      <c r="DT41" s="189">
        <f t="shared" si="65"/>
        <v>0</v>
      </c>
      <c r="DU41" s="189"/>
      <c r="DV41" s="188">
        <f t="shared" si="66"/>
        <v>40</v>
      </c>
      <c r="DW41" s="183" t="e">
        <f t="shared" ca="1" si="67"/>
        <v>#NAME?</v>
      </c>
      <c r="DX41" s="207"/>
      <c r="DY41" s="190" t="e">
        <f t="shared" ca="1" si="68"/>
        <v>#NAME?</v>
      </c>
      <c r="DZ41" s="191" t="str">
        <f t="shared" si="69"/>
        <v/>
      </c>
      <c r="EA41" s="191" t="str">
        <f t="shared" si="70"/>
        <v/>
      </c>
      <c r="EB41" s="191" t="str">
        <f t="shared" si="71"/>
        <v/>
      </c>
      <c r="EC41" s="208" t="e">
        <f t="shared" ca="1" si="72"/>
        <v>#NAME?</v>
      </c>
      <c r="ED41" s="36" t="str">
        <f t="shared" si="73"/>
        <v>Equity - Common</v>
      </c>
      <c r="EE41" s="193">
        <f>COUNTIF($ED$2:$ED$92, ED41)/(COUNTIF($ED$2:$ED$92, "&lt;&gt;""") - COUNTIF($ED$2:$ED$92, ""))</f>
        <v>0.32222222222222224</v>
      </c>
      <c r="EF41" s="36" t="str">
        <f t="shared" si="74"/>
        <v>Early</v>
      </c>
      <c r="EG41" s="207"/>
      <c r="EH41" s="194" t="e">
        <f t="shared" ca="1" si="75"/>
        <v>#NAME?</v>
      </c>
      <c r="EI41" s="194" t="e">
        <f t="shared" ca="1" si="76"/>
        <v>#NAME?</v>
      </c>
      <c r="EJ41" s="209" t="e">
        <f t="shared" ca="1" si="77"/>
        <v>#NAME?</v>
      </c>
      <c r="EK41" s="208" t="e">
        <f t="shared" ca="1" si="78"/>
        <v>#NAME?</v>
      </c>
      <c r="EL41" s="36" t="str">
        <f t="shared" si="79"/>
        <v>No</v>
      </c>
      <c r="EM41" s="207"/>
      <c r="EN41" s="192">
        <f t="shared" si="80"/>
        <v>1.9523809523809523</v>
      </c>
      <c r="EO41" s="192">
        <f t="shared" si="81"/>
        <v>1</v>
      </c>
      <c r="EP41" s="209">
        <f t="shared" si="82"/>
        <v>2.9523809523809526</v>
      </c>
      <c r="EQ41" s="210">
        <f t="shared" si="83"/>
        <v>1.7476635514018692</v>
      </c>
      <c r="ER41" s="36" t="e">
        <f t="shared" ca="1" si="84"/>
        <v>#NAME?</v>
      </c>
      <c r="ES41" s="40">
        <f ca="1">COUNTIF($ER$2:$ER$92, ER41)/(COUNTIF($ER$2:$ER$92, "&lt;&gt;""") - COUNTIF($ER$2:$ER$92, ""))</f>
        <v>1</v>
      </c>
      <c r="ET41" s="36">
        <f t="shared" si="85"/>
        <v>2</v>
      </c>
      <c r="EU41" s="40">
        <f>COUNTIF($ET$2:$ET$92, ET41)/(COUNTIF($ET$2:$ET$92, "&lt;&gt;""") - COUNTIF($ET$2:$ET$92, ""))</f>
        <v>0.45555555555555555</v>
      </c>
      <c r="EV41" s="36">
        <f t="shared" si="86"/>
        <v>4</v>
      </c>
      <c r="EW41" s="40">
        <f>COUNTIF($EV$2:$EV$92, EV41)/(COUNTIF($EV$2:$EV$92, "&lt;&gt;""") - COUNTIF($EV$2:$EV$92, ""))</f>
        <v>0.12222222222222222</v>
      </c>
      <c r="EX41" s="36" t="str">
        <f t="shared" si="87"/>
        <v>No</v>
      </c>
      <c r="EY41" s="40">
        <f>COUNTIF($EX$2:$EX$92, EX41)/(COUNTIF($EX$2:$EX$92, "&lt;&gt;""") - COUNTIF($EX$2:$EX$92, ""))</f>
        <v>0.72222222222222221</v>
      </c>
      <c r="EZ41" s="36" t="str">
        <f t="shared" ref="EZ41:FB41" si="145">BM41</f>
        <v>No</v>
      </c>
      <c r="FA41" s="36" t="str">
        <f t="shared" si="145"/>
        <v>No</v>
      </c>
      <c r="FB41" s="36" t="str">
        <f t="shared" si="145"/>
        <v>No</v>
      </c>
      <c r="FC41" s="207"/>
      <c r="FD41" s="36" t="str">
        <f t="shared" si="89"/>
        <v>Recurring</v>
      </c>
      <c r="FE41" s="40">
        <f>COUNTIF($FD$2:$FD$92, FD41)/(COUNTIF($FD$2:$FD$92, "&lt;&gt;""") - COUNTIF($FD$2:$FD$92, ""))</f>
        <v>0.4</v>
      </c>
      <c r="FF41" s="36" t="str">
        <f t="shared" si="90"/>
        <v>B2C</v>
      </c>
      <c r="FG41" s="40">
        <f>COUNTIF($FF$2:$FF$92, FF41)/(COUNTIF($FF$2:$FF$92, "&lt;&gt;""") - COUNTIF($FF$2:$FF$92, ""))</f>
        <v>0.41111111111111109</v>
      </c>
      <c r="FH41" s="36" t="str">
        <f t="shared" si="91"/>
        <v>Low</v>
      </c>
      <c r="FI41" s="40">
        <f>COUNTIF($FH$2:$FH$92, FH41)/(COUNTIF($FH$2:$FH$92, "&lt;&gt;""") - COUNTIF($FH$2:$FH$92, ""))</f>
        <v>0.46666666666666667</v>
      </c>
      <c r="FJ41" s="36" t="str">
        <f t="shared" si="92"/>
        <v>Low</v>
      </c>
      <c r="FK41" s="40">
        <f>COUNTIF($FJ$2:$FJ$92, FJ41)/(COUNTIF($FJ$2:$FJ$92, "&lt;&gt;""") - COUNTIF($FJ$2:$FJ$92, ""))</f>
        <v>0.41111111111111109</v>
      </c>
      <c r="FL41" s="207"/>
      <c r="FM41" s="192">
        <f t="shared" si="93"/>
        <v>1</v>
      </c>
      <c r="FN41" s="192" t="e">
        <f t="shared" ca="1" si="94"/>
        <v>#NAME?</v>
      </c>
      <c r="FO41" s="192" t="e">
        <f t="shared" ca="1" si="95"/>
        <v>#NAME?</v>
      </c>
      <c r="FP41" s="192" t="e">
        <f t="shared" ca="1" si="96"/>
        <v>#NAME?</v>
      </c>
      <c r="FQ41" s="209" t="e">
        <f t="shared" ca="1" si="97"/>
        <v>#NAME?</v>
      </c>
      <c r="FR41" s="208" t="e">
        <f t="shared" ca="1" si="98"/>
        <v>#NAME?</v>
      </c>
      <c r="FS41" s="36" t="str">
        <f t="shared" si="99"/>
        <v>Pre-Revenue</v>
      </c>
      <c r="FT41" s="196">
        <f>COUNTIF($FS$2:$FS$92, FS41)/(COUNTIF($FS$2:$FS$92, "&lt;&gt;""") - COUNTIF($FZ$2:$FZ$92, ""))</f>
        <v>0.2</v>
      </c>
      <c r="FU41" s="207"/>
      <c r="FV41" s="192" t="e">
        <f t="shared" ca="1" si="100"/>
        <v>#NAME?</v>
      </c>
      <c r="FW41" s="197" t="e">
        <f t="shared" ca="1" si="101"/>
        <v>#NAME?</v>
      </c>
      <c r="FX41" s="209" t="e">
        <f t="shared" ca="1" si="102"/>
        <v>#NAME?</v>
      </c>
      <c r="FY41" s="211" t="e">
        <f t="shared" ca="1" si="103"/>
        <v>#NAME?</v>
      </c>
      <c r="FZ41" s="36" t="str">
        <f t="shared" si="104"/>
        <v>No</v>
      </c>
      <c r="GA41" s="196">
        <f>COUNTIF($FZ$2:$FZ$92, FZ41)/(COUNTIF($FZ$2:$FZ$92, "&lt;&gt;""") - COUNTIF($FZ$2:$FZ$92, ""))</f>
        <v>0.76666666666666672</v>
      </c>
      <c r="GB41" s="196" t="str">
        <f t="shared" si="105"/>
        <v>Low</v>
      </c>
      <c r="GC41" s="196">
        <f>COUNTIF($GB$2:$GB$92, GB41)/(COUNTIF($GB$2:$GB$92, "&lt;&gt;""") - COUNTIF($GB$2:$GB$92, ""))</f>
        <v>0.55555555555555558</v>
      </c>
      <c r="GD41" s="196" t="str">
        <f t="shared" si="106"/>
        <v>High</v>
      </c>
      <c r="GE41" s="196">
        <f>COUNTIF($GD$2:$GD$92, GD41)/(COUNTIF($GD$2:$GD$92, "&lt;&gt;""") - COUNTIF($GD$2:$GD$92, ""))</f>
        <v>0.8</v>
      </c>
      <c r="GF41" s="207"/>
      <c r="GG41" s="36"/>
      <c r="GH41" s="209" t="e">
        <f t="shared" ca="1" si="107"/>
        <v>#NAME?</v>
      </c>
      <c r="GI41" s="212" t="e">
        <f t="shared" ca="1" si="108"/>
        <v>#NAME?</v>
      </c>
    </row>
    <row r="42" spans="1:191" ht="15.75" customHeight="1">
      <c r="A42" s="57"/>
      <c r="B42" s="57" t="s">
        <v>409</v>
      </c>
      <c r="C42" s="185">
        <v>1759403</v>
      </c>
      <c r="D42" s="57" t="s">
        <v>859</v>
      </c>
      <c r="E42" s="230"/>
      <c r="F42" s="176" t="s">
        <v>329</v>
      </c>
      <c r="G42" s="221" t="s">
        <v>860</v>
      </c>
      <c r="H42" s="221" t="s">
        <v>861</v>
      </c>
      <c r="I42" s="227">
        <v>43913</v>
      </c>
      <c r="J42" s="57" t="s">
        <v>862</v>
      </c>
      <c r="K42" s="57" t="s">
        <v>859</v>
      </c>
      <c r="M42" s="29" t="s">
        <v>747</v>
      </c>
      <c r="N42" s="176" t="s">
        <v>168</v>
      </c>
      <c r="O42" s="176" t="s">
        <v>173</v>
      </c>
      <c r="P42" s="176" t="s">
        <v>174</v>
      </c>
      <c r="Q42" s="176" t="s">
        <v>35</v>
      </c>
      <c r="R42" s="176"/>
      <c r="S42" s="176" t="s">
        <v>216</v>
      </c>
      <c r="T42" s="177"/>
      <c r="U42" s="178"/>
      <c r="V42" s="55">
        <v>15000000</v>
      </c>
      <c r="W42" s="180"/>
      <c r="X42" s="181"/>
      <c r="Y42" s="55" t="str">
        <f t="shared" si="115"/>
        <v/>
      </c>
      <c r="Z42" s="274">
        <f t="shared" si="116"/>
        <v>15000000</v>
      </c>
      <c r="AA42" s="183" t="e">
        <f t="shared" ca="1" si="117"/>
        <v>#NAME?</v>
      </c>
      <c r="AB42" s="176" t="s">
        <v>36</v>
      </c>
      <c r="AC42" s="176" t="s">
        <v>179</v>
      </c>
      <c r="AD42" s="176" t="s">
        <v>38</v>
      </c>
      <c r="AE42" s="176" t="s">
        <v>227</v>
      </c>
      <c r="AF42" s="176" t="s">
        <v>181</v>
      </c>
      <c r="AG42" s="29" t="s">
        <v>39</v>
      </c>
      <c r="AH42" s="176" t="s">
        <v>190</v>
      </c>
      <c r="AI42" s="223"/>
      <c r="AJ42" s="277">
        <v>80000000000</v>
      </c>
      <c r="AK42" s="224" t="e">
        <f t="shared" ca="1" si="118"/>
        <v>#NAME?</v>
      </c>
      <c r="AL42" s="277">
        <v>9100000000</v>
      </c>
      <c r="AM42" s="224" t="e">
        <f t="shared" ca="1" si="119"/>
        <v>#NAME?</v>
      </c>
      <c r="AN42" s="277">
        <v>7.8E-2</v>
      </c>
      <c r="AO42" s="185" t="e">
        <f t="shared" ca="1" si="63"/>
        <v>#NAME?</v>
      </c>
      <c r="AP42" s="185" t="s">
        <v>211</v>
      </c>
      <c r="AQ42" s="29" t="s">
        <v>39</v>
      </c>
      <c r="AR42" s="176" t="s">
        <v>181</v>
      </c>
      <c r="AS42" s="176" t="s">
        <v>42</v>
      </c>
      <c r="AT42" s="57" t="s">
        <v>181</v>
      </c>
      <c r="AU42" s="29" t="s">
        <v>39</v>
      </c>
      <c r="AV42" s="176" t="s">
        <v>190</v>
      </c>
      <c r="AW42" s="176" t="s">
        <v>190</v>
      </c>
      <c r="AX42" s="176" t="s">
        <v>227</v>
      </c>
      <c r="AY42" s="176" t="s">
        <v>227</v>
      </c>
      <c r="AZ42" s="55">
        <v>0</v>
      </c>
      <c r="BA42" s="55" t="e">
        <f t="shared" ca="1" si="120"/>
        <v>#NAME?</v>
      </c>
      <c r="BB42" s="277">
        <v>53663</v>
      </c>
      <c r="BC42" s="277">
        <v>5000000</v>
      </c>
      <c r="BD42" s="62" t="e">
        <f t="shared" ca="1" si="121"/>
        <v>#NAME?</v>
      </c>
      <c r="BE42" s="277">
        <f t="shared" si="122"/>
        <v>1.07326E-2</v>
      </c>
      <c r="BF42" s="62" t="e">
        <f t="shared" ca="1" si="123"/>
        <v>#NAME?</v>
      </c>
      <c r="BG42" s="176" t="s">
        <v>219</v>
      </c>
      <c r="BH42" s="176"/>
      <c r="BI42" s="176" t="s">
        <v>190</v>
      </c>
      <c r="BJ42" s="185">
        <v>0</v>
      </c>
      <c r="BK42" s="277">
        <v>3</v>
      </c>
      <c r="BL42" s="16" t="s">
        <v>227</v>
      </c>
      <c r="BM42" s="176" t="s">
        <v>227</v>
      </c>
      <c r="BN42" s="176" t="s">
        <v>190</v>
      </c>
      <c r="BO42" s="176" t="s">
        <v>190</v>
      </c>
      <c r="BP42" s="185">
        <v>5</v>
      </c>
      <c r="BQ42" s="185">
        <v>12</v>
      </c>
      <c r="BR42" s="185">
        <v>0</v>
      </c>
      <c r="BS42" s="185">
        <v>7</v>
      </c>
      <c r="BT42" s="203"/>
      <c r="BU42" s="186">
        <v>0</v>
      </c>
      <c r="BV42" s="186">
        <v>0</v>
      </c>
      <c r="BW42" s="186">
        <v>66</v>
      </c>
      <c r="BX42" s="57" t="s">
        <v>190</v>
      </c>
      <c r="BY42" s="203"/>
      <c r="BZ42" s="186">
        <v>0</v>
      </c>
      <c r="CA42" s="186">
        <v>0</v>
      </c>
      <c r="CB42" s="186">
        <v>25</v>
      </c>
      <c r="CC42" s="57" t="s">
        <v>227</v>
      </c>
      <c r="CD42" s="203"/>
      <c r="CE42" s="186">
        <v>0</v>
      </c>
      <c r="CF42" s="186">
        <v>0</v>
      </c>
      <c r="CG42" s="186">
        <v>21</v>
      </c>
      <c r="CH42" s="57" t="s">
        <v>227</v>
      </c>
      <c r="CI42" s="203"/>
      <c r="CJ42" s="57"/>
      <c r="CK42" s="57"/>
      <c r="CL42" s="57"/>
      <c r="CM42" s="57"/>
      <c r="CN42" s="203"/>
      <c r="CO42" s="186"/>
      <c r="CP42" s="186"/>
      <c r="CQ42" s="186"/>
      <c r="CR42" s="57"/>
      <c r="CS42" s="203"/>
      <c r="CT42" s="186"/>
      <c r="CU42" s="186"/>
      <c r="CV42" s="186"/>
      <c r="CW42" s="57"/>
      <c r="CX42" s="203"/>
      <c r="CY42" s="186"/>
      <c r="CZ42" s="186"/>
      <c r="DA42" s="186"/>
      <c r="DB42" s="57"/>
      <c r="DC42" s="203"/>
      <c r="DD42" s="186"/>
      <c r="DE42" s="186"/>
      <c r="DF42" s="186"/>
      <c r="DG42" s="57"/>
      <c r="DH42" s="203"/>
      <c r="DI42" s="186"/>
      <c r="DJ42" s="186"/>
      <c r="DK42" s="186"/>
      <c r="DL42" s="57"/>
      <c r="DM42" s="204"/>
      <c r="DN42" s="205"/>
      <c r="DO42" s="205"/>
      <c r="DQ42" s="206"/>
      <c r="DR42" s="188">
        <f t="shared" si="64"/>
        <v>0</v>
      </c>
      <c r="DS42" s="188"/>
      <c r="DT42" s="189">
        <f t="shared" si="65"/>
        <v>0</v>
      </c>
      <c r="DU42" s="189"/>
      <c r="DV42" s="188">
        <f t="shared" si="66"/>
        <v>37.333333333333336</v>
      </c>
      <c r="DW42" s="183" t="e">
        <f t="shared" ca="1" si="67"/>
        <v>#NAME?</v>
      </c>
      <c r="DX42" s="207"/>
      <c r="DY42" s="190" t="e">
        <f t="shared" ca="1" si="68"/>
        <v>#NAME?</v>
      </c>
      <c r="DZ42" s="191" t="str">
        <f t="shared" si="69"/>
        <v/>
      </c>
      <c r="EA42" s="191" t="str">
        <f t="shared" si="70"/>
        <v/>
      </c>
      <c r="EB42" s="191" t="str">
        <f t="shared" si="71"/>
        <v/>
      </c>
      <c r="EC42" s="208" t="e">
        <f t="shared" ca="1" si="72"/>
        <v>#NAME?</v>
      </c>
      <c r="ED42" s="36" t="str">
        <f t="shared" si="73"/>
        <v>Equity - Common</v>
      </c>
      <c r="EE42" s="193">
        <f>COUNTIF($ED$2:$ED$92, ED42)/(COUNTIF($ED$2:$ED$92, "&lt;&gt;""") - COUNTIF($ED$2:$ED$92, ""))</f>
        <v>0.32222222222222224</v>
      </c>
      <c r="EF42" s="36" t="str">
        <f t="shared" si="74"/>
        <v>Growth</v>
      </c>
      <c r="EG42" s="207"/>
      <c r="EH42" s="194" t="e">
        <f t="shared" ca="1" si="75"/>
        <v>#NAME?</v>
      </c>
      <c r="EI42" s="194" t="e">
        <f t="shared" ca="1" si="76"/>
        <v>#NAME?</v>
      </c>
      <c r="EJ42" s="209" t="e">
        <f t="shared" ca="1" si="77"/>
        <v>#NAME?</v>
      </c>
      <c r="EK42" s="208" t="e">
        <f t="shared" ca="1" si="78"/>
        <v>#NAME?</v>
      </c>
      <c r="EL42" s="36" t="str">
        <f t="shared" si="79"/>
        <v>No</v>
      </c>
      <c r="EM42" s="207"/>
      <c r="EN42" s="192">
        <f t="shared" si="80"/>
        <v>1</v>
      </c>
      <c r="EO42" s="192">
        <f t="shared" si="81"/>
        <v>1</v>
      </c>
      <c r="EP42" s="209">
        <f t="shared" si="82"/>
        <v>2</v>
      </c>
      <c r="EQ42" s="210">
        <f t="shared" si="83"/>
        <v>1</v>
      </c>
      <c r="ER42" s="36" t="e">
        <f t="shared" ca="1" si="84"/>
        <v>#NAME?</v>
      </c>
      <c r="ES42" s="40">
        <f ca="1">COUNTIF($ER$2:$ER$92, ER42)/(COUNTIF($ER$2:$ER$92, "&lt;&gt;""") - COUNTIF($ER$2:$ER$92, ""))</f>
        <v>1</v>
      </c>
      <c r="ET42" s="36">
        <f t="shared" si="85"/>
        <v>3</v>
      </c>
      <c r="EU42" s="40">
        <f>COUNTIF($ET$2:$ET$92, ET42)/(COUNTIF($ET$2:$ET$92, "&lt;&gt;""") - COUNTIF($ET$2:$ET$92, ""))</f>
        <v>4.4444444444444446E-2</v>
      </c>
      <c r="EV42" s="36">
        <f t="shared" si="86"/>
        <v>12</v>
      </c>
      <c r="EW42" s="40">
        <f>COUNTIF($EV$2:$EV$92, EV42)/(COUNTIF($EV$2:$EV$92, "&lt;&gt;""") - COUNTIF($EV$2:$EV$92, ""))</f>
        <v>1.1111111111111112E-2</v>
      </c>
      <c r="EX42" s="36" t="str">
        <f t="shared" si="87"/>
        <v>Yes</v>
      </c>
      <c r="EY42" s="40">
        <f>COUNTIF($EX$2:$EX$92, EX42)/(COUNTIF($EX$2:$EX$92, "&lt;&gt;""") - COUNTIF($EX$2:$EX$92, ""))</f>
        <v>0.27777777777777779</v>
      </c>
      <c r="EZ42" s="36" t="str">
        <f t="shared" ref="EZ42:FB42" si="146">BM42</f>
        <v>Yes</v>
      </c>
      <c r="FA42" s="36" t="str">
        <f t="shared" si="146"/>
        <v>No</v>
      </c>
      <c r="FB42" s="36" t="str">
        <f t="shared" si="146"/>
        <v>No</v>
      </c>
      <c r="FC42" s="207"/>
      <c r="FD42" s="36" t="str">
        <f t="shared" si="89"/>
        <v>Transactional</v>
      </c>
      <c r="FE42" s="40">
        <f>COUNTIF($FD$2:$FD$92, FD42)/(COUNTIF($FD$2:$FD$92, "&lt;&gt;""") - COUNTIF($FD$2:$FD$92, ""))</f>
        <v>0.6</v>
      </c>
      <c r="FF42" s="36" t="str">
        <f t="shared" si="90"/>
        <v>B2C</v>
      </c>
      <c r="FG42" s="40">
        <f>COUNTIF($FF$2:$FF$92, FF42)/(COUNTIF($FF$2:$FF$92, "&lt;&gt;""") - COUNTIF($FF$2:$FF$92, ""))</f>
        <v>0.41111111111111109</v>
      </c>
      <c r="FH42" s="36" t="str">
        <f t="shared" si="91"/>
        <v>Low</v>
      </c>
      <c r="FI42" s="40">
        <f>COUNTIF($FH$2:$FH$92, FH42)/(COUNTIF($FH$2:$FH$92, "&lt;&gt;""") - COUNTIF($FH$2:$FH$92, ""))</f>
        <v>0.46666666666666667</v>
      </c>
      <c r="FJ42" s="36" t="str">
        <f t="shared" si="92"/>
        <v>High</v>
      </c>
      <c r="FK42" s="40">
        <f>COUNTIF($FJ$2:$FJ$92, FJ42)/(COUNTIF($FJ$2:$FJ$92, "&lt;&gt;""") - COUNTIF($FJ$2:$FJ$92, ""))</f>
        <v>0.58888888888888891</v>
      </c>
      <c r="FL42" s="207"/>
      <c r="FM42" s="192">
        <f t="shared" si="93"/>
        <v>5</v>
      </c>
      <c r="FN42" s="192" t="e">
        <f t="shared" ca="1" si="94"/>
        <v>#NAME?</v>
      </c>
      <c r="FO42" s="192" t="e">
        <f t="shared" ca="1" si="95"/>
        <v>#NAME?</v>
      </c>
      <c r="FP42" s="192" t="e">
        <f t="shared" ca="1" si="96"/>
        <v>#NAME?</v>
      </c>
      <c r="FQ42" s="209" t="e">
        <f t="shared" ca="1" si="97"/>
        <v>#NAME?</v>
      </c>
      <c r="FR42" s="208" t="e">
        <f t="shared" ca="1" si="98"/>
        <v>#NAME?</v>
      </c>
      <c r="FS42" s="36" t="str">
        <f t="shared" si="99"/>
        <v>Profitable</v>
      </c>
      <c r="FT42" s="196">
        <f>COUNTIF($FS$2:$FS$92, FS42)/(COUNTIF($FS$2:$FS$92, "&lt;&gt;""") - COUNTIF($FZ$2:$FZ$92, ""))</f>
        <v>6.6666666666666666E-2</v>
      </c>
      <c r="FU42" s="207"/>
      <c r="FV42" s="192">
        <f t="shared" si="100"/>
        <v>3</v>
      </c>
      <c r="FW42" s="197" t="e">
        <f t="shared" ca="1" si="101"/>
        <v>#NAME?</v>
      </c>
      <c r="FX42" s="209" t="e">
        <f t="shared" ca="1" si="102"/>
        <v>#NAME?</v>
      </c>
      <c r="FY42" s="211" t="e">
        <f t="shared" ca="1" si="103"/>
        <v>#NAME?</v>
      </c>
      <c r="FZ42" s="36" t="str">
        <f t="shared" si="104"/>
        <v>No</v>
      </c>
      <c r="GA42" s="196">
        <f>COUNTIF($FZ$2:$FZ$92, FZ42)/(COUNTIF($FZ$2:$FZ$92, "&lt;&gt;""") - COUNTIF($FZ$2:$FZ$92, ""))</f>
        <v>0.76666666666666672</v>
      </c>
      <c r="GB42" s="196" t="str">
        <f t="shared" si="105"/>
        <v>Low</v>
      </c>
      <c r="GC42" s="196">
        <f>COUNTIF($GB$2:$GB$92, GB42)/(COUNTIF($GB$2:$GB$92, "&lt;&gt;""") - COUNTIF($GB$2:$GB$92, ""))</f>
        <v>0.55555555555555558</v>
      </c>
      <c r="GD42" s="196" t="str">
        <f t="shared" si="106"/>
        <v>High</v>
      </c>
      <c r="GE42" s="196">
        <f>COUNTIF($GD$2:$GD$92, GD42)/(COUNTIF($GD$2:$GD$92, "&lt;&gt;""") - COUNTIF($GD$2:$GD$92, ""))</f>
        <v>0.8</v>
      </c>
      <c r="GF42" s="207"/>
      <c r="GG42" s="36"/>
      <c r="GH42" s="209" t="e">
        <f t="shared" ca="1" si="107"/>
        <v>#NAME?</v>
      </c>
      <c r="GI42" s="212" t="e">
        <f t="shared" ca="1" si="108"/>
        <v>#NAME?</v>
      </c>
    </row>
    <row r="43" spans="1:191" ht="15.75" customHeight="1">
      <c r="A43" s="57"/>
      <c r="B43" s="57" t="s">
        <v>409</v>
      </c>
      <c r="C43" s="185">
        <v>1789874</v>
      </c>
      <c r="D43" s="57" t="s">
        <v>863</v>
      </c>
      <c r="E43" s="230"/>
      <c r="F43" s="176" t="s">
        <v>344</v>
      </c>
      <c r="G43" s="221" t="s">
        <v>864</v>
      </c>
      <c r="H43" s="221" t="s">
        <v>865</v>
      </c>
      <c r="I43" s="227">
        <v>43903</v>
      </c>
      <c r="J43" s="57" t="s">
        <v>866</v>
      </c>
      <c r="K43" s="57" t="s">
        <v>863</v>
      </c>
      <c r="M43" s="176" t="s">
        <v>319</v>
      </c>
      <c r="N43" s="176" t="s">
        <v>230</v>
      </c>
      <c r="O43" s="176" t="s">
        <v>30</v>
      </c>
      <c r="P43" s="176" t="s">
        <v>31</v>
      </c>
      <c r="Q43" s="176" t="s">
        <v>35</v>
      </c>
      <c r="R43" s="176"/>
      <c r="S43" s="176" t="s">
        <v>269</v>
      </c>
      <c r="T43" s="177"/>
      <c r="U43" s="178"/>
      <c r="V43" s="180"/>
      <c r="W43" s="55">
        <v>2400000</v>
      </c>
      <c r="X43" s="224">
        <v>0.2</v>
      </c>
      <c r="Y43" s="55">
        <f t="shared" si="115"/>
        <v>1920000</v>
      </c>
      <c r="Z43" s="274">
        <f t="shared" si="116"/>
        <v>1920000</v>
      </c>
      <c r="AA43" s="183" t="e">
        <f t="shared" ca="1" si="117"/>
        <v>#NAME?</v>
      </c>
      <c r="AB43" s="176" t="s">
        <v>36</v>
      </c>
      <c r="AC43" s="176" t="s">
        <v>37</v>
      </c>
      <c r="AD43" s="29" t="s">
        <v>180</v>
      </c>
      <c r="AE43" s="176" t="s">
        <v>227</v>
      </c>
      <c r="AF43" s="176" t="s">
        <v>181</v>
      </c>
      <c r="AG43" s="176" t="s">
        <v>181</v>
      </c>
      <c r="AH43" s="176" t="s">
        <v>190</v>
      </c>
      <c r="AI43" s="223"/>
      <c r="AJ43" s="277">
        <v>337800000000</v>
      </c>
      <c r="AK43" s="224" t="e">
        <f t="shared" ca="1" si="118"/>
        <v>#NAME?</v>
      </c>
      <c r="AL43" s="277">
        <v>11000000000</v>
      </c>
      <c r="AM43" s="224" t="e">
        <f t="shared" ca="1" si="119"/>
        <v>#NAME?</v>
      </c>
      <c r="AN43" s="277">
        <v>0.22900000000000001</v>
      </c>
      <c r="AO43" s="185" t="e">
        <f t="shared" ca="1" si="63"/>
        <v>#NAME?</v>
      </c>
      <c r="AP43" s="185" t="s">
        <v>264</v>
      </c>
      <c r="AQ43" s="176" t="s">
        <v>181</v>
      </c>
      <c r="AR43" s="176" t="s">
        <v>181</v>
      </c>
      <c r="AS43" s="176" t="s">
        <v>201</v>
      </c>
      <c r="AT43" s="57" t="s">
        <v>181</v>
      </c>
      <c r="AU43" s="29" t="s">
        <v>39</v>
      </c>
      <c r="AV43" s="176" t="s">
        <v>190</v>
      </c>
      <c r="AW43" s="176" t="s">
        <v>190</v>
      </c>
      <c r="AX43" s="176" t="s">
        <v>227</v>
      </c>
      <c r="AY43" s="176" t="s">
        <v>227</v>
      </c>
      <c r="AZ43" s="55">
        <v>26316</v>
      </c>
      <c r="BA43" s="55" t="e">
        <f t="shared" ca="1" si="120"/>
        <v>#NAME?</v>
      </c>
      <c r="BB43" s="277">
        <v>2619</v>
      </c>
      <c r="BC43" s="277">
        <v>0</v>
      </c>
      <c r="BD43" s="62" t="e">
        <f t="shared" ca="1" si="121"/>
        <v>#NAME?</v>
      </c>
      <c r="BE43" s="277">
        <f t="shared" si="122"/>
        <v>1</v>
      </c>
      <c r="BF43" s="62" t="e">
        <f t="shared" ca="1" si="123"/>
        <v>#NAME?</v>
      </c>
      <c r="BG43" s="176" t="s">
        <v>202</v>
      </c>
      <c r="BH43" s="176"/>
      <c r="BI43" s="176" t="s">
        <v>190</v>
      </c>
      <c r="BJ43" s="185">
        <v>0</v>
      </c>
      <c r="BK43" s="277">
        <v>1</v>
      </c>
      <c r="BL43" s="176" t="s">
        <v>190</v>
      </c>
      <c r="BM43" s="176" t="s">
        <v>190</v>
      </c>
      <c r="BN43" s="176" t="s">
        <v>227</v>
      </c>
      <c r="BO43" s="176" t="s">
        <v>190</v>
      </c>
      <c r="BP43" s="185">
        <v>0</v>
      </c>
      <c r="BQ43" s="185">
        <v>5</v>
      </c>
      <c r="BR43" s="185">
        <v>0</v>
      </c>
      <c r="BS43" s="185">
        <v>0</v>
      </c>
      <c r="BT43" s="203"/>
      <c r="BU43" s="186">
        <v>0</v>
      </c>
      <c r="BV43" s="186">
        <v>0</v>
      </c>
      <c r="BW43" s="48">
        <v>42</v>
      </c>
      <c r="BX43" s="57" t="s">
        <v>190</v>
      </c>
      <c r="BY43" s="203"/>
      <c r="BZ43" s="57"/>
      <c r="CA43" s="57"/>
      <c r="CB43" s="57"/>
      <c r="CC43" s="57"/>
      <c r="CD43" s="203"/>
      <c r="CE43" s="57"/>
      <c r="CF43" s="57"/>
      <c r="CG43" s="57"/>
      <c r="CH43" s="57"/>
      <c r="CI43" s="203"/>
      <c r="CJ43" s="57"/>
      <c r="CK43" s="57"/>
      <c r="CL43" s="57"/>
      <c r="CM43" s="57"/>
      <c r="CN43" s="203"/>
      <c r="CO43" s="186"/>
      <c r="CP43" s="186"/>
      <c r="CQ43" s="186"/>
      <c r="CR43" s="57"/>
      <c r="CS43" s="203"/>
      <c r="CT43" s="186"/>
      <c r="CU43" s="186"/>
      <c r="CV43" s="186"/>
      <c r="CW43" s="57"/>
      <c r="CX43" s="203"/>
      <c r="CY43" s="186"/>
      <c r="CZ43" s="186"/>
      <c r="DA43" s="186"/>
      <c r="DB43" s="57"/>
      <c r="DC43" s="203"/>
      <c r="DD43" s="186"/>
      <c r="DE43" s="186"/>
      <c r="DF43" s="186"/>
      <c r="DG43" s="57"/>
      <c r="DH43" s="203"/>
      <c r="DI43" s="186"/>
      <c r="DJ43" s="186"/>
      <c r="DK43" s="186"/>
      <c r="DL43" s="57"/>
      <c r="DM43" s="204"/>
      <c r="DN43" s="205"/>
      <c r="DO43" s="205"/>
      <c r="DQ43" s="206"/>
      <c r="DR43" s="188">
        <f t="shared" si="64"/>
        <v>0</v>
      </c>
      <c r="DS43" s="188"/>
      <c r="DT43" s="189">
        <f t="shared" si="65"/>
        <v>0</v>
      </c>
      <c r="DU43" s="189"/>
      <c r="DV43" s="188">
        <f t="shared" si="66"/>
        <v>42</v>
      </c>
      <c r="DW43" s="183" t="e">
        <f t="shared" ca="1" si="67"/>
        <v>#NAME?</v>
      </c>
      <c r="DX43" s="207"/>
      <c r="DY43" s="190" t="e">
        <f t="shared" ca="1" si="68"/>
        <v>#NAME?</v>
      </c>
      <c r="DZ43" s="191">
        <f t="shared" si="69"/>
        <v>3.1052631578947367</v>
      </c>
      <c r="EA43" s="191" t="str">
        <f t="shared" si="70"/>
        <v/>
      </c>
      <c r="EB43" s="191" t="str">
        <f t="shared" si="71"/>
        <v/>
      </c>
      <c r="EC43" s="208" t="e">
        <f t="shared" ca="1" si="72"/>
        <v>#NAME?</v>
      </c>
      <c r="ED43" s="36" t="str">
        <f t="shared" si="73"/>
        <v>SAFE</v>
      </c>
      <c r="EE43" s="193">
        <f>COUNTIF($ED$2:$ED$92, ED43)/(COUNTIF($ED$2:$ED$92, "&lt;&gt;""") - COUNTIF($ED$2:$ED$92, ""))</f>
        <v>0.37777777777777777</v>
      </c>
      <c r="EF43" s="36" t="str">
        <f t="shared" si="74"/>
        <v>Early</v>
      </c>
      <c r="EG43" s="207"/>
      <c r="EH43" s="194" t="e">
        <f t="shared" ca="1" si="75"/>
        <v>#NAME?</v>
      </c>
      <c r="EI43" s="194" t="e">
        <f t="shared" ca="1" si="76"/>
        <v>#NAME?</v>
      </c>
      <c r="EJ43" s="209" t="e">
        <f t="shared" ca="1" si="77"/>
        <v>#NAME?</v>
      </c>
      <c r="EK43" s="208" t="e">
        <f t="shared" ca="1" si="78"/>
        <v>#NAME?</v>
      </c>
      <c r="EL43" s="36" t="str">
        <f t="shared" si="79"/>
        <v>No</v>
      </c>
      <c r="EM43" s="207"/>
      <c r="EN43" s="192">
        <f t="shared" si="80"/>
        <v>1</v>
      </c>
      <c r="EO43" s="192">
        <f t="shared" si="81"/>
        <v>1</v>
      </c>
      <c r="EP43" s="209">
        <f t="shared" si="82"/>
        <v>2</v>
      </c>
      <c r="EQ43" s="210">
        <f t="shared" si="83"/>
        <v>1</v>
      </c>
      <c r="ER43" s="36" t="e">
        <f t="shared" ca="1" si="84"/>
        <v>#NAME?</v>
      </c>
      <c r="ES43" s="40">
        <f ca="1">COUNTIF($ER$2:$ER$92, ER43)/(COUNTIF($ER$2:$ER$92, "&lt;&gt;""") - COUNTIF($ER$2:$ER$92, ""))</f>
        <v>1</v>
      </c>
      <c r="ET43" s="36">
        <f t="shared" si="85"/>
        <v>1</v>
      </c>
      <c r="EU43" s="40">
        <f>COUNTIF($ET$2:$ET$92, ET43)/(COUNTIF($ET$2:$ET$92, "&lt;&gt;""") - COUNTIF($ET$2:$ET$92, ""))</f>
        <v>0.45555555555555555</v>
      </c>
      <c r="EV43" s="36">
        <f t="shared" si="86"/>
        <v>5</v>
      </c>
      <c r="EW43" s="40">
        <f>COUNTIF($EV$2:$EV$92, EV43)/(COUNTIF($EV$2:$EV$92, "&lt;&gt;""") - COUNTIF($EV$2:$EV$92, ""))</f>
        <v>0.13333333333333333</v>
      </c>
      <c r="EX43" s="36" t="str">
        <f t="shared" si="87"/>
        <v>No</v>
      </c>
      <c r="EY43" s="40">
        <f>COUNTIF($EX$2:$EX$92, EX43)/(COUNTIF($EX$2:$EX$92, "&lt;&gt;""") - COUNTIF($EX$2:$EX$92, ""))</f>
        <v>0.72222222222222221</v>
      </c>
      <c r="EZ43" s="36" t="str">
        <f t="shared" ref="EZ43:FB43" si="147">BM43</f>
        <v>No</v>
      </c>
      <c r="FA43" s="36" t="str">
        <f t="shared" si="147"/>
        <v>Yes</v>
      </c>
      <c r="FB43" s="36" t="str">
        <f t="shared" si="147"/>
        <v>No</v>
      </c>
      <c r="FC43" s="207"/>
      <c r="FD43" s="36" t="str">
        <f t="shared" si="89"/>
        <v>Transactional</v>
      </c>
      <c r="FE43" s="40">
        <f>COUNTIF($FD$2:$FD$92, FD43)/(COUNTIF($FD$2:$FD$92, "&lt;&gt;""") - COUNTIF($FD$2:$FD$92, ""))</f>
        <v>0.6</v>
      </c>
      <c r="FF43" s="36" t="str">
        <f t="shared" si="90"/>
        <v>B2B</v>
      </c>
      <c r="FG43" s="40">
        <f>COUNTIF($FF$2:$FF$92, FF43)/(COUNTIF($FF$2:$FF$92, "&lt;&gt;""") - COUNTIF($FF$2:$FF$92, ""))</f>
        <v>0.24444444444444444</v>
      </c>
      <c r="FH43" s="36" t="str">
        <f t="shared" si="91"/>
        <v>Low</v>
      </c>
      <c r="FI43" s="40">
        <f>COUNTIF($FH$2:$FH$92, FH43)/(COUNTIF($FH$2:$FH$92, "&lt;&gt;""") - COUNTIF($FH$2:$FH$92, ""))</f>
        <v>0.46666666666666667</v>
      </c>
      <c r="FJ43" s="36" t="str">
        <f t="shared" si="92"/>
        <v>Low</v>
      </c>
      <c r="FK43" s="40">
        <f>COUNTIF($FJ$2:$FJ$92, FJ43)/(COUNTIF($FJ$2:$FJ$92, "&lt;&gt;""") - COUNTIF($FJ$2:$FJ$92, ""))</f>
        <v>0.41111111111111109</v>
      </c>
      <c r="FL43" s="207"/>
      <c r="FM43" s="192">
        <f t="shared" si="93"/>
        <v>5</v>
      </c>
      <c r="FN43" s="192" t="e">
        <f t="shared" ca="1" si="94"/>
        <v>#NAME?</v>
      </c>
      <c r="FO43" s="192" t="e">
        <f t="shared" ca="1" si="95"/>
        <v>#NAME?</v>
      </c>
      <c r="FP43" s="192" t="e">
        <f t="shared" ca="1" si="96"/>
        <v>#NAME?</v>
      </c>
      <c r="FQ43" s="209" t="e">
        <f t="shared" ca="1" si="97"/>
        <v>#NAME?</v>
      </c>
      <c r="FR43" s="208" t="e">
        <f t="shared" ca="1" si="98"/>
        <v>#NAME?</v>
      </c>
      <c r="FS43" s="36" t="str">
        <f t="shared" si="99"/>
        <v>Pre-Profit</v>
      </c>
      <c r="FT43" s="196">
        <f>COUNTIF($FS$2:$FS$92, FS43)/(COUNTIF($FS$2:$FS$92, "&lt;&gt;""") - COUNTIF($FZ$2:$FZ$92, ""))</f>
        <v>0.51111111111111107</v>
      </c>
      <c r="FU43" s="207"/>
      <c r="FV43" s="192" t="e">
        <f t="shared" ca="1" si="100"/>
        <v>#NAME?</v>
      </c>
      <c r="FW43" s="197" t="e">
        <f t="shared" ca="1" si="101"/>
        <v>#NAME?</v>
      </c>
      <c r="FX43" s="209" t="e">
        <f t="shared" ca="1" si="102"/>
        <v>#NAME?</v>
      </c>
      <c r="FY43" s="211" t="e">
        <f t="shared" ca="1" si="103"/>
        <v>#NAME?</v>
      </c>
      <c r="FZ43" s="36" t="str">
        <f t="shared" si="104"/>
        <v>No</v>
      </c>
      <c r="GA43" s="196">
        <f>COUNTIF($FZ$2:$FZ$92, FZ43)/(COUNTIF($FZ$2:$FZ$92, "&lt;&gt;""") - COUNTIF($FZ$2:$FZ$92, ""))</f>
        <v>0.76666666666666672</v>
      </c>
      <c r="GB43" s="196" t="str">
        <f t="shared" si="105"/>
        <v>Low</v>
      </c>
      <c r="GC43" s="196">
        <f>COUNTIF($GB$2:$GB$92, GB43)/(COUNTIF($GB$2:$GB$92, "&lt;&gt;""") - COUNTIF($GB$2:$GB$92, ""))</f>
        <v>0.55555555555555558</v>
      </c>
      <c r="GD43" s="196" t="str">
        <f t="shared" si="106"/>
        <v>High</v>
      </c>
      <c r="GE43" s="196">
        <f>COUNTIF($GD$2:$GD$92, GD43)/(COUNTIF($GD$2:$GD$92, "&lt;&gt;""") - COUNTIF($GD$2:$GD$92, ""))</f>
        <v>0.8</v>
      </c>
      <c r="GF43" s="207"/>
      <c r="GG43" s="36"/>
      <c r="GH43" s="209" t="e">
        <f t="shared" ca="1" si="107"/>
        <v>#NAME?</v>
      </c>
      <c r="GI43" s="212" t="e">
        <f t="shared" ca="1" si="108"/>
        <v>#NAME?</v>
      </c>
    </row>
    <row r="44" spans="1:191" ht="15.75" customHeight="1">
      <c r="A44" s="29"/>
      <c r="B44" s="29" t="s">
        <v>409</v>
      </c>
      <c r="C44" s="30">
        <v>1776458</v>
      </c>
      <c r="D44" s="29" t="s">
        <v>867</v>
      </c>
      <c r="E44" s="230"/>
      <c r="F44" s="29" t="s">
        <v>344</v>
      </c>
      <c r="G44" s="32" t="s">
        <v>868</v>
      </c>
      <c r="H44" s="32" t="s">
        <v>869</v>
      </c>
      <c r="I44" s="33">
        <v>43879</v>
      </c>
      <c r="J44" s="29" t="s">
        <v>870</v>
      </c>
      <c r="K44" s="29" t="s">
        <v>867</v>
      </c>
      <c r="M44" s="29" t="s">
        <v>323</v>
      </c>
      <c r="N44" s="29" t="s">
        <v>320</v>
      </c>
      <c r="O44" s="29" t="s">
        <v>30</v>
      </c>
      <c r="P44" s="29" t="s">
        <v>31</v>
      </c>
      <c r="Q44" s="29" t="s">
        <v>35</v>
      </c>
      <c r="R44" s="176"/>
      <c r="S44" s="29" t="s">
        <v>176</v>
      </c>
      <c r="T44" s="177"/>
      <c r="U44" s="178"/>
      <c r="V44" s="180"/>
      <c r="W44" s="179">
        <v>2750000</v>
      </c>
      <c r="X44" s="232">
        <v>0.2</v>
      </c>
      <c r="Y44" s="179">
        <v>2200000</v>
      </c>
      <c r="Z44" s="274">
        <v>2200000</v>
      </c>
      <c r="AA44" s="78" t="s">
        <v>208</v>
      </c>
      <c r="AB44" s="29" t="s">
        <v>178</v>
      </c>
      <c r="AC44" s="29" t="s">
        <v>218</v>
      </c>
      <c r="AD44" s="29" t="s">
        <v>180</v>
      </c>
      <c r="AE44" s="29" t="s">
        <v>227</v>
      </c>
      <c r="AF44" s="29" t="s">
        <v>39</v>
      </c>
      <c r="AG44" s="29" t="s">
        <v>181</v>
      </c>
      <c r="AH44" s="29" t="s">
        <v>190</v>
      </c>
      <c r="AI44" s="184"/>
      <c r="AJ44" s="277">
        <v>12900000000</v>
      </c>
      <c r="AK44" s="30" t="s">
        <v>259</v>
      </c>
      <c r="AL44" s="277">
        <v>446000000</v>
      </c>
      <c r="AM44" s="30" t="s">
        <v>297</v>
      </c>
      <c r="AN44" s="277">
        <v>0.16</v>
      </c>
      <c r="AO44" s="185" t="e">
        <f t="shared" ca="1" si="63"/>
        <v>#NAME?</v>
      </c>
      <c r="AP44" s="185" t="s">
        <v>192</v>
      </c>
      <c r="AQ44" s="29" t="s">
        <v>181</v>
      </c>
      <c r="AR44" s="29" t="s">
        <v>39</v>
      </c>
      <c r="AS44" s="29" t="s">
        <v>201</v>
      </c>
      <c r="AT44" s="29" t="s">
        <v>181</v>
      </c>
      <c r="AU44" s="29" t="s">
        <v>39</v>
      </c>
      <c r="AV44" s="29" t="s">
        <v>190</v>
      </c>
      <c r="AW44" s="29" t="s">
        <v>190</v>
      </c>
      <c r="AX44" s="29" t="s">
        <v>190</v>
      </c>
      <c r="AY44" s="29" t="s">
        <v>190</v>
      </c>
      <c r="AZ44" s="179">
        <v>0</v>
      </c>
      <c r="BA44" s="179" t="s">
        <v>162</v>
      </c>
      <c r="BB44" s="277">
        <v>10852</v>
      </c>
      <c r="BC44" s="277">
        <v>434179</v>
      </c>
      <c r="BD44" s="30" t="s">
        <v>225</v>
      </c>
      <c r="BE44" s="277">
        <v>2.5000000000000001E-2</v>
      </c>
      <c r="BF44" s="30" t="s">
        <v>163</v>
      </c>
      <c r="BG44" s="29" t="s">
        <v>183</v>
      </c>
      <c r="BH44" s="176"/>
      <c r="BI44" s="29" t="s">
        <v>227</v>
      </c>
      <c r="BJ44" s="30">
        <v>2</v>
      </c>
      <c r="BK44" s="277">
        <v>2</v>
      </c>
      <c r="BL44" s="29" t="s">
        <v>190</v>
      </c>
      <c r="BM44" s="29" t="s">
        <v>227</v>
      </c>
      <c r="BN44" s="29" t="s">
        <v>227</v>
      </c>
      <c r="BO44" s="29" t="s">
        <v>190</v>
      </c>
      <c r="BP44" s="30">
        <v>2</v>
      </c>
      <c r="BQ44" s="30">
        <v>5</v>
      </c>
      <c r="BR44" s="30">
        <v>0</v>
      </c>
      <c r="BS44" s="30">
        <v>2</v>
      </c>
      <c r="BT44" s="203"/>
      <c r="BU44" s="30">
        <v>2</v>
      </c>
      <c r="BV44" s="30">
        <v>0</v>
      </c>
      <c r="BW44" s="44">
        <v>42</v>
      </c>
      <c r="BX44" s="29" t="s">
        <v>190</v>
      </c>
      <c r="BY44" s="203"/>
      <c r="BZ44" s="29">
        <v>0</v>
      </c>
      <c r="CA44" s="29">
        <v>0</v>
      </c>
      <c r="CB44" s="57"/>
      <c r="CC44" s="29" t="s">
        <v>227</v>
      </c>
      <c r="CD44" s="203"/>
      <c r="CE44" s="57"/>
      <c r="CF44" s="57"/>
      <c r="CG44" s="57"/>
      <c r="CH44" s="57"/>
      <c r="CI44" s="203"/>
      <c r="CJ44" s="57"/>
      <c r="CK44" s="57"/>
      <c r="CL44" s="57"/>
      <c r="CM44" s="57"/>
      <c r="CN44" s="203"/>
      <c r="CO44" s="186"/>
      <c r="CP44" s="186"/>
      <c r="CQ44" s="186"/>
      <c r="CR44" s="57"/>
      <c r="CS44" s="203"/>
      <c r="CT44" s="186"/>
      <c r="CU44" s="186"/>
      <c r="CV44" s="186"/>
      <c r="CW44" s="57"/>
      <c r="CX44" s="203"/>
      <c r="CY44" s="186"/>
      <c r="CZ44" s="186"/>
      <c r="DA44" s="186"/>
      <c r="DB44" s="57"/>
      <c r="DC44" s="203"/>
      <c r="DD44" s="186"/>
      <c r="DE44" s="186"/>
      <c r="DF44" s="186"/>
      <c r="DG44" s="57"/>
      <c r="DH44" s="203"/>
      <c r="DI44" s="186"/>
      <c r="DJ44" s="186"/>
      <c r="DK44" s="186"/>
      <c r="DL44" s="57"/>
      <c r="DM44" s="204"/>
      <c r="DN44" s="205"/>
      <c r="DO44" s="205"/>
      <c r="DQ44" s="206"/>
      <c r="DR44" s="188">
        <f t="shared" si="64"/>
        <v>1</v>
      </c>
      <c r="DS44" s="188"/>
      <c r="DT44" s="189">
        <f t="shared" si="65"/>
        <v>0</v>
      </c>
      <c r="DU44" s="189"/>
      <c r="DV44" s="188">
        <f t="shared" si="66"/>
        <v>42</v>
      </c>
      <c r="DW44" s="183" t="e">
        <f t="shared" ca="1" si="67"/>
        <v>#NAME?</v>
      </c>
      <c r="DX44" s="207"/>
      <c r="DY44" s="190" t="e">
        <f t="shared" ca="1" si="68"/>
        <v>#NAME?</v>
      </c>
      <c r="DZ44" s="191">
        <f t="shared" si="69"/>
        <v>3.1052631578947367</v>
      </c>
      <c r="EA44" s="191" t="str">
        <f t="shared" si="70"/>
        <v/>
      </c>
      <c r="EB44" s="191" t="str">
        <f t="shared" si="71"/>
        <v/>
      </c>
      <c r="EC44" s="208" t="e">
        <f t="shared" ca="1" si="72"/>
        <v>#NAME?</v>
      </c>
      <c r="ED44" s="36" t="str">
        <f t="shared" si="73"/>
        <v>Convertible Note</v>
      </c>
      <c r="EE44" s="193">
        <f>COUNTIF($ED$2:$ED$92, ED44)/(COUNTIF($ED$2:$ED$92, "&lt;&gt;""") - COUNTIF($ED$2:$ED$92, ""))</f>
        <v>0.13333333333333333</v>
      </c>
      <c r="EF44" s="36" t="str">
        <f t="shared" si="74"/>
        <v>Early</v>
      </c>
      <c r="EG44" s="207"/>
      <c r="EH44" s="194" t="e">
        <f t="shared" ca="1" si="75"/>
        <v>#NAME?</v>
      </c>
      <c r="EI44" s="194" t="e">
        <f t="shared" ca="1" si="76"/>
        <v>#NAME?</v>
      </c>
      <c r="EJ44" s="209" t="e">
        <f t="shared" ca="1" si="77"/>
        <v>#NAME?</v>
      </c>
      <c r="EK44" s="208" t="e">
        <f t="shared" ca="1" si="78"/>
        <v>#NAME?</v>
      </c>
      <c r="EL44" s="36" t="str">
        <f t="shared" si="79"/>
        <v>No</v>
      </c>
      <c r="EM44" s="207"/>
      <c r="EN44" s="192">
        <f t="shared" si="80"/>
        <v>1.0952380952380953</v>
      </c>
      <c r="EO44" s="192">
        <f t="shared" si="81"/>
        <v>1</v>
      </c>
      <c r="EP44" s="209">
        <f t="shared" si="82"/>
        <v>2.0952380952380953</v>
      </c>
      <c r="EQ44" s="210">
        <f t="shared" si="83"/>
        <v>1.0747663551401869</v>
      </c>
      <c r="ER44" s="36" t="e">
        <f t="shared" ca="1" si="84"/>
        <v>#NAME?</v>
      </c>
      <c r="ES44" s="40">
        <f ca="1">COUNTIF($ER$2:$ER$92, ER44)/(COUNTIF($ER$2:$ER$92, "&lt;&gt;""") - COUNTIF($ER$2:$ER$92, ""))</f>
        <v>1</v>
      </c>
      <c r="ET44" s="36">
        <f t="shared" si="85"/>
        <v>2</v>
      </c>
      <c r="EU44" s="40">
        <f>COUNTIF($ET$2:$ET$92, ET44)/(COUNTIF($ET$2:$ET$92, "&lt;&gt;""") - COUNTIF($ET$2:$ET$92, ""))</f>
        <v>0.45555555555555555</v>
      </c>
      <c r="EV44" s="36">
        <f t="shared" si="86"/>
        <v>5</v>
      </c>
      <c r="EW44" s="40">
        <f>COUNTIF($EV$2:$EV$92, EV44)/(COUNTIF($EV$2:$EV$92, "&lt;&gt;""") - COUNTIF($EV$2:$EV$92, ""))</f>
        <v>0.13333333333333333</v>
      </c>
      <c r="EX44" s="36" t="str">
        <f t="shared" si="87"/>
        <v>No</v>
      </c>
      <c r="EY44" s="40">
        <f>COUNTIF($EX$2:$EX$92, EX44)/(COUNTIF($EX$2:$EX$92, "&lt;&gt;""") - COUNTIF($EX$2:$EX$92, ""))</f>
        <v>0.72222222222222221</v>
      </c>
      <c r="EZ44" s="36" t="str">
        <f t="shared" ref="EZ44:FB44" si="148">BM44</f>
        <v>Yes</v>
      </c>
      <c r="FA44" s="36" t="str">
        <f t="shared" si="148"/>
        <v>Yes</v>
      </c>
      <c r="FB44" s="36" t="str">
        <f t="shared" si="148"/>
        <v>No</v>
      </c>
      <c r="FC44" s="207"/>
      <c r="FD44" s="36" t="str">
        <f t="shared" si="89"/>
        <v>Recurring</v>
      </c>
      <c r="FE44" s="40">
        <f>COUNTIF($FD$2:$FD$92, FD44)/(COUNTIF($FD$2:$FD$92, "&lt;&gt;""") - COUNTIF($FD$2:$FD$92, ""))</f>
        <v>0.4</v>
      </c>
      <c r="FF44" s="36" t="str">
        <f t="shared" si="90"/>
        <v>B2B/B2C</v>
      </c>
      <c r="FG44" s="40">
        <f>COUNTIF($FF$2:$FF$92, FF44)/(COUNTIF($FF$2:$FF$92, "&lt;&gt;""") - COUNTIF($FF$2:$FF$92, ""))</f>
        <v>0.27777777777777779</v>
      </c>
      <c r="FH44" s="36" t="str">
        <f t="shared" si="91"/>
        <v>High</v>
      </c>
      <c r="FI44" s="40">
        <f>COUNTIF($FH$2:$FH$92, FH44)/(COUNTIF($FH$2:$FH$92, "&lt;&gt;""") - COUNTIF($FH$2:$FH$92, ""))</f>
        <v>0.53333333333333333</v>
      </c>
      <c r="FJ44" s="36" t="str">
        <f t="shared" si="92"/>
        <v>Low</v>
      </c>
      <c r="FK44" s="40">
        <f>COUNTIF($FJ$2:$FJ$92, FJ44)/(COUNTIF($FJ$2:$FJ$92, "&lt;&gt;""") - COUNTIF($FJ$2:$FJ$92, ""))</f>
        <v>0.41111111111111109</v>
      </c>
      <c r="FL44" s="207"/>
      <c r="FM44" s="192">
        <f t="shared" si="93"/>
        <v>1</v>
      </c>
      <c r="FN44" s="192" t="e">
        <f t="shared" ca="1" si="94"/>
        <v>#NAME?</v>
      </c>
      <c r="FO44" s="192" t="e">
        <f t="shared" ca="1" si="95"/>
        <v>#NAME?</v>
      </c>
      <c r="FP44" s="192" t="e">
        <f t="shared" ca="1" si="96"/>
        <v>#NAME?</v>
      </c>
      <c r="FQ44" s="209" t="e">
        <f t="shared" ca="1" si="97"/>
        <v>#NAME?</v>
      </c>
      <c r="FR44" s="208" t="e">
        <f t="shared" ca="1" si="98"/>
        <v>#NAME?</v>
      </c>
      <c r="FS44" s="36" t="str">
        <f t="shared" si="99"/>
        <v>Pre-Revenue</v>
      </c>
      <c r="FT44" s="196">
        <f>COUNTIF($FS$2:$FS$92, FS44)/(COUNTIF($FS$2:$FS$92, "&lt;&gt;""") - COUNTIF($FZ$2:$FZ$92, ""))</f>
        <v>0.2</v>
      </c>
      <c r="FU44" s="207"/>
      <c r="FV44" s="192">
        <f t="shared" si="100"/>
        <v>3</v>
      </c>
      <c r="FW44" s="197" t="e">
        <f t="shared" ca="1" si="101"/>
        <v>#NAME?</v>
      </c>
      <c r="FX44" s="209" t="e">
        <f t="shared" ca="1" si="102"/>
        <v>#NAME?</v>
      </c>
      <c r="FY44" s="211" t="e">
        <f t="shared" ca="1" si="103"/>
        <v>#NAME?</v>
      </c>
      <c r="FZ44" s="36" t="str">
        <f t="shared" si="104"/>
        <v>No</v>
      </c>
      <c r="GA44" s="196">
        <f>COUNTIF($FZ$2:$FZ$92, FZ44)/(COUNTIF($FZ$2:$FZ$92, "&lt;&gt;""") - COUNTIF($FZ$2:$FZ$92, ""))</f>
        <v>0.76666666666666672</v>
      </c>
      <c r="GB44" s="196" t="str">
        <f t="shared" si="105"/>
        <v>Low</v>
      </c>
      <c r="GC44" s="196">
        <f>COUNTIF($GB$2:$GB$92, GB44)/(COUNTIF($GB$2:$GB$92, "&lt;&gt;""") - COUNTIF($GB$2:$GB$92, ""))</f>
        <v>0.55555555555555558</v>
      </c>
      <c r="GD44" s="196" t="str">
        <f t="shared" si="106"/>
        <v>High</v>
      </c>
      <c r="GE44" s="196">
        <f>COUNTIF($GD$2:$GD$92, GD44)/(COUNTIF($GD$2:$GD$92, "&lt;&gt;""") - COUNTIF($GD$2:$GD$92, ""))</f>
        <v>0.8</v>
      </c>
      <c r="GF44" s="207"/>
      <c r="GG44" s="36"/>
      <c r="GH44" s="209" t="e">
        <f t="shared" ca="1" si="107"/>
        <v>#NAME?</v>
      </c>
      <c r="GI44" s="212" t="e">
        <f t="shared" ca="1" si="108"/>
        <v>#NAME?</v>
      </c>
    </row>
    <row r="45" spans="1:191" ht="15.75" customHeight="1">
      <c r="A45" s="29"/>
      <c r="B45" s="29" t="s">
        <v>409</v>
      </c>
      <c r="C45" s="30">
        <v>1804160</v>
      </c>
      <c r="D45" s="29" t="s">
        <v>871</v>
      </c>
      <c r="E45" s="230"/>
      <c r="F45" s="29" t="s">
        <v>344</v>
      </c>
      <c r="G45" s="32" t="s">
        <v>872</v>
      </c>
      <c r="H45" s="32" t="s">
        <v>873</v>
      </c>
      <c r="I45" s="33">
        <v>43909</v>
      </c>
      <c r="J45" s="29" t="s">
        <v>874</v>
      </c>
      <c r="K45" s="29" t="s">
        <v>871</v>
      </c>
      <c r="M45" s="29" t="s">
        <v>319</v>
      </c>
      <c r="N45" s="29" t="s">
        <v>315</v>
      </c>
      <c r="O45" s="29" t="s">
        <v>30</v>
      </c>
      <c r="P45" s="29" t="s">
        <v>174</v>
      </c>
      <c r="Q45" s="29" t="s">
        <v>35</v>
      </c>
      <c r="R45" s="176"/>
      <c r="S45" s="29" t="s">
        <v>216</v>
      </c>
      <c r="T45" s="177"/>
      <c r="U45" s="178"/>
      <c r="V45" s="200">
        <v>8000000</v>
      </c>
      <c r="W45" s="55"/>
      <c r="X45" s="224"/>
      <c r="Y45" s="55"/>
      <c r="Z45" s="274">
        <v>8000000</v>
      </c>
      <c r="AA45" s="78" t="s">
        <v>238</v>
      </c>
      <c r="AB45" s="29" t="s">
        <v>36</v>
      </c>
      <c r="AC45" s="29" t="s">
        <v>37</v>
      </c>
      <c r="AD45" s="29" t="s">
        <v>38</v>
      </c>
      <c r="AE45" s="29" t="s">
        <v>227</v>
      </c>
      <c r="AF45" s="29" t="s">
        <v>39</v>
      </c>
      <c r="AG45" s="29" t="s">
        <v>181</v>
      </c>
      <c r="AH45" s="29" t="s">
        <v>190</v>
      </c>
      <c r="AI45" s="184"/>
      <c r="AJ45" s="277">
        <v>2000000000</v>
      </c>
      <c r="AK45" s="30" t="s">
        <v>282</v>
      </c>
      <c r="AL45" s="277">
        <v>74000000</v>
      </c>
      <c r="AM45" s="30" t="s">
        <v>308</v>
      </c>
      <c r="AN45" s="277">
        <v>9.5000000000000001E-2</v>
      </c>
      <c r="AO45" s="185" t="e">
        <f t="shared" ca="1" si="63"/>
        <v>#NAME?</v>
      </c>
      <c r="AP45" s="185" t="s">
        <v>192</v>
      </c>
      <c r="AQ45" s="29" t="s">
        <v>39</v>
      </c>
      <c r="AR45" s="29" t="s">
        <v>39</v>
      </c>
      <c r="AS45" s="29" t="s">
        <v>182</v>
      </c>
      <c r="AT45" s="29" t="s">
        <v>181</v>
      </c>
      <c r="AU45" s="29" t="s">
        <v>39</v>
      </c>
      <c r="AV45" s="29" t="s">
        <v>190</v>
      </c>
      <c r="AW45" s="29" t="s">
        <v>190</v>
      </c>
      <c r="AX45" s="29" t="s">
        <v>227</v>
      </c>
      <c r="AY45" s="29" t="s">
        <v>227</v>
      </c>
      <c r="AZ45" s="179">
        <v>931839</v>
      </c>
      <c r="BA45" s="179" t="s">
        <v>239</v>
      </c>
      <c r="BB45" s="277">
        <v>51577</v>
      </c>
      <c r="BC45" s="277">
        <v>1685000</v>
      </c>
      <c r="BD45" s="30" t="s">
        <v>188</v>
      </c>
      <c r="BE45" s="277">
        <v>3.0599999999999999E-2</v>
      </c>
      <c r="BF45" s="30" t="s">
        <v>163</v>
      </c>
      <c r="BG45" s="29" t="s">
        <v>202</v>
      </c>
      <c r="BH45" s="176"/>
      <c r="BI45" s="29" t="s">
        <v>227</v>
      </c>
      <c r="BJ45" s="30">
        <v>300</v>
      </c>
      <c r="BK45" s="277">
        <v>2</v>
      </c>
      <c r="BL45" s="29" t="s">
        <v>190</v>
      </c>
      <c r="BM45" s="29" t="s">
        <v>190</v>
      </c>
      <c r="BN45" s="29" t="s">
        <v>190</v>
      </c>
      <c r="BO45" s="29" t="s">
        <v>190</v>
      </c>
      <c r="BP45" s="30">
        <v>2</v>
      </c>
      <c r="BQ45" s="30">
        <v>66</v>
      </c>
      <c r="BR45" s="30">
        <v>0</v>
      </c>
      <c r="BS45" s="30">
        <v>1</v>
      </c>
      <c r="BT45" s="203"/>
      <c r="BU45" s="30">
        <v>0</v>
      </c>
      <c r="BV45" s="30">
        <v>0</v>
      </c>
      <c r="BW45" s="44">
        <v>53</v>
      </c>
      <c r="BX45" s="29" t="s">
        <v>190</v>
      </c>
      <c r="BY45" s="203"/>
      <c r="BZ45" s="29">
        <v>0</v>
      </c>
      <c r="CA45" s="29">
        <v>0</v>
      </c>
      <c r="CB45" s="29">
        <v>33</v>
      </c>
      <c r="CC45" s="29" t="s">
        <v>190</v>
      </c>
      <c r="CD45" s="203"/>
      <c r="CE45" s="57"/>
      <c r="CF45" s="57"/>
      <c r="CG45" s="57"/>
      <c r="CH45" s="57"/>
      <c r="CI45" s="203"/>
      <c r="CJ45" s="57"/>
      <c r="CK45" s="57"/>
      <c r="CL45" s="57"/>
      <c r="CM45" s="57"/>
      <c r="CN45" s="203"/>
      <c r="CO45" s="186"/>
      <c r="CP45" s="186"/>
      <c r="CQ45" s="186"/>
      <c r="CR45" s="57"/>
      <c r="CS45" s="203"/>
      <c r="CT45" s="186"/>
      <c r="CU45" s="186"/>
      <c r="CV45" s="186"/>
      <c r="CW45" s="57"/>
      <c r="CX45" s="203"/>
      <c r="CY45" s="186"/>
      <c r="CZ45" s="186"/>
      <c r="DA45" s="186"/>
      <c r="DB45" s="57"/>
      <c r="DC45" s="203"/>
      <c r="DD45" s="186"/>
      <c r="DE45" s="186"/>
      <c r="DF45" s="186"/>
      <c r="DG45" s="57"/>
      <c r="DH45" s="203"/>
      <c r="DI45" s="186"/>
      <c r="DJ45" s="186"/>
      <c r="DK45" s="186"/>
      <c r="DL45" s="57"/>
      <c r="DM45" s="204"/>
      <c r="DN45" s="205"/>
      <c r="DO45" s="205"/>
      <c r="DQ45" s="206"/>
      <c r="DR45" s="188">
        <f t="shared" si="64"/>
        <v>0</v>
      </c>
      <c r="DS45" s="188"/>
      <c r="DT45" s="189">
        <f t="shared" si="65"/>
        <v>0</v>
      </c>
      <c r="DU45" s="189"/>
      <c r="DV45" s="188">
        <f t="shared" si="66"/>
        <v>43</v>
      </c>
      <c r="DW45" s="183" t="e">
        <f t="shared" ca="1" si="67"/>
        <v>#NAME?</v>
      </c>
      <c r="DX45" s="207"/>
      <c r="DY45" s="190" t="e">
        <f t="shared" ca="1" si="68"/>
        <v>#NAME?</v>
      </c>
      <c r="DZ45" s="191" t="str">
        <f t="shared" si="69"/>
        <v/>
      </c>
      <c r="EA45" s="191" t="str">
        <f t="shared" si="70"/>
        <v/>
      </c>
      <c r="EB45" s="191" t="str">
        <f t="shared" si="71"/>
        <v/>
      </c>
      <c r="EC45" s="208" t="e">
        <f t="shared" ca="1" si="72"/>
        <v>#NAME?</v>
      </c>
      <c r="ED45" s="36" t="str">
        <f t="shared" si="73"/>
        <v>Equity - Common</v>
      </c>
      <c r="EE45" s="193">
        <f>COUNTIF($ED$2:$ED$92, ED45)/(COUNTIF($ED$2:$ED$92, "&lt;&gt;""") - COUNTIF($ED$2:$ED$92, ""))</f>
        <v>0.32222222222222224</v>
      </c>
      <c r="EF45" s="36" t="str">
        <f t="shared" si="74"/>
        <v>Early</v>
      </c>
      <c r="EG45" s="207"/>
      <c r="EH45" s="194" t="e">
        <f t="shared" ca="1" si="75"/>
        <v>#NAME?</v>
      </c>
      <c r="EI45" s="194" t="e">
        <f t="shared" ca="1" si="76"/>
        <v>#NAME?</v>
      </c>
      <c r="EJ45" s="209" t="e">
        <f t="shared" ca="1" si="77"/>
        <v>#NAME?</v>
      </c>
      <c r="EK45" s="208" t="e">
        <f t="shared" ca="1" si="78"/>
        <v>#NAME?</v>
      </c>
      <c r="EL45" s="36" t="str">
        <f t="shared" si="79"/>
        <v>No</v>
      </c>
      <c r="EM45" s="207"/>
      <c r="EN45" s="192">
        <f t="shared" si="80"/>
        <v>1</v>
      </c>
      <c r="EO45" s="192">
        <f t="shared" si="81"/>
        <v>1</v>
      </c>
      <c r="EP45" s="209">
        <f t="shared" si="82"/>
        <v>2</v>
      </c>
      <c r="EQ45" s="210">
        <f t="shared" si="83"/>
        <v>1</v>
      </c>
      <c r="ER45" s="36" t="e">
        <f t="shared" ca="1" si="84"/>
        <v>#NAME?</v>
      </c>
      <c r="ES45" s="40">
        <f ca="1">COUNTIF($ER$2:$ER$92, ER45)/(COUNTIF($ER$2:$ER$92, "&lt;&gt;""") - COUNTIF($ER$2:$ER$92, ""))</f>
        <v>1</v>
      </c>
      <c r="ET45" s="36">
        <f t="shared" si="85"/>
        <v>2</v>
      </c>
      <c r="EU45" s="40">
        <f>COUNTIF($ET$2:$ET$92, ET45)/(COUNTIF($ET$2:$ET$92, "&lt;&gt;""") - COUNTIF($ET$2:$ET$92, ""))</f>
        <v>0.45555555555555555</v>
      </c>
      <c r="EV45" s="36">
        <f t="shared" si="86"/>
        <v>66</v>
      </c>
      <c r="EW45" s="40">
        <f>COUNTIF($EV$2:$EV$92, EV45)/(COUNTIF($EV$2:$EV$92, "&lt;&gt;""") - COUNTIF($EV$2:$EV$92, ""))</f>
        <v>1.1111111111111112E-2</v>
      </c>
      <c r="EX45" s="36" t="str">
        <f t="shared" si="87"/>
        <v>No</v>
      </c>
      <c r="EY45" s="40">
        <f>COUNTIF($EX$2:$EX$92, EX45)/(COUNTIF($EX$2:$EX$92, "&lt;&gt;""") - COUNTIF($EX$2:$EX$92, ""))</f>
        <v>0.72222222222222221</v>
      </c>
      <c r="EZ45" s="36" t="str">
        <f t="shared" ref="EZ45:FB45" si="149">BM45</f>
        <v>No</v>
      </c>
      <c r="FA45" s="36" t="str">
        <f t="shared" si="149"/>
        <v>No</v>
      </c>
      <c r="FB45" s="36" t="str">
        <f t="shared" si="149"/>
        <v>No</v>
      </c>
      <c r="FC45" s="207"/>
      <c r="FD45" s="36" t="str">
        <f t="shared" si="89"/>
        <v>Transactional</v>
      </c>
      <c r="FE45" s="40">
        <f>COUNTIF($FD$2:$FD$92, FD45)/(COUNTIF($FD$2:$FD$92, "&lt;&gt;""") - COUNTIF($FD$2:$FD$92, ""))</f>
        <v>0.6</v>
      </c>
      <c r="FF45" s="36" t="str">
        <f t="shared" si="90"/>
        <v>B2B</v>
      </c>
      <c r="FG45" s="40">
        <f>COUNTIF($FF$2:$FF$92, FF45)/(COUNTIF($FF$2:$FF$92, "&lt;&gt;""") - COUNTIF($FF$2:$FF$92, ""))</f>
        <v>0.24444444444444444</v>
      </c>
      <c r="FH45" s="36" t="str">
        <f t="shared" si="91"/>
        <v>High</v>
      </c>
      <c r="FI45" s="40">
        <f>COUNTIF($FH$2:$FH$92, FH45)/(COUNTIF($FH$2:$FH$92, "&lt;&gt;""") - COUNTIF($FH$2:$FH$92, ""))</f>
        <v>0.53333333333333333</v>
      </c>
      <c r="FJ45" s="36" t="str">
        <f t="shared" si="92"/>
        <v>Low</v>
      </c>
      <c r="FK45" s="40">
        <f>COUNTIF($FJ$2:$FJ$92, FJ45)/(COUNTIF($FJ$2:$FJ$92, "&lt;&gt;""") - COUNTIF($FJ$2:$FJ$92, ""))</f>
        <v>0.41111111111111109</v>
      </c>
      <c r="FL45" s="207"/>
      <c r="FM45" s="192">
        <f t="shared" si="93"/>
        <v>5</v>
      </c>
      <c r="FN45" s="192" t="e">
        <f t="shared" ca="1" si="94"/>
        <v>#NAME?</v>
      </c>
      <c r="FO45" s="192" t="e">
        <f t="shared" ca="1" si="95"/>
        <v>#NAME?</v>
      </c>
      <c r="FP45" s="192" t="e">
        <f t="shared" ca="1" si="96"/>
        <v>#NAME?</v>
      </c>
      <c r="FQ45" s="209" t="e">
        <f t="shared" ca="1" si="97"/>
        <v>#NAME?</v>
      </c>
      <c r="FR45" s="208" t="e">
        <f t="shared" ca="1" si="98"/>
        <v>#NAME?</v>
      </c>
      <c r="FS45" s="36" t="str">
        <f t="shared" si="99"/>
        <v>Pre-Profit</v>
      </c>
      <c r="FT45" s="196">
        <f>COUNTIF($FS$2:$FS$92, FS45)/(COUNTIF($FS$2:$FS$92, "&lt;&gt;""") - COUNTIF($FZ$2:$FZ$92, ""))</f>
        <v>0.51111111111111107</v>
      </c>
      <c r="FU45" s="207"/>
      <c r="FV45" s="192" t="e">
        <f t="shared" ca="1" si="100"/>
        <v>#NAME?</v>
      </c>
      <c r="FW45" s="197" t="e">
        <f t="shared" ca="1" si="101"/>
        <v>#NAME?</v>
      </c>
      <c r="FX45" s="209" t="e">
        <f t="shared" ca="1" si="102"/>
        <v>#NAME?</v>
      </c>
      <c r="FY45" s="211" t="e">
        <f t="shared" ca="1" si="103"/>
        <v>#NAME?</v>
      </c>
      <c r="FZ45" s="36" t="str">
        <f t="shared" si="104"/>
        <v>No</v>
      </c>
      <c r="GA45" s="196">
        <f>COUNTIF($FZ$2:$FZ$92, FZ45)/(COUNTIF($FZ$2:$FZ$92, "&lt;&gt;""") - COUNTIF($FZ$2:$FZ$92, ""))</f>
        <v>0.76666666666666672</v>
      </c>
      <c r="GB45" s="196" t="str">
        <f t="shared" si="105"/>
        <v>Low</v>
      </c>
      <c r="GC45" s="196">
        <f>COUNTIF($GB$2:$GB$92, GB45)/(COUNTIF($GB$2:$GB$92, "&lt;&gt;""") - COUNTIF($GB$2:$GB$92, ""))</f>
        <v>0.55555555555555558</v>
      </c>
      <c r="GD45" s="196" t="str">
        <f t="shared" si="106"/>
        <v>High</v>
      </c>
      <c r="GE45" s="196">
        <f>COUNTIF($GD$2:$GD$92, GD45)/(COUNTIF($GD$2:$GD$92, "&lt;&gt;""") - COUNTIF($GD$2:$GD$92, ""))</f>
        <v>0.8</v>
      </c>
      <c r="GF45" s="207"/>
      <c r="GG45" s="36"/>
      <c r="GH45" s="209" t="e">
        <f t="shared" ca="1" si="107"/>
        <v>#NAME?</v>
      </c>
      <c r="GI45" s="212" t="e">
        <f t="shared" ca="1" si="108"/>
        <v>#NAME?</v>
      </c>
    </row>
    <row r="46" spans="1:191" ht="15.75" customHeight="1">
      <c r="A46" s="29"/>
      <c r="B46" s="29" t="s">
        <v>409</v>
      </c>
      <c r="C46" s="30">
        <v>1804004</v>
      </c>
      <c r="D46" s="29" t="s">
        <v>875</v>
      </c>
      <c r="E46" s="230"/>
      <c r="F46" s="29" t="s">
        <v>337</v>
      </c>
      <c r="G46" s="32" t="s">
        <v>876</v>
      </c>
      <c r="H46" s="32" t="s">
        <v>877</v>
      </c>
      <c r="I46" s="33">
        <v>43917</v>
      </c>
      <c r="J46" s="29" t="s">
        <v>878</v>
      </c>
      <c r="K46" s="29" t="s">
        <v>875</v>
      </c>
      <c r="M46" s="29" t="s">
        <v>243</v>
      </c>
      <c r="N46" s="29" t="s">
        <v>168</v>
      </c>
      <c r="O46" s="29" t="s">
        <v>30</v>
      </c>
      <c r="P46" s="29" t="s">
        <v>31</v>
      </c>
      <c r="Q46" s="29" t="s">
        <v>35</v>
      </c>
      <c r="R46" s="176"/>
      <c r="S46" s="29" t="s">
        <v>216</v>
      </c>
      <c r="T46" s="177"/>
      <c r="U46" s="178"/>
      <c r="V46" s="180"/>
      <c r="W46" s="179">
        <v>5500000</v>
      </c>
      <c r="X46" s="224"/>
      <c r="Y46" s="179">
        <v>5500000</v>
      </c>
      <c r="Z46" s="274">
        <v>5500000</v>
      </c>
      <c r="AA46" s="78" t="s">
        <v>224</v>
      </c>
      <c r="AB46" s="29" t="s">
        <v>178</v>
      </c>
      <c r="AC46" s="29" t="s">
        <v>179</v>
      </c>
      <c r="AD46" s="29" t="s">
        <v>38</v>
      </c>
      <c r="AE46" s="29" t="s">
        <v>190</v>
      </c>
      <c r="AF46" s="29" t="s">
        <v>181</v>
      </c>
      <c r="AG46" s="29" t="s">
        <v>39</v>
      </c>
      <c r="AH46" s="29" t="s">
        <v>190</v>
      </c>
      <c r="AI46" s="184"/>
      <c r="AJ46" s="277">
        <v>8600000000</v>
      </c>
      <c r="AK46" s="30" t="s">
        <v>271</v>
      </c>
      <c r="AL46" s="277">
        <v>2000000000</v>
      </c>
      <c r="AM46" s="30" t="s">
        <v>282</v>
      </c>
      <c r="AN46" s="277">
        <v>0.159</v>
      </c>
      <c r="AO46" s="185" t="e">
        <f t="shared" ca="1" si="63"/>
        <v>#NAME?</v>
      </c>
      <c r="AP46" s="185" t="s">
        <v>192</v>
      </c>
      <c r="AQ46" s="29" t="s">
        <v>181</v>
      </c>
      <c r="AR46" s="29" t="s">
        <v>181</v>
      </c>
      <c r="AS46" s="29" t="s">
        <v>42</v>
      </c>
      <c r="AT46" s="29" t="s">
        <v>181</v>
      </c>
      <c r="AU46" s="29" t="s">
        <v>39</v>
      </c>
      <c r="AV46" s="29" t="s">
        <v>227</v>
      </c>
      <c r="AW46" s="29" t="s">
        <v>227</v>
      </c>
      <c r="AX46" s="29" t="s">
        <v>227</v>
      </c>
      <c r="AY46" s="29" t="s">
        <v>227</v>
      </c>
      <c r="AZ46" s="179">
        <v>266848</v>
      </c>
      <c r="BA46" s="179" t="s">
        <v>225</v>
      </c>
      <c r="BB46" s="277">
        <v>37415</v>
      </c>
      <c r="BC46" s="277">
        <v>0</v>
      </c>
      <c r="BD46" s="30" t="s">
        <v>162</v>
      </c>
      <c r="BE46" s="277">
        <v>1</v>
      </c>
      <c r="BF46" s="30" t="s">
        <v>240</v>
      </c>
      <c r="BG46" s="29" t="s">
        <v>202</v>
      </c>
      <c r="BH46" s="176"/>
      <c r="BI46" s="29" t="s">
        <v>190</v>
      </c>
      <c r="BJ46" s="30">
        <v>0</v>
      </c>
      <c r="BK46" s="277">
        <v>1</v>
      </c>
      <c r="BL46" s="29" t="s">
        <v>190</v>
      </c>
      <c r="BM46" s="29" t="s">
        <v>190</v>
      </c>
      <c r="BN46" s="29" t="s">
        <v>190</v>
      </c>
      <c r="BO46" s="29" t="s">
        <v>190</v>
      </c>
      <c r="BP46" s="30">
        <v>1</v>
      </c>
      <c r="BQ46" s="30">
        <v>8</v>
      </c>
      <c r="BR46" s="30">
        <v>1</v>
      </c>
      <c r="BS46" s="30">
        <v>0</v>
      </c>
      <c r="BT46" s="203"/>
      <c r="BU46" s="30">
        <v>0</v>
      </c>
      <c r="BV46" s="30">
        <v>0</v>
      </c>
      <c r="BW46" s="44">
        <v>42</v>
      </c>
      <c r="BX46" s="29" t="s">
        <v>190</v>
      </c>
      <c r="BY46" s="203"/>
      <c r="BZ46" s="57"/>
      <c r="CA46" s="57"/>
      <c r="CB46" s="57"/>
      <c r="CC46" s="57"/>
      <c r="CD46" s="203"/>
      <c r="CE46" s="57"/>
      <c r="CF46" s="57"/>
      <c r="CG46" s="57"/>
      <c r="CH46" s="57"/>
      <c r="CI46" s="203"/>
      <c r="CJ46" s="57"/>
      <c r="CK46" s="57"/>
      <c r="CL46" s="57"/>
      <c r="CM46" s="57"/>
      <c r="CN46" s="203"/>
      <c r="CO46" s="186"/>
      <c r="CP46" s="186"/>
      <c r="CQ46" s="186"/>
      <c r="CR46" s="57"/>
      <c r="CS46" s="203"/>
      <c r="CT46" s="186"/>
      <c r="CU46" s="186"/>
      <c r="CV46" s="186"/>
      <c r="CW46" s="57"/>
      <c r="CX46" s="203"/>
      <c r="CY46" s="186"/>
      <c r="CZ46" s="186"/>
      <c r="DA46" s="186"/>
      <c r="DB46" s="57"/>
      <c r="DC46" s="203"/>
      <c r="DD46" s="186"/>
      <c r="DE46" s="186"/>
      <c r="DF46" s="186"/>
      <c r="DG46" s="57"/>
      <c r="DH46" s="203"/>
      <c r="DI46" s="186"/>
      <c r="DJ46" s="186"/>
      <c r="DK46" s="186"/>
      <c r="DL46" s="57"/>
      <c r="DM46" s="204"/>
      <c r="DN46" s="205"/>
      <c r="DO46" s="205"/>
      <c r="DQ46" s="206"/>
      <c r="DR46" s="188">
        <f t="shared" si="64"/>
        <v>0</v>
      </c>
      <c r="DS46" s="188"/>
      <c r="DT46" s="189">
        <f t="shared" si="65"/>
        <v>0</v>
      </c>
      <c r="DU46" s="189"/>
      <c r="DV46" s="188">
        <f t="shared" si="66"/>
        <v>42</v>
      </c>
      <c r="DW46" s="183" t="e">
        <f t="shared" ca="1" si="67"/>
        <v>#NAME?</v>
      </c>
      <c r="DX46" s="207"/>
      <c r="DY46" s="190" t="e">
        <f t="shared" ca="1" si="68"/>
        <v>#NAME?</v>
      </c>
      <c r="DZ46" s="191" t="str">
        <f t="shared" si="69"/>
        <v/>
      </c>
      <c r="EA46" s="191" t="str">
        <f t="shared" si="70"/>
        <v/>
      </c>
      <c r="EB46" s="191" t="str">
        <f t="shared" si="71"/>
        <v/>
      </c>
      <c r="EC46" s="208" t="e">
        <f t="shared" ca="1" si="72"/>
        <v>#NAME?</v>
      </c>
      <c r="ED46" s="36" t="str">
        <f t="shared" si="73"/>
        <v>Equity - Common</v>
      </c>
      <c r="EE46" s="193">
        <f>COUNTIF($ED$2:$ED$92, ED46)/(COUNTIF($ED$2:$ED$92, "&lt;&gt;""") - COUNTIF($ED$2:$ED$92, ""))</f>
        <v>0.32222222222222224</v>
      </c>
      <c r="EF46" s="36" t="str">
        <f t="shared" si="74"/>
        <v>Early</v>
      </c>
      <c r="EG46" s="207"/>
      <c r="EH46" s="194" t="e">
        <f t="shared" ca="1" si="75"/>
        <v>#NAME?</v>
      </c>
      <c r="EI46" s="194" t="e">
        <f t="shared" ca="1" si="76"/>
        <v>#NAME?</v>
      </c>
      <c r="EJ46" s="209" t="e">
        <f t="shared" ca="1" si="77"/>
        <v>#NAME?</v>
      </c>
      <c r="EK46" s="208" t="e">
        <f t="shared" ca="1" si="78"/>
        <v>#NAME?</v>
      </c>
      <c r="EL46" s="36" t="str">
        <f t="shared" si="79"/>
        <v>Yes</v>
      </c>
      <c r="EM46" s="207"/>
      <c r="EN46" s="192">
        <f t="shared" si="80"/>
        <v>1</v>
      </c>
      <c r="EO46" s="192">
        <f t="shared" si="81"/>
        <v>1</v>
      </c>
      <c r="EP46" s="209">
        <f t="shared" si="82"/>
        <v>2</v>
      </c>
      <c r="EQ46" s="210">
        <f t="shared" si="83"/>
        <v>1</v>
      </c>
      <c r="ER46" s="36" t="e">
        <f t="shared" ca="1" si="84"/>
        <v>#NAME?</v>
      </c>
      <c r="ES46" s="40">
        <f ca="1">COUNTIF($ER$2:$ER$92, ER46)/(COUNTIF($ER$2:$ER$92, "&lt;&gt;""") - COUNTIF($ER$2:$ER$92, ""))</f>
        <v>1</v>
      </c>
      <c r="ET46" s="36">
        <f t="shared" si="85"/>
        <v>1</v>
      </c>
      <c r="EU46" s="40">
        <f>COUNTIF($ET$2:$ET$92, ET46)/(COUNTIF($ET$2:$ET$92, "&lt;&gt;""") - COUNTIF($ET$2:$ET$92, ""))</f>
        <v>0.45555555555555555</v>
      </c>
      <c r="EV46" s="36">
        <f t="shared" si="86"/>
        <v>8</v>
      </c>
      <c r="EW46" s="40">
        <f>COUNTIF($EV$2:$EV$92, EV46)/(COUNTIF($EV$2:$EV$92, "&lt;&gt;""") - COUNTIF($EV$2:$EV$92, ""))</f>
        <v>5.5555555555555552E-2</v>
      </c>
      <c r="EX46" s="36" t="str">
        <f t="shared" si="87"/>
        <v>No</v>
      </c>
      <c r="EY46" s="40">
        <f>COUNTIF($EX$2:$EX$92, EX46)/(COUNTIF($EX$2:$EX$92, "&lt;&gt;""") - COUNTIF($EX$2:$EX$92, ""))</f>
        <v>0.72222222222222221</v>
      </c>
      <c r="EZ46" s="36" t="str">
        <f t="shared" ref="EZ46:FB46" si="150">BM46</f>
        <v>No</v>
      </c>
      <c r="FA46" s="36" t="str">
        <f t="shared" si="150"/>
        <v>No</v>
      </c>
      <c r="FB46" s="36" t="str">
        <f t="shared" si="150"/>
        <v>No</v>
      </c>
      <c r="FC46" s="207"/>
      <c r="FD46" s="36" t="str">
        <f t="shared" si="89"/>
        <v>Recurring</v>
      </c>
      <c r="FE46" s="40">
        <f>COUNTIF($FD$2:$FD$92, FD46)/(COUNTIF($FD$2:$FD$92, "&lt;&gt;""") - COUNTIF($FD$2:$FD$92, ""))</f>
        <v>0.4</v>
      </c>
      <c r="FF46" s="36" t="str">
        <f t="shared" si="90"/>
        <v>B2C</v>
      </c>
      <c r="FG46" s="40">
        <f>COUNTIF($FF$2:$FF$92, FF46)/(COUNTIF($FF$2:$FF$92, "&lt;&gt;""") - COUNTIF($FF$2:$FF$92, ""))</f>
        <v>0.41111111111111109</v>
      </c>
      <c r="FH46" s="36" t="str">
        <f t="shared" si="91"/>
        <v>Low</v>
      </c>
      <c r="FI46" s="40">
        <f>COUNTIF($FH$2:$FH$92, FH46)/(COUNTIF($FH$2:$FH$92, "&lt;&gt;""") - COUNTIF($FH$2:$FH$92, ""))</f>
        <v>0.46666666666666667</v>
      </c>
      <c r="FJ46" s="36" t="str">
        <f t="shared" si="92"/>
        <v>High</v>
      </c>
      <c r="FK46" s="40">
        <f>COUNTIF($FJ$2:$FJ$92, FJ46)/(COUNTIF($FJ$2:$FJ$92, "&lt;&gt;""") - COUNTIF($FJ$2:$FJ$92, ""))</f>
        <v>0.58888888888888891</v>
      </c>
      <c r="FL46" s="207"/>
      <c r="FM46" s="192">
        <f t="shared" si="93"/>
        <v>5</v>
      </c>
      <c r="FN46" s="192" t="e">
        <f t="shared" ca="1" si="94"/>
        <v>#NAME?</v>
      </c>
      <c r="FO46" s="192" t="e">
        <f t="shared" ca="1" si="95"/>
        <v>#NAME?</v>
      </c>
      <c r="FP46" s="192" t="e">
        <f t="shared" ca="1" si="96"/>
        <v>#NAME?</v>
      </c>
      <c r="FQ46" s="209" t="e">
        <f t="shared" ca="1" si="97"/>
        <v>#NAME?</v>
      </c>
      <c r="FR46" s="208" t="e">
        <f t="shared" ca="1" si="98"/>
        <v>#NAME?</v>
      </c>
      <c r="FS46" s="36" t="str">
        <f t="shared" si="99"/>
        <v>Pre-Profit</v>
      </c>
      <c r="FT46" s="196">
        <f>COUNTIF($FS$2:$FS$92, FS46)/(COUNTIF($FS$2:$FS$92, "&lt;&gt;""") - COUNTIF($FZ$2:$FZ$92, ""))</f>
        <v>0.51111111111111107</v>
      </c>
      <c r="FU46" s="207"/>
      <c r="FV46" s="192" t="e">
        <f t="shared" ca="1" si="100"/>
        <v>#NAME?</v>
      </c>
      <c r="FW46" s="197" t="e">
        <f t="shared" ca="1" si="101"/>
        <v>#NAME?</v>
      </c>
      <c r="FX46" s="209" t="e">
        <f t="shared" ca="1" si="102"/>
        <v>#NAME?</v>
      </c>
      <c r="FY46" s="211" t="e">
        <f t="shared" ca="1" si="103"/>
        <v>#NAME?</v>
      </c>
      <c r="FZ46" s="36" t="str">
        <f t="shared" si="104"/>
        <v>Yes</v>
      </c>
      <c r="GA46" s="196">
        <f>COUNTIF($FZ$2:$FZ$92, FZ46)/(COUNTIF($FZ$2:$FZ$92, "&lt;&gt;""") - COUNTIF($FZ$2:$FZ$92, ""))</f>
        <v>0.23333333333333334</v>
      </c>
      <c r="GB46" s="196" t="str">
        <f t="shared" si="105"/>
        <v>Low</v>
      </c>
      <c r="GC46" s="196">
        <f>COUNTIF($GB$2:$GB$92, GB46)/(COUNTIF($GB$2:$GB$92, "&lt;&gt;""") - COUNTIF($GB$2:$GB$92, ""))</f>
        <v>0.55555555555555558</v>
      </c>
      <c r="GD46" s="196" t="str">
        <f t="shared" si="106"/>
        <v>High</v>
      </c>
      <c r="GE46" s="196">
        <f>COUNTIF($GD$2:$GD$92, GD46)/(COUNTIF($GD$2:$GD$92, "&lt;&gt;""") - COUNTIF($GD$2:$GD$92, ""))</f>
        <v>0.8</v>
      </c>
      <c r="GF46" s="207"/>
      <c r="GG46" s="36"/>
      <c r="GH46" s="209" t="e">
        <f t="shared" ca="1" si="107"/>
        <v>#NAME?</v>
      </c>
      <c r="GI46" s="212" t="e">
        <f t="shared" ca="1" si="108"/>
        <v>#NAME?</v>
      </c>
    </row>
    <row r="47" spans="1:191" ht="15.75" customHeight="1">
      <c r="A47" s="29"/>
      <c r="B47" s="29" t="s">
        <v>409</v>
      </c>
      <c r="C47" s="30">
        <v>1808015</v>
      </c>
      <c r="D47" s="29" t="s">
        <v>879</v>
      </c>
      <c r="E47" s="230"/>
      <c r="F47" s="29" t="s">
        <v>316</v>
      </c>
      <c r="G47" s="32" t="s">
        <v>880</v>
      </c>
      <c r="H47" s="32" t="s">
        <v>881</v>
      </c>
      <c r="I47" s="33">
        <v>43928</v>
      </c>
      <c r="J47" s="29" t="s">
        <v>882</v>
      </c>
      <c r="K47" s="29" t="s">
        <v>879</v>
      </c>
      <c r="M47" s="231" t="s">
        <v>286</v>
      </c>
      <c r="N47" s="29" t="s">
        <v>278</v>
      </c>
      <c r="O47" s="29" t="s">
        <v>30</v>
      </c>
      <c r="P47" s="29" t="s">
        <v>31</v>
      </c>
      <c r="Q47" s="29" t="s">
        <v>35</v>
      </c>
      <c r="R47" s="176"/>
      <c r="S47" s="29" t="s">
        <v>216</v>
      </c>
      <c r="T47" s="177"/>
      <c r="U47" s="178"/>
      <c r="V47" s="180"/>
      <c r="W47" s="179">
        <v>10000000</v>
      </c>
      <c r="X47" s="224"/>
      <c r="Y47" s="179">
        <v>10000000</v>
      </c>
      <c r="Z47" s="274">
        <v>10000000</v>
      </c>
      <c r="AA47" s="78" t="s">
        <v>250</v>
      </c>
      <c r="AB47" s="29" t="s">
        <v>178</v>
      </c>
      <c r="AC47" s="29" t="s">
        <v>37</v>
      </c>
      <c r="AD47" s="29" t="s">
        <v>180</v>
      </c>
      <c r="AE47" s="29" t="s">
        <v>227</v>
      </c>
      <c r="AF47" s="29" t="s">
        <v>39</v>
      </c>
      <c r="AG47" s="29" t="s">
        <v>181</v>
      </c>
      <c r="AH47" s="29" t="s">
        <v>190</v>
      </c>
      <c r="AI47" s="184"/>
      <c r="AJ47" s="277">
        <v>127660000000</v>
      </c>
      <c r="AK47" s="30" t="s">
        <v>222</v>
      </c>
      <c r="AL47" s="277">
        <v>3000000000</v>
      </c>
      <c r="AM47" s="30" t="s">
        <v>282</v>
      </c>
      <c r="AN47" s="277">
        <v>0.1152</v>
      </c>
      <c r="AO47" s="185" t="e">
        <f t="shared" ca="1" si="63"/>
        <v>#NAME?</v>
      </c>
      <c r="AP47" s="185" t="s">
        <v>228</v>
      </c>
      <c r="AQ47" s="29" t="s">
        <v>181</v>
      </c>
      <c r="AR47" s="29" t="s">
        <v>181</v>
      </c>
      <c r="AS47" s="29" t="s">
        <v>201</v>
      </c>
      <c r="AT47" s="29" t="s">
        <v>181</v>
      </c>
      <c r="AU47" s="29" t="s">
        <v>39</v>
      </c>
      <c r="AV47" s="29" t="s">
        <v>190</v>
      </c>
      <c r="AW47" s="29" t="s">
        <v>190</v>
      </c>
      <c r="AX47" s="29" t="s">
        <v>190</v>
      </c>
      <c r="AY47" s="29" t="s">
        <v>190</v>
      </c>
      <c r="AZ47" s="179">
        <v>0</v>
      </c>
      <c r="BA47" s="179" t="s">
        <v>162</v>
      </c>
      <c r="BB47" s="277">
        <v>52766</v>
      </c>
      <c r="BC47" s="277">
        <v>0</v>
      </c>
      <c r="BD47" s="30" t="s">
        <v>162</v>
      </c>
      <c r="BE47" s="277">
        <v>1</v>
      </c>
      <c r="BF47" s="30" t="s">
        <v>240</v>
      </c>
      <c r="BG47" s="29" t="s">
        <v>43</v>
      </c>
      <c r="BH47" s="176"/>
      <c r="BI47" s="29" t="s">
        <v>190</v>
      </c>
      <c r="BJ47" s="30">
        <v>0</v>
      </c>
      <c r="BK47" s="277">
        <v>1</v>
      </c>
      <c r="BL47" s="29" t="s">
        <v>190</v>
      </c>
      <c r="BM47" s="29" t="s">
        <v>227</v>
      </c>
      <c r="BN47" s="29" t="s">
        <v>190</v>
      </c>
      <c r="BO47" s="29" t="s">
        <v>190</v>
      </c>
      <c r="BP47" s="30">
        <v>1</v>
      </c>
      <c r="BQ47" s="30">
        <v>4</v>
      </c>
      <c r="BR47" s="30">
        <v>0</v>
      </c>
      <c r="BS47" s="30">
        <v>0</v>
      </c>
      <c r="BT47" s="203"/>
      <c r="BU47" s="30">
        <v>17</v>
      </c>
      <c r="BV47" s="30">
        <v>0</v>
      </c>
      <c r="BW47" s="44">
        <v>40</v>
      </c>
      <c r="BX47" s="29" t="s">
        <v>227</v>
      </c>
      <c r="BY47" s="203"/>
      <c r="BZ47" s="29"/>
      <c r="CA47" s="29"/>
      <c r="CB47" s="57"/>
      <c r="CC47" s="29"/>
      <c r="CD47" s="203"/>
      <c r="CE47" s="57"/>
      <c r="CF47" s="57"/>
      <c r="CG47" s="57"/>
      <c r="CH47" s="57"/>
      <c r="CI47" s="203"/>
      <c r="CJ47" s="57"/>
      <c r="CK47" s="57"/>
      <c r="CL47" s="57"/>
      <c r="CM47" s="57"/>
      <c r="CN47" s="203"/>
      <c r="CO47" s="186"/>
      <c r="CP47" s="186"/>
      <c r="CQ47" s="186"/>
      <c r="CR47" s="57"/>
      <c r="CS47" s="203"/>
      <c r="CT47" s="186"/>
      <c r="CU47" s="186"/>
      <c r="CV47" s="186"/>
      <c r="CW47" s="57"/>
      <c r="CX47" s="203"/>
      <c r="CY47" s="186"/>
      <c r="CZ47" s="186"/>
      <c r="DA47" s="186"/>
      <c r="DB47" s="57"/>
      <c r="DC47" s="203"/>
      <c r="DD47" s="186"/>
      <c r="DE47" s="186"/>
      <c r="DF47" s="186"/>
      <c r="DG47" s="57"/>
      <c r="DH47" s="203"/>
      <c r="DI47" s="186"/>
      <c r="DJ47" s="186"/>
      <c r="DK47" s="186"/>
      <c r="DL47" s="57"/>
      <c r="DM47" s="204"/>
      <c r="DN47" s="205"/>
      <c r="DO47" s="205"/>
      <c r="DQ47" s="206"/>
      <c r="DR47" s="188">
        <f t="shared" si="64"/>
        <v>17</v>
      </c>
      <c r="DS47" s="188"/>
      <c r="DT47" s="189">
        <f t="shared" si="65"/>
        <v>0</v>
      </c>
      <c r="DU47" s="189"/>
      <c r="DV47" s="188">
        <f t="shared" si="66"/>
        <v>40</v>
      </c>
      <c r="DW47" s="183" t="e">
        <f t="shared" ca="1" si="67"/>
        <v>#NAME?</v>
      </c>
      <c r="DX47" s="207"/>
      <c r="DY47" s="190" t="e">
        <f t="shared" ca="1" si="68"/>
        <v>#NAME?</v>
      </c>
      <c r="DZ47" s="191" t="str">
        <f t="shared" si="69"/>
        <v/>
      </c>
      <c r="EA47" s="191" t="str">
        <f t="shared" si="70"/>
        <v/>
      </c>
      <c r="EB47" s="191" t="str">
        <f t="shared" si="71"/>
        <v/>
      </c>
      <c r="EC47" s="208" t="e">
        <f t="shared" ca="1" si="72"/>
        <v>#NAME?</v>
      </c>
      <c r="ED47" s="36" t="str">
        <f t="shared" si="73"/>
        <v>Equity - Common</v>
      </c>
      <c r="EE47" s="193">
        <f>COUNTIF($ED$2:$ED$92, ED47)/(COUNTIF($ED$2:$ED$92, "&lt;&gt;""") - COUNTIF($ED$2:$ED$92, ""))</f>
        <v>0.32222222222222224</v>
      </c>
      <c r="EF47" s="36" t="str">
        <f t="shared" si="74"/>
        <v>Early</v>
      </c>
      <c r="EG47" s="207"/>
      <c r="EH47" s="194" t="e">
        <f t="shared" ca="1" si="75"/>
        <v>#NAME?</v>
      </c>
      <c r="EI47" s="194" t="e">
        <f t="shared" ca="1" si="76"/>
        <v>#NAME?</v>
      </c>
      <c r="EJ47" s="209" t="e">
        <f t="shared" ca="1" si="77"/>
        <v>#NAME?</v>
      </c>
      <c r="EK47" s="208" t="e">
        <f t="shared" ca="1" si="78"/>
        <v>#NAME?</v>
      </c>
      <c r="EL47" s="36" t="str">
        <f t="shared" si="79"/>
        <v>No</v>
      </c>
      <c r="EM47" s="207"/>
      <c r="EN47" s="192">
        <f t="shared" si="80"/>
        <v>2.6190476190476191</v>
      </c>
      <c r="EO47" s="192">
        <f t="shared" si="81"/>
        <v>1</v>
      </c>
      <c r="EP47" s="209">
        <f t="shared" si="82"/>
        <v>3.6190476190476191</v>
      </c>
      <c r="EQ47" s="210">
        <f t="shared" si="83"/>
        <v>2.2710280373831777</v>
      </c>
      <c r="ER47" s="36" t="e">
        <f t="shared" ca="1" si="84"/>
        <v>#NAME?</v>
      </c>
      <c r="ES47" s="40">
        <f ca="1">COUNTIF($ER$2:$ER$92, ER47)/(COUNTIF($ER$2:$ER$92, "&lt;&gt;""") - COUNTIF($ER$2:$ER$92, ""))</f>
        <v>1</v>
      </c>
      <c r="ET47" s="36">
        <f t="shared" si="85"/>
        <v>1</v>
      </c>
      <c r="EU47" s="40">
        <f>COUNTIF($ET$2:$ET$92, ET47)/(COUNTIF($ET$2:$ET$92, "&lt;&gt;""") - COUNTIF($ET$2:$ET$92, ""))</f>
        <v>0.45555555555555555</v>
      </c>
      <c r="EV47" s="36">
        <f t="shared" si="86"/>
        <v>4</v>
      </c>
      <c r="EW47" s="40">
        <f>COUNTIF($EV$2:$EV$92, EV47)/(COUNTIF($EV$2:$EV$92, "&lt;&gt;""") - COUNTIF($EV$2:$EV$92, ""))</f>
        <v>0.12222222222222222</v>
      </c>
      <c r="EX47" s="36" t="str">
        <f t="shared" si="87"/>
        <v>No</v>
      </c>
      <c r="EY47" s="40">
        <f>COUNTIF($EX$2:$EX$92, EX47)/(COUNTIF($EX$2:$EX$92, "&lt;&gt;""") - COUNTIF($EX$2:$EX$92, ""))</f>
        <v>0.72222222222222221</v>
      </c>
      <c r="EZ47" s="36" t="str">
        <f t="shared" ref="EZ47:FB47" si="151">BM47</f>
        <v>Yes</v>
      </c>
      <c r="FA47" s="36" t="str">
        <f t="shared" si="151"/>
        <v>No</v>
      </c>
      <c r="FB47" s="36" t="str">
        <f t="shared" si="151"/>
        <v>No</v>
      </c>
      <c r="FC47" s="207"/>
      <c r="FD47" s="36" t="str">
        <f t="shared" si="89"/>
        <v>Recurring</v>
      </c>
      <c r="FE47" s="40">
        <f>COUNTIF($FD$2:$FD$92, FD47)/(COUNTIF($FD$2:$FD$92, "&lt;&gt;""") - COUNTIF($FD$2:$FD$92, ""))</f>
        <v>0.4</v>
      </c>
      <c r="FF47" s="36" t="str">
        <f t="shared" si="90"/>
        <v>B2B</v>
      </c>
      <c r="FG47" s="40">
        <f>COUNTIF($FF$2:$FF$92, FF47)/(COUNTIF($FF$2:$FF$92, "&lt;&gt;""") - COUNTIF($FF$2:$FF$92, ""))</f>
        <v>0.24444444444444444</v>
      </c>
      <c r="FH47" s="36" t="str">
        <f t="shared" si="91"/>
        <v>High</v>
      </c>
      <c r="FI47" s="40">
        <f>COUNTIF($FH$2:$FH$92, FH47)/(COUNTIF($FH$2:$FH$92, "&lt;&gt;""") - COUNTIF($FH$2:$FH$92, ""))</f>
        <v>0.53333333333333333</v>
      </c>
      <c r="FJ47" s="36" t="str">
        <f t="shared" si="92"/>
        <v>Low</v>
      </c>
      <c r="FK47" s="40">
        <f>COUNTIF($FJ$2:$FJ$92, FJ47)/(COUNTIF($FJ$2:$FJ$92, "&lt;&gt;""") - COUNTIF($FJ$2:$FJ$92, ""))</f>
        <v>0.41111111111111109</v>
      </c>
      <c r="FL47" s="207"/>
      <c r="FM47" s="192">
        <f t="shared" si="93"/>
        <v>1</v>
      </c>
      <c r="FN47" s="192" t="e">
        <f t="shared" ca="1" si="94"/>
        <v>#NAME?</v>
      </c>
      <c r="FO47" s="192" t="e">
        <f t="shared" ca="1" si="95"/>
        <v>#NAME?</v>
      </c>
      <c r="FP47" s="192" t="e">
        <f t="shared" ca="1" si="96"/>
        <v>#NAME?</v>
      </c>
      <c r="FQ47" s="209" t="e">
        <f t="shared" ca="1" si="97"/>
        <v>#NAME?</v>
      </c>
      <c r="FR47" s="208" t="e">
        <f t="shared" ca="1" si="98"/>
        <v>#NAME?</v>
      </c>
      <c r="FS47" s="36" t="str">
        <f t="shared" si="99"/>
        <v>Pre-Product</v>
      </c>
      <c r="FT47" s="196">
        <f>COUNTIF($FS$2:$FS$92, FS47)/(COUNTIF($FS$2:$FS$92, "&lt;&gt;""") - COUNTIF($FZ$2:$FZ$92, ""))</f>
        <v>0.22222222222222221</v>
      </c>
      <c r="FU47" s="207"/>
      <c r="FV47" s="192" t="e">
        <f t="shared" ca="1" si="100"/>
        <v>#NAME?</v>
      </c>
      <c r="FW47" s="197" t="e">
        <f t="shared" ca="1" si="101"/>
        <v>#NAME?</v>
      </c>
      <c r="FX47" s="209" t="e">
        <f t="shared" ca="1" si="102"/>
        <v>#NAME?</v>
      </c>
      <c r="FY47" s="211" t="e">
        <f t="shared" ca="1" si="103"/>
        <v>#NAME?</v>
      </c>
      <c r="FZ47" s="36" t="str">
        <f t="shared" si="104"/>
        <v>No</v>
      </c>
      <c r="GA47" s="196">
        <f>COUNTIF($FZ$2:$FZ$92, FZ47)/(COUNTIF($FZ$2:$FZ$92, "&lt;&gt;""") - COUNTIF($FZ$2:$FZ$92, ""))</f>
        <v>0.76666666666666672</v>
      </c>
      <c r="GB47" s="196" t="str">
        <f t="shared" si="105"/>
        <v>Low</v>
      </c>
      <c r="GC47" s="196">
        <f>COUNTIF($GB$2:$GB$92, GB47)/(COUNTIF($GB$2:$GB$92, "&lt;&gt;""") - COUNTIF($GB$2:$GB$92, ""))</f>
        <v>0.55555555555555558</v>
      </c>
      <c r="GD47" s="196" t="str">
        <f t="shared" si="106"/>
        <v>High</v>
      </c>
      <c r="GE47" s="196">
        <f>COUNTIF($GD$2:$GD$92, GD47)/(COUNTIF($GD$2:$GD$92, "&lt;&gt;""") - COUNTIF($GD$2:$GD$92, ""))</f>
        <v>0.8</v>
      </c>
      <c r="GF47" s="207"/>
      <c r="GG47" s="36"/>
      <c r="GH47" s="209" t="e">
        <f t="shared" ca="1" si="107"/>
        <v>#NAME?</v>
      </c>
      <c r="GI47" s="212" t="e">
        <f t="shared" ca="1" si="108"/>
        <v>#NAME?</v>
      </c>
    </row>
    <row r="48" spans="1:191" ht="15.75" customHeight="1">
      <c r="A48" s="29"/>
      <c r="B48" s="29" t="s">
        <v>409</v>
      </c>
      <c r="C48" s="30">
        <v>1738026</v>
      </c>
      <c r="D48" s="29" t="s">
        <v>883</v>
      </c>
      <c r="E48" s="230"/>
      <c r="F48" s="29" t="s">
        <v>329</v>
      </c>
      <c r="G48" s="32" t="s">
        <v>884</v>
      </c>
      <c r="H48" s="32" t="s">
        <v>885</v>
      </c>
      <c r="I48" s="33">
        <v>43930</v>
      </c>
      <c r="J48" s="29" t="s">
        <v>886</v>
      </c>
      <c r="K48" s="29" t="s">
        <v>883</v>
      </c>
      <c r="M48" s="29" t="s">
        <v>243</v>
      </c>
      <c r="N48" s="29" t="s">
        <v>168</v>
      </c>
      <c r="O48" s="29" t="s">
        <v>173</v>
      </c>
      <c r="P48" s="29" t="s">
        <v>174</v>
      </c>
      <c r="Q48" s="29" t="s">
        <v>35</v>
      </c>
      <c r="R48" s="176"/>
      <c r="S48" s="29" t="s">
        <v>269</v>
      </c>
      <c r="T48" s="177"/>
      <c r="U48" s="178"/>
      <c r="V48" s="180"/>
      <c r="W48" s="179">
        <v>9000000</v>
      </c>
      <c r="X48" s="232">
        <v>0</v>
      </c>
      <c r="Y48" s="179">
        <v>9000000</v>
      </c>
      <c r="Z48" s="274">
        <v>9000000</v>
      </c>
      <c r="AA48" s="78" t="s">
        <v>250</v>
      </c>
      <c r="AB48" s="29" t="s">
        <v>36</v>
      </c>
      <c r="AC48" s="29" t="s">
        <v>218</v>
      </c>
      <c r="AD48" s="29" t="s">
        <v>38</v>
      </c>
      <c r="AE48" s="29" t="s">
        <v>190</v>
      </c>
      <c r="AF48" s="29" t="s">
        <v>39</v>
      </c>
      <c r="AG48" s="29" t="s">
        <v>39</v>
      </c>
      <c r="AH48" s="29" t="s">
        <v>190</v>
      </c>
      <c r="AI48" s="184"/>
      <c r="AJ48" s="277">
        <v>2400000000</v>
      </c>
      <c r="AK48" s="30" t="s">
        <v>282</v>
      </c>
      <c r="AL48" s="277">
        <v>26000000</v>
      </c>
      <c r="AM48" s="30" t="s">
        <v>207</v>
      </c>
      <c r="AN48" s="277">
        <v>0.15</v>
      </c>
      <c r="AO48" s="185" t="e">
        <f t="shared" ca="1" si="63"/>
        <v>#NAME?</v>
      </c>
      <c r="AP48" s="185" t="s">
        <v>169</v>
      </c>
      <c r="AQ48" s="29" t="s">
        <v>39</v>
      </c>
      <c r="AR48" s="29" t="s">
        <v>181</v>
      </c>
      <c r="AS48" s="29" t="s">
        <v>182</v>
      </c>
      <c r="AT48" s="29" t="s">
        <v>39</v>
      </c>
      <c r="AU48" s="29" t="s">
        <v>181</v>
      </c>
      <c r="AV48" s="29" t="s">
        <v>227</v>
      </c>
      <c r="AW48" s="29" t="s">
        <v>227</v>
      </c>
      <c r="AX48" s="29" t="s">
        <v>227</v>
      </c>
      <c r="AY48" s="29" t="s">
        <v>227</v>
      </c>
      <c r="AZ48" s="179">
        <v>238234</v>
      </c>
      <c r="BA48" s="179" t="s">
        <v>225</v>
      </c>
      <c r="BB48" s="277">
        <v>37509</v>
      </c>
      <c r="BC48" s="277">
        <v>1125000</v>
      </c>
      <c r="BD48" s="30" t="s">
        <v>188</v>
      </c>
      <c r="BE48" s="277">
        <v>3.3300000000000003E-2</v>
      </c>
      <c r="BF48" s="30" t="s">
        <v>163</v>
      </c>
      <c r="BG48" s="29" t="s">
        <v>202</v>
      </c>
      <c r="BH48" s="176"/>
      <c r="BI48" s="29" t="s">
        <v>227</v>
      </c>
      <c r="BJ48" s="30">
        <v>76</v>
      </c>
      <c r="BK48" s="277">
        <v>2</v>
      </c>
      <c r="BL48" s="29" t="s">
        <v>190</v>
      </c>
      <c r="BM48" s="29" t="s">
        <v>190</v>
      </c>
      <c r="BN48" s="29" t="s">
        <v>190</v>
      </c>
      <c r="BO48" s="29" t="s">
        <v>190</v>
      </c>
      <c r="BP48" s="30">
        <v>2</v>
      </c>
      <c r="BQ48" s="30">
        <v>8</v>
      </c>
      <c r="BR48" s="30">
        <v>0</v>
      </c>
      <c r="BS48" s="30">
        <v>1</v>
      </c>
      <c r="BT48" s="203"/>
      <c r="BU48" s="30">
        <v>0</v>
      </c>
      <c r="BV48" s="30">
        <v>0</v>
      </c>
      <c r="BW48" s="44">
        <v>55</v>
      </c>
      <c r="BX48" s="29" t="s">
        <v>227</v>
      </c>
      <c r="BY48" s="203"/>
      <c r="BZ48" s="29">
        <v>0</v>
      </c>
      <c r="CA48" s="29">
        <v>0</v>
      </c>
      <c r="CB48" s="57"/>
      <c r="CC48" s="57"/>
      <c r="CD48" s="203"/>
      <c r="CE48" s="57"/>
      <c r="CF48" s="57"/>
      <c r="CG48" s="57"/>
      <c r="CH48" s="57"/>
      <c r="CI48" s="203"/>
      <c r="CJ48" s="57"/>
      <c r="CK48" s="57"/>
      <c r="CL48" s="57"/>
      <c r="CM48" s="57"/>
      <c r="CN48" s="203"/>
      <c r="CO48" s="186"/>
      <c r="CP48" s="186"/>
      <c r="CQ48" s="186"/>
      <c r="CR48" s="57"/>
      <c r="CS48" s="203"/>
      <c r="CT48" s="186"/>
      <c r="CU48" s="186"/>
      <c r="CV48" s="186"/>
      <c r="CW48" s="57"/>
      <c r="CX48" s="203"/>
      <c r="CY48" s="186"/>
      <c r="CZ48" s="186"/>
      <c r="DA48" s="186"/>
      <c r="DB48" s="57"/>
      <c r="DC48" s="203"/>
      <c r="DD48" s="186"/>
      <c r="DE48" s="186"/>
      <c r="DF48" s="186"/>
      <c r="DG48" s="57"/>
      <c r="DH48" s="203"/>
      <c r="DI48" s="186"/>
      <c r="DJ48" s="186"/>
      <c r="DK48" s="186"/>
      <c r="DL48" s="57"/>
      <c r="DM48" s="204"/>
      <c r="DN48" s="205"/>
      <c r="DO48" s="205"/>
      <c r="DQ48" s="206"/>
      <c r="DR48" s="188">
        <f t="shared" si="64"/>
        <v>0</v>
      </c>
      <c r="DS48" s="188"/>
      <c r="DT48" s="189">
        <f t="shared" si="65"/>
        <v>0</v>
      </c>
      <c r="DU48" s="189"/>
      <c r="DV48" s="188">
        <f t="shared" si="66"/>
        <v>55</v>
      </c>
      <c r="DW48" s="183" t="e">
        <f t="shared" ca="1" si="67"/>
        <v>#NAME?</v>
      </c>
      <c r="DX48" s="207"/>
      <c r="DY48" s="190" t="e">
        <f t="shared" ca="1" si="68"/>
        <v>#NAME?</v>
      </c>
      <c r="DZ48" s="191">
        <f t="shared" si="69"/>
        <v>1</v>
      </c>
      <c r="EA48" s="191" t="str">
        <f t="shared" si="70"/>
        <v/>
      </c>
      <c r="EB48" s="191" t="str">
        <f t="shared" si="71"/>
        <v/>
      </c>
      <c r="EC48" s="208" t="e">
        <f t="shared" ca="1" si="72"/>
        <v>#NAME?</v>
      </c>
      <c r="ED48" s="36" t="str">
        <f t="shared" si="73"/>
        <v>SAFE</v>
      </c>
      <c r="EE48" s="193">
        <f>COUNTIF($ED$2:$ED$92, ED48)/(COUNTIF($ED$2:$ED$92, "&lt;&gt;""") - COUNTIF($ED$2:$ED$92, ""))</f>
        <v>0.37777777777777777</v>
      </c>
      <c r="EF48" s="36" t="str">
        <f t="shared" si="74"/>
        <v>Growth</v>
      </c>
      <c r="EG48" s="207"/>
      <c r="EH48" s="194" t="e">
        <f t="shared" ca="1" si="75"/>
        <v>#NAME?</v>
      </c>
      <c r="EI48" s="194" t="e">
        <f t="shared" ca="1" si="76"/>
        <v>#NAME?</v>
      </c>
      <c r="EJ48" s="209" t="e">
        <f t="shared" ca="1" si="77"/>
        <v>#NAME?</v>
      </c>
      <c r="EK48" s="208" t="e">
        <f t="shared" ca="1" si="78"/>
        <v>#NAME?</v>
      </c>
      <c r="EL48" s="36" t="str">
        <f t="shared" si="79"/>
        <v>Yes</v>
      </c>
      <c r="EM48" s="207"/>
      <c r="EN48" s="192">
        <f t="shared" si="80"/>
        <v>1</v>
      </c>
      <c r="EO48" s="192">
        <f t="shared" si="81"/>
        <v>1</v>
      </c>
      <c r="EP48" s="209">
        <f t="shared" si="82"/>
        <v>2</v>
      </c>
      <c r="EQ48" s="210">
        <f t="shared" si="83"/>
        <v>1</v>
      </c>
      <c r="ER48" s="36" t="e">
        <f t="shared" ca="1" si="84"/>
        <v>#NAME?</v>
      </c>
      <c r="ES48" s="40">
        <f ca="1">COUNTIF($ER$2:$ER$92, ER48)/(COUNTIF($ER$2:$ER$92, "&lt;&gt;""") - COUNTIF($ER$2:$ER$92, ""))</f>
        <v>1</v>
      </c>
      <c r="ET48" s="36">
        <f t="shared" si="85"/>
        <v>2</v>
      </c>
      <c r="EU48" s="40">
        <f>COUNTIF($ET$2:$ET$92, ET48)/(COUNTIF($ET$2:$ET$92, "&lt;&gt;""") - COUNTIF($ET$2:$ET$92, ""))</f>
        <v>0.45555555555555555</v>
      </c>
      <c r="EV48" s="36">
        <f t="shared" si="86"/>
        <v>8</v>
      </c>
      <c r="EW48" s="40">
        <f>COUNTIF($EV$2:$EV$92, EV48)/(COUNTIF($EV$2:$EV$92, "&lt;&gt;""") - COUNTIF($EV$2:$EV$92, ""))</f>
        <v>5.5555555555555552E-2</v>
      </c>
      <c r="EX48" s="36" t="str">
        <f t="shared" si="87"/>
        <v>No</v>
      </c>
      <c r="EY48" s="40">
        <f>COUNTIF($EX$2:$EX$92, EX48)/(COUNTIF($EX$2:$EX$92, "&lt;&gt;""") - COUNTIF($EX$2:$EX$92, ""))</f>
        <v>0.72222222222222221</v>
      </c>
      <c r="EZ48" s="36" t="str">
        <f t="shared" ref="EZ48:FB48" si="152">BM48</f>
        <v>No</v>
      </c>
      <c r="FA48" s="36" t="str">
        <f t="shared" si="152"/>
        <v>No</v>
      </c>
      <c r="FB48" s="36" t="str">
        <f t="shared" si="152"/>
        <v>No</v>
      </c>
      <c r="FC48" s="207"/>
      <c r="FD48" s="36" t="str">
        <f t="shared" si="89"/>
        <v>Transactional</v>
      </c>
      <c r="FE48" s="40">
        <f>COUNTIF($FD$2:$FD$92, FD48)/(COUNTIF($FD$2:$FD$92, "&lt;&gt;""") - COUNTIF($FD$2:$FD$92, ""))</f>
        <v>0.6</v>
      </c>
      <c r="FF48" s="36" t="str">
        <f t="shared" si="90"/>
        <v>B2B/B2C</v>
      </c>
      <c r="FG48" s="40">
        <f>COUNTIF($FF$2:$FF$92, FF48)/(COUNTIF($FF$2:$FF$92, "&lt;&gt;""") - COUNTIF($FF$2:$FF$92, ""))</f>
        <v>0.27777777777777779</v>
      </c>
      <c r="FH48" s="36" t="str">
        <f t="shared" si="91"/>
        <v>High</v>
      </c>
      <c r="FI48" s="40">
        <f>COUNTIF($FH$2:$FH$92, FH48)/(COUNTIF($FH$2:$FH$92, "&lt;&gt;""") - COUNTIF($FH$2:$FH$92, ""))</f>
        <v>0.53333333333333333</v>
      </c>
      <c r="FJ48" s="36" t="str">
        <f t="shared" si="92"/>
        <v>High</v>
      </c>
      <c r="FK48" s="40">
        <f>COUNTIF($FJ$2:$FJ$92, FJ48)/(COUNTIF($FJ$2:$FJ$92, "&lt;&gt;""") - COUNTIF($FJ$2:$FJ$92, ""))</f>
        <v>0.58888888888888891</v>
      </c>
      <c r="FL48" s="207"/>
      <c r="FM48" s="192">
        <f t="shared" si="93"/>
        <v>5</v>
      </c>
      <c r="FN48" s="192" t="e">
        <f t="shared" ca="1" si="94"/>
        <v>#NAME?</v>
      </c>
      <c r="FO48" s="192" t="e">
        <f t="shared" ca="1" si="95"/>
        <v>#NAME?</v>
      </c>
      <c r="FP48" s="192" t="e">
        <f t="shared" ca="1" si="96"/>
        <v>#NAME?</v>
      </c>
      <c r="FQ48" s="209" t="e">
        <f t="shared" ca="1" si="97"/>
        <v>#NAME?</v>
      </c>
      <c r="FR48" s="208" t="e">
        <f t="shared" ca="1" si="98"/>
        <v>#NAME?</v>
      </c>
      <c r="FS48" s="36" t="str">
        <f t="shared" si="99"/>
        <v>Pre-Profit</v>
      </c>
      <c r="FT48" s="196">
        <f>COUNTIF($FS$2:$FS$92, FS48)/(COUNTIF($FS$2:$FS$92, "&lt;&gt;""") - COUNTIF($FZ$2:$FZ$92, ""))</f>
        <v>0.51111111111111107</v>
      </c>
      <c r="FU48" s="207"/>
      <c r="FV48" s="192">
        <f t="shared" si="100"/>
        <v>3</v>
      </c>
      <c r="FW48" s="197" t="e">
        <f t="shared" ca="1" si="101"/>
        <v>#NAME?</v>
      </c>
      <c r="FX48" s="209" t="e">
        <f t="shared" ca="1" si="102"/>
        <v>#NAME?</v>
      </c>
      <c r="FY48" s="211" t="e">
        <f t="shared" ca="1" si="103"/>
        <v>#NAME?</v>
      </c>
      <c r="FZ48" s="36" t="str">
        <f t="shared" si="104"/>
        <v>Yes</v>
      </c>
      <c r="GA48" s="196">
        <f>COUNTIF($FZ$2:$FZ$92, FZ48)/(COUNTIF($FZ$2:$FZ$92, "&lt;&gt;""") - COUNTIF($FZ$2:$FZ$92, ""))</f>
        <v>0.23333333333333334</v>
      </c>
      <c r="GB48" s="196" t="str">
        <f t="shared" si="105"/>
        <v>High</v>
      </c>
      <c r="GC48" s="196">
        <f>COUNTIF($GB$2:$GB$92, GB48)/(COUNTIF($GB$2:$GB$92, "&lt;&gt;""") - COUNTIF($GB$2:$GB$92, ""))</f>
        <v>0.43333333333333335</v>
      </c>
      <c r="GD48" s="196" t="str">
        <f t="shared" si="106"/>
        <v>Low</v>
      </c>
      <c r="GE48" s="196">
        <f>COUNTIF($GD$2:$GD$92, GD48)/(COUNTIF($GD$2:$GD$92, "&lt;&gt;""") - COUNTIF($GD$2:$GD$92, ""))</f>
        <v>0.18888888888888888</v>
      </c>
      <c r="GF48" s="207"/>
      <c r="GG48" s="36"/>
      <c r="GH48" s="209" t="e">
        <f t="shared" ca="1" si="107"/>
        <v>#NAME?</v>
      </c>
      <c r="GI48" s="212" t="e">
        <f t="shared" ca="1" si="108"/>
        <v>#NAME?</v>
      </c>
    </row>
    <row r="49" spans="1:191" ht="15.75" customHeight="1">
      <c r="A49" s="29"/>
      <c r="B49" s="29" t="s">
        <v>355</v>
      </c>
      <c r="C49" s="30">
        <v>1786855</v>
      </c>
      <c r="D49" s="29" t="s">
        <v>887</v>
      </c>
      <c r="E49" s="230"/>
      <c r="F49" s="29" t="s">
        <v>316</v>
      </c>
      <c r="G49" s="32" t="s">
        <v>888</v>
      </c>
      <c r="H49" s="32" t="s">
        <v>889</v>
      </c>
      <c r="I49" s="33">
        <v>43917</v>
      </c>
      <c r="J49" s="29" t="s">
        <v>890</v>
      </c>
      <c r="K49" s="29" t="s">
        <v>887</v>
      </c>
      <c r="M49" s="29" t="s">
        <v>253</v>
      </c>
      <c r="N49" s="29" t="s">
        <v>244</v>
      </c>
      <c r="O49" s="29" t="s">
        <v>30</v>
      </c>
      <c r="P49" s="29" t="s">
        <v>174</v>
      </c>
      <c r="Q49" s="29" t="s">
        <v>35</v>
      </c>
      <c r="R49" s="176"/>
      <c r="S49" s="29" t="s">
        <v>216</v>
      </c>
      <c r="T49" s="177"/>
      <c r="U49" s="178"/>
      <c r="V49" s="200">
        <v>2529820</v>
      </c>
      <c r="W49" s="55"/>
      <c r="X49" s="224"/>
      <c r="Y49" s="55"/>
      <c r="Z49" s="274">
        <v>2529820</v>
      </c>
      <c r="AA49" s="78" t="s">
        <v>208</v>
      </c>
      <c r="AB49" s="29" t="s">
        <v>178</v>
      </c>
      <c r="AC49" s="29" t="s">
        <v>37</v>
      </c>
      <c r="AD49" s="29" t="s">
        <v>180</v>
      </c>
      <c r="AE49" s="29" t="s">
        <v>227</v>
      </c>
      <c r="AF49" s="29" t="s">
        <v>39</v>
      </c>
      <c r="AG49" s="29" t="s">
        <v>181</v>
      </c>
      <c r="AH49" s="29" t="s">
        <v>190</v>
      </c>
      <c r="AI49" s="184"/>
      <c r="AJ49" s="277">
        <v>1000000000</v>
      </c>
      <c r="AK49" s="30" t="s">
        <v>282</v>
      </c>
      <c r="AL49" s="277">
        <v>300000000</v>
      </c>
      <c r="AM49" s="30" t="s">
        <v>297</v>
      </c>
      <c r="AN49" s="277">
        <v>0.15</v>
      </c>
      <c r="AO49" s="185" t="e">
        <f t="shared" ca="1" si="63"/>
        <v>#NAME?</v>
      </c>
      <c r="AP49" s="185" t="s">
        <v>211</v>
      </c>
      <c r="AQ49" s="29" t="s">
        <v>39</v>
      </c>
      <c r="AR49" s="29" t="s">
        <v>181</v>
      </c>
      <c r="AS49" s="29" t="s">
        <v>182</v>
      </c>
      <c r="AT49" s="29" t="s">
        <v>39</v>
      </c>
      <c r="AU49" s="29" t="s">
        <v>39</v>
      </c>
      <c r="AV49" s="29" t="s">
        <v>190</v>
      </c>
      <c r="AW49" s="29" t="s">
        <v>190</v>
      </c>
      <c r="AX49" s="29" t="s">
        <v>227</v>
      </c>
      <c r="AY49" s="29" t="s">
        <v>227</v>
      </c>
      <c r="AZ49" s="179">
        <v>15000</v>
      </c>
      <c r="BA49" s="179" t="s">
        <v>189</v>
      </c>
      <c r="BB49" s="277">
        <v>0</v>
      </c>
      <c r="BC49" s="277">
        <v>0</v>
      </c>
      <c r="BD49" s="30" t="s">
        <v>162</v>
      </c>
      <c r="BE49" s="277">
        <v>1</v>
      </c>
      <c r="BF49" s="30" t="s">
        <v>240</v>
      </c>
      <c r="BG49" s="29" t="s">
        <v>219</v>
      </c>
      <c r="BH49" s="176"/>
      <c r="BI49" s="29" t="s">
        <v>227</v>
      </c>
      <c r="BJ49" s="30">
        <v>15</v>
      </c>
      <c r="BK49" s="277">
        <v>2</v>
      </c>
      <c r="BL49" s="29" t="s">
        <v>190</v>
      </c>
      <c r="BM49" s="29" t="s">
        <v>190</v>
      </c>
      <c r="BN49" s="29" t="s">
        <v>227</v>
      </c>
      <c r="BO49" s="29" t="s">
        <v>190</v>
      </c>
      <c r="BP49" s="30">
        <v>2</v>
      </c>
      <c r="BQ49" s="30">
        <v>7</v>
      </c>
      <c r="BR49" s="30">
        <v>2</v>
      </c>
      <c r="BS49" s="30">
        <v>0</v>
      </c>
      <c r="BT49" s="203"/>
      <c r="BU49" s="30">
        <v>2</v>
      </c>
      <c r="BV49" s="30">
        <v>0</v>
      </c>
      <c r="BW49" s="44">
        <v>45</v>
      </c>
      <c r="BX49" s="29" t="s">
        <v>190</v>
      </c>
      <c r="BY49" s="203"/>
      <c r="BZ49" s="29">
        <v>5</v>
      </c>
      <c r="CA49" s="29">
        <v>0</v>
      </c>
      <c r="CB49" s="29">
        <v>45</v>
      </c>
      <c r="CC49" s="29" t="s">
        <v>190</v>
      </c>
      <c r="CD49" s="203"/>
      <c r="CE49" s="57"/>
      <c r="CF49" s="57"/>
      <c r="CG49" s="57"/>
      <c r="CH49" s="57"/>
      <c r="CI49" s="203"/>
      <c r="CJ49" s="57"/>
      <c r="CK49" s="57"/>
      <c r="CL49" s="57"/>
      <c r="CM49" s="57"/>
      <c r="CN49" s="203"/>
      <c r="CO49" s="186"/>
      <c r="CP49" s="186"/>
      <c r="CQ49" s="186"/>
      <c r="CR49" s="57"/>
      <c r="CS49" s="203"/>
      <c r="CT49" s="186"/>
      <c r="CU49" s="186"/>
      <c r="CV49" s="186"/>
      <c r="CW49" s="57"/>
      <c r="CX49" s="203"/>
      <c r="CY49" s="186"/>
      <c r="CZ49" s="186"/>
      <c r="DA49" s="186"/>
      <c r="DB49" s="57"/>
      <c r="DC49" s="203"/>
      <c r="DD49" s="186"/>
      <c r="DE49" s="186"/>
      <c r="DF49" s="186"/>
      <c r="DG49" s="57"/>
      <c r="DH49" s="203"/>
      <c r="DI49" s="186"/>
      <c r="DJ49" s="186"/>
      <c r="DK49" s="186"/>
      <c r="DL49" s="57"/>
      <c r="DM49" s="204"/>
      <c r="DN49" s="205"/>
      <c r="DO49" s="205"/>
      <c r="DQ49" s="206"/>
      <c r="DR49" s="188">
        <f t="shared" si="64"/>
        <v>3.5</v>
      </c>
      <c r="DS49" s="188"/>
      <c r="DT49" s="189">
        <f t="shared" si="65"/>
        <v>0</v>
      </c>
      <c r="DU49" s="189"/>
      <c r="DV49" s="188">
        <f t="shared" si="66"/>
        <v>45</v>
      </c>
      <c r="DW49" s="183" t="e">
        <f t="shared" ca="1" si="67"/>
        <v>#NAME?</v>
      </c>
      <c r="DX49" s="207"/>
      <c r="DY49" s="190" t="e">
        <f t="shared" ca="1" si="68"/>
        <v>#NAME?</v>
      </c>
      <c r="DZ49" s="191" t="str">
        <f t="shared" si="69"/>
        <v/>
      </c>
      <c r="EA49" s="191" t="str">
        <f t="shared" si="70"/>
        <v/>
      </c>
      <c r="EB49" s="191" t="str">
        <f t="shared" si="71"/>
        <v/>
      </c>
      <c r="EC49" s="208" t="e">
        <f t="shared" ca="1" si="72"/>
        <v>#NAME?</v>
      </c>
      <c r="ED49" s="36" t="str">
        <f t="shared" si="73"/>
        <v>Equity - Common</v>
      </c>
      <c r="EE49" s="193">
        <f>COUNTIF($ED$2:$ED$92, ED49)/(COUNTIF($ED$2:$ED$92, "&lt;&gt;""") - COUNTIF($ED$2:$ED$92, ""))</f>
        <v>0.32222222222222224</v>
      </c>
      <c r="EF49" s="36" t="str">
        <f t="shared" si="74"/>
        <v>Early</v>
      </c>
      <c r="EG49" s="207"/>
      <c r="EH49" s="194" t="e">
        <f t="shared" ca="1" si="75"/>
        <v>#NAME?</v>
      </c>
      <c r="EI49" s="194" t="e">
        <f t="shared" ca="1" si="76"/>
        <v>#NAME?</v>
      </c>
      <c r="EJ49" s="209" t="e">
        <f t="shared" ca="1" si="77"/>
        <v>#NAME?</v>
      </c>
      <c r="EK49" s="208" t="e">
        <f t="shared" ca="1" si="78"/>
        <v>#NAME?</v>
      </c>
      <c r="EL49" s="36" t="str">
        <f t="shared" si="79"/>
        <v>No</v>
      </c>
      <c r="EM49" s="207"/>
      <c r="EN49" s="192">
        <f t="shared" si="80"/>
        <v>1.3333333333333333</v>
      </c>
      <c r="EO49" s="192">
        <f t="shared" si="81"/>
        <v>1</v>
      </c>
      <c r="EP49" s="209">
        <f t="shared" si="82"/>
        <v>2.333333333333333</v>
      </c>
      <c r="EQ49" s="210">
        <f t="shared" si="83"/>
        <v>1.261682242990654</v>
      </c>
      <c r="ER49" s="36" t="e">
        <f t="shared" ca="1" si="84"/>
        <v>#NAME?</v>
      </c>
      <c r="ES49" s="40">
        <f ca="1">COUNTIF($ER$2:$ER$92, ER49)/(COUNTIF($ER$2:$ER$92, "&lt;&gt;""") - COUNTIF($ER$2:$ER$92, ""))</f>
        <v>1</v>
      </c>
      <c r="ET49" s="36">
        <f t="shared" si="85"/>
        <v>2</v>
      </c>
      <c r="EU49" s="40">
        <f>COUNTIF($ET$2:$ET$92, ET49)/(COUNTIF($ET$2:$ET$92, "&lt;&gt;""") - COUNTIF($ET$2:$ET$92, ""))</f>
        <v>0.45555555555555555</v>
      </c>
      <c r="EV49" s="36">
        <f t="shared" si="86"/>
        <v>7</v>
      </c>
      <c r="EW49" s="40">
        <f>COUNTIF($EV$2:$EV$92, EV49)/(COUNTIF($EV$2:$EV$92, "&lt;&gt;""") - COUNTIF($EV$2:$EV$92, ""))</f>
        <v>4.4444444444444446E-2</v>
      </c>
      <c r="EX49" s="36" t="str">
        <f t="shared" si="87"/>
        <v>No</v>
      </c>
      <c r="EY49" s="40">
        <f>COUNTIF($EX$2:$EX$92, EX49)/(COUNTIF($EX$2:$EX$92, "&lt;&gt;""") - COUNTIF($EX$2:$EX$92, ""))</f>
        <v>0.72222222222222221</v>
      </c>
      <c r="EZ49" s="36" t="str">
        <f t="shared" ref="EZ49:FB49" si="153">BM49</f>
        <v>No</v>
      </c>
      <c r="FA49" s="36" t="str">
        <f t="shared" si="153"/>
        <v>Yes</v>
      </c>
      <c r="FB49" s="36" t="str">
        <f t="shared" si="153"/>
        <v>No</v>
      </c>
      <c r="FC49" s="207"/>
      <c r="FD49" s="36" t="str">
        <f t="shared" si="89"/>
        <v>Recurring</v>
      </c>
      <c r="FE49" s="40">
        <f>COUNTIF($FD$2:$FD$92, FD49)/(COUNTIF($FD$2:$FD$92, "&lt;&gt;""") - COUNTIF($FD$2:$FD$92, ""))</f>
        <v>0.4</v>
      </c>
      <c r="FF49" s="36" t="str">
        <f t="shared" si="90"/>
        <v>B2B</v>
      </c>
      <c r="FG49" s="40">
        <f>COUNTIF($FF$2:$FF$92, FF49)/(COUNTIF($FF$2:$FF$92, "&lt;&gt;""") - COUNTIF($FF$2:$FF$92, ""))</f>
        <v>0.24444444444444444</v>
      </c>
      <c r="FH49" s="36" t="str">
        <f t="shared" si="91"/>
        <v>High</v>
      </c>
      <c r="FI49" s="40">
        <f>COUNTIF($FH$2:$FH$92, FH49)/(COUNTIF($FH$2:$FH$92, "&lt;&gt;""") - COUNTIF($FH$2:$FH$92, ""))</f>
        <v>0.53333333333333333</v>
      </c>
      <c r="FJ49" s="36" t="str">
        <f t="shared" si="92"/>
        <v>Low</v>
      </c>
      <c r="FK49" s="40">
        <f>COUNTIF($FJ$2:$FJ$92, FJ49)/(COUNTIF($FJ$2:$FJ$92, "&lt;&gt;""") - COUNTIF($FJ$2:$FJ$92, ""))</f>
        <v>0.41111111111111109</v>
      </c>
      <c r="FL49" s="207"/>
      <c r="FM49" s="192">
        <f t="shared" si="93"/>
        <v>5</v>
      </c>
      <c r="FN49" s="192" t="e">
        <f t="shared" ca="1" si="94"/>
        <v>#NAME?</v>
      </c>
      <c r="FO49" s="192" t="e">
        <f t="shared" ca="1" si="95"/>
        <v>#NAME?</v>
      </c>
      <c r="FP49" s="192" t="e">
        <f t="shared" ca="1" si="96"/>
        <v>#NAME?</v>
      </c>
      <c r="FQ49" s="209" t="e">
        <f t="shared" ca="1" si="97"/>
        <v>#NAME?</v>
      </c>
      <c r="FR49" s="208" t="e">
        <f t="shared" ca="1" si="98"/>
        <v>#NAME?</v>
      </c>
      <c r="FS49" s="36" t="str">
        <f t="shared" si="99"/>
        <v>Profitable</v>
      </c>
      <c r="FT49" s="196">
        <f>COUNTIF($FS$2:$FS$92, FS49)/(COUNTIF($FS$2:$FS$92, "&lt;&gt;""") - COUNTIF($FZ$2:$FZ$92, ""))</f>
        <v>6.6666666666666666E-2</v>
      </c>
      <c r="FU49" s="207"/>
      <c r="FV49" s="192">
        <f t="shared" si="100"/>
        <v>3</v>
      </c>
      <c r="FW49" s="197" t="e">
        <f t="shared" ca="1" si="101"/>
        <v>#NAME?</v>
      </c>
      <c r="FX49" s="209" t="e">
        <f t="shared" ca="1" si="102"/>
        <v>#NAME?</v>
      </c>
      <c r="FY49" s="211" t="e">
        <f t="shared" ca="1" si="103"/>
        <v>#NAME?</v>
      </c>
      <c r="FZ49" s="36" t="str">
        <f t="shared" si="104"/>
        <v>No</v>
      </c>
      <c r="GA49" s="196">
        <f>COUNTIF($FZ$2:$FZ$92, FZ49)/(COUNTIF($FZ$2:$FZ$92, "&lt;&gt;""") - COUNTIF($FZ$2:$FZ$92, ""))</f>
        <v>0.76666666666666672</v>
      </c>
      <c r="GB49" s="196" t="str">
        <f t="shared" si="105"/>
        <v>High</v>
      </c>
      <c r="GC49" s="196">
        <f>COUNTIF($GB$2:$GB$92, GB49)/(COUNTIF($GB$2:$GB$92, "&lt;&gt;""") - COUNTIF($GB$2:$GB$92, ""))</f>
        <v>0.43333333333333335</v>
      </c>
      <c r="GD49" s="196" t="str">
        <f t="shared" si="106"/>
        <v>High</v>
      </c>
      <c r="GE49" s="196">
        <f>COUNTIF($GD$2:$GD$92, GD49)/(COUNTIF($GD$2:$GD$92, "&lt;&gt;""") - COUNTIF($GD$2:$GD$92, ""))</f>
        <v>0.8</v>
      </c>
      <c r="GF49" s="207"/>
      <c r="GG49" s="36"/>
      <c r="GH49" s="209" t="e">
        <f t="shared" ca="1" si="107"/>
        <v>#NAME?</v>
      </c>
      <c r="GI49" s="212" t="e">
        <f t="shared" ca="1" si="108"/>
        <v>#NAME?</v>
      </c>
    </row>
    <row r="50" spans="1:191" ht="15.75" customHeight="1">
      <c r="A50" s="29"/>
      <c r="B50" s="29" t="s">
        <v>355</v>
      </c>
      <c r="C50" s="30">
        <v>1807984</v>
      </c>
      <c r="D50" s="29" t="s">
        <v>891</v>
      </c>
      <c r="E50" s="230"/>
      <c r="F50" s="29" t="s">
        <v>329</v>
      </c>
      <c r="G50" s="32" t="s">
        <v>892</v>
      </c>
      <c r="H50" s="32" t="s">
        <v>893</v>
      </c>
      <c r="I50" s="33">
        <v>43920</v>
      </c>
      <c r="J50" s="29" t="s">
        <v>891</v>
      </c>
      <c r="K50" s="29" t="s">
        <v>894</v>
      </c>
      <c r="M50" s="35" t="s">
        <v>293</v>
      </c>
      <c r="N50" s="29" t="s">
        <v>278</v>
      </c>
      <c r="O50" s="29" t="s">
        <v>30</v>
      </c>
      <c r="P50" s="29" t="s">
        <v>31</v>
      </c>
      <c r="Q50" s="29" t="s">
        <v>35</v>
      </c>
      <c r="R50" s="176"/>
      <c r="S50" s="29" t="s">
        <v>269</v>
      </c>
      <c r="T50" s="177"/>
      <c r="U50" s="178"/>
      <c r="V50" s="180"/>
      <c r="W50" s="179">
        <v>5000000</v>
      </c>
      <c r="X50" s="232">
        <v>0</v>
      </c>
      <c r="Y50" s="179">
        <v>5000000</v>
      </c>
      <c r="Z50" s="274">
        <v>5000000</v>
      </c>
      <c r="AA50" s="78" t="s">
        <v>224</v>
      </c>
      <c r="AB50" s="29" t="s">
        <v>178</v>
      </c>
      <c r="AC50" s="29" t="s">
        <v>179</v>
      </c>
      <c r="AD50" s="29" t="s">
        <v>180</v>
      </c>
      <c r="AE50" s="29" t="s">
        <v>227</v>
      </c>
      <c r="AF50" s="29" t="s">
        <v>181</v>
      </c>
      <c r="AG50" s="29" t="s">
        <v>181</v>
      </c>
      <c r="AH50" s="29" t="s">
        <v>190</v>
      </c>
      <c r="AI50" s="184"/>
      <c r="AJ50" s="277">
        <v>50000000000</v>
      </c>
      <c r="AK50" s="30" t="s">
        <v>236</v>
      </c>
      <c r="AL50" s="277">
        <v>5000000000</v>
      </c>
      <c r="AM50" s="30" t="s">
        <v>271</v>
      </c>
      <c r="AN50" s="277">
        <v>0.2</v>
      </c>
      <c r="AO50" s="185" t="e">
        <f t="shared" ca="1" si="63"/>
        <v>#NAME?</v>
      </c>
      <c r="AP50" s="185" t="s">
        <v>169</v>
      </c>
      <c r="AQ50" s="29" t="s">
        <v>39</v>
      </c>
      <c r="AR50" s="29" t="s">
        <v>39</v>
      </c>
      <c r="AS50" s="29" t="s">
        <v>182</v>
      </c>
      <c r="AT50" s="29" t="s">
        <v>39</v>
      </c>
      <c r="AU50" s="29" t="s">
        <v>181</v>
      </c>
      <c r="AV50" s="29" t="s">
        <v>227</v>
      </c>
      <c r="AW50" s="29" t="s">
        <v>190</v>
      </c>
      <c r="AX50" s="29" t="s">
        <v>190</v>
      </c>
      <c r="AY50" s="29" t="s">
        <v>190</v>
      </c>
      <c r="AZ50" s="179">
        <v>0</v>
      </c>
      <c r="BA50" s="179" t="s">
        <v>162</v>
      </c>
      <c r="BB50" s="277">
        <v>0</v>
      </c>
      <c r="BC50" s="277">
        <v>0</v>
      </c>
      <c r="BD50" s="30" t="s">
        <v>162</v>
      </c>
      <c r="BE50" s="277">
        <v>1</v>
      </c>
      <c r="BF50" s="30" t="s">
        <v>240</v>
      </c>
      <c r="BG50" s="29" t="s">
        <v>43</v>
      </c>
      <c r="BH50" s="176"/>
      <c r="BI50" s="29" t="s">
        <v>190</v>
      </c>
      <c r="BJ50" s="30">
        <v>0</v>
      </c>
      <c r="BK50" s="277">
        <v>2</v>
      </c>
      <c r="BL50" s="29" t="s">
        <v>190</v>
      </c>
      <c r="BM50" s="29" t="s">
        <v>190</v>
      </c>
      <c r="BN50" s="29" t="s">
        <v>227</v>
      </c>
      <c r="BO50" s="29" t="s">
        <v>190</v>
      </c>
      <c r="BP50" s="30">
        <v>2</v>
      </c>
      <c r="BQ50" s="30">
        <v>2</v>
      </c>
      <c r="BR50" s="30">
        <v>3</v>
      </c>
      <c r="BS50" s="30">
        <v>2</v>
      </c>
      <c r="BT50" s="203"/>
      <c r="BU50" s="30">
        <v>3</v>
      </c>
      <c r="BV50" s="30">
        <v>0</v>
      </c>
      <c r="BW50" s="44">
        <v>36</v>
      </c>
      <c r="BX50" s="29" t="s">
        <v>190</v>
      </c>
      <c r="BY50" s="203"/>
      <c r="BZ50" s="29">
        <v>0</v>
      </c>
      <c r="CA50" s="29">
        <v>0</v>
      </c>
      <c r="CB50" s="29">
        <v>20</v>
      </c>
      <c r="CC50" s="29" t="s">
        <v>227</v>
      </c>
      <c r="CD50" s="203"/>
      <c r="CE50" s="57"/>
      <c r="CF50" s="57"/>
      <c r="CG50" s="57"/>
      <c r="CH50" s="57"/>
      <c r="CI50" s="203"/>
      <c r="CJ50" s="57"/>
      <c r="CK50" s="57"/>
      <c r="CL50" s="57"/>
      <c r="CM50" s="57"/>
      <c r="CN50" s="203"/>
      <c r="CO50" s="186"/>
      <c r="CP50" s="186"/>
      <c r="CQ50" s="186"/>
      <c r="CR50" s="57"/>
      <c r="CS50" s="203"/>
      <c r="CT50" s="186"/>
      <c r="CU50" s="186"/>
      <c r="CV50" s="186"/>
      <c r="CW50" s="57"/>
      <c r="CX50" s="203"/>
      <c r="CY50" s="186"/>
      <c r="CZ50" s="186"/>
      <c r="DA50" s="186"/>
      <c r="DB50" s="57"/>
      <c r="DC50" s="203"/>
      <c r="DD50" s="186"/>
      <c r="DE50" s="186"/>
      <c r="DF50" s="186"/>
      <c r="DG50" s="57"/>
      <c r="DH50" s="203"/>
      <c r="DI50" s="186"/>
      <c r="DJ50" s="186"/>
      <c r="DK50" s="186"/>
      <c r="DL50" s="57"/>
      <c r="DM50" s="204"/>
      <c r="DN50" s="205"/>
      <c r="DO50" s="205"/>
      <c r="DQ50" s="206"/>
      <c r="DR50" s="188">
        <f t="shared" si="64"/>
        <v>1.5</v>
      </c>
      <c r="DS50" s="188"/>
      <c r="DT50" s="189">
        <f t="shared" si="65"/>
        <v>0</v>
      </c>
      <c r="DU50" s="189"/>
      <c r="DV50" s="188">
        <f t="shared" si="66"/>
        <v>28</v>
      </c>
      <c r="DW50" s="183" t="e">
        <f t="shared" ca="1" si="67"/>
        <v>#NAME?</v>
      </c>
      <c r="DX50" s="207"/>
      <c r="DY50" s="190" t="e">
        <f t="shared" ca="1" si="68"/>
        <v>#NAME?</v>
      </c>
      <c r="DZ50" s="191">
        <f t="shared" si="69"/>
        <v>1</v>
      </c>
      <c r="EA50" s="191" t="str">
        <f t="shared" si="70"/>
        <v/>
      </c>
      <c r="EB50" s="191" t="str">
        <f t="shared" si="71"/>
        <v/>
      </c>
      <c r="EC50" s="208" t="e">
        <f t="shared" ca="1" si="72"/>
        <v>#NAME?</v>
      </c>
      <c r="ED50" s="36" t="str">
        <f t="shared" si="73"/>
        <v>SAFE</v>
      </c>
      <c r="EE50" s="193">
        <f>COUNTIF($ED$2:$ED$92, ED50)/(COUNTIF($ED$2:$ED$92, "&lt;&gt;""") - COUNTIF($ED$2:$ED$92, ""))</f>
        <v>0.37777777777777777</v>
      </c>
      <c r="EF50" s="36" t="str">
        <f t="shared" si="74"/>
        <v>Early</v>
      </c>
      <c r="EG50" s="207"/>
      <c r="EH50" s="194" t="e">
        <f t="shared" ca="1" si="75"/>
        <v>#NAME?</v>
      </c>
      <c r="EI50" s="194" t="e">
        <f t="shared" ca="1" si="76"/>
        <v>#NAME?</v>
      </c>
      <c r="EJ50" s="209" t="e">
        <f t="shared" ca="1" si="77"/>
        <v>#NAME?</v>
      </c>
      <c r="EK50" s="208" t="e">
        <f t="shared" ca="1" si="78"/>
        <v>#NAME?</v>
      </c>
      <c r="EL50" s="36" t="str">
        <f t="shared" si="79"/>
        <v>Yes</v>
      </c>
      <c r="EM50" s="207"/>
      <c r="EN50" s="192">
        <f t="shared" si="80"/>
        <v>1.1428571428571428</v>
      </c>
      <c r="EO50" s="192">
        <f t="shared" si="81"/>
        <v>1</v>
      </c>
      <c r="EP50" s="209">
        <f t="shared" si="82"/>
        <v>2.1428571428571428</v>
      </c>
      <c r="EQ50" s="210">
        <f t="shared" si="83"/>
        <v>1.1121495327102804</v>
      </c>
      <c r="ER50" s="36" t="e">
        <f t="shared" ca="1" si="84"/>
        <v>#NAME?</v>
      </c>
      <c r="ES50" s="40">
        <f ca="1">COUNTIF($ER$2:$ER$92, ER50)/(COUNTIF($ER$2:$ER$92, "&lt;&gt;""") - COUNTIF($ER$2:$ER$92, ""))</f>
        <v>1</v>
      </c>
      <c r="ET50" s="36">
        <f t="shared" si="85"/>
        <v>2</v>
      </c>
      <c r="EU50" s="40">
        <f>COUNTIF($ET$2:$ET$92, ET50)/(COUNTIF($ET$2:$ET$92, "&lt;&gt;""") - COUNTIF($ET$2:$ET$92, ""))</f>
        <v>0.45555555555555555</v>
      </c>
      <c r="EV50" s="36">
        <f t="shared" si="86"/>
        <v>2</v>
      </c>
      <c r="EW50" s="40">
        <f>COUNTIF($EV$2:$EV$92, EV50)/(COUNTIF($EV$2:$EV$92, "&lt;&gt;""") - COUNTIF($EV$2:$EV$92, ""))</f>
        <v>0.15555555555555556</v>
      </c>
      <c r="EX50" s="36" t="str">
        <f t="shared" si="87"/>
        <v>No</v>
      </c>
      <c r="EY50" s="40">
        <f>COUNTIF($EX$2:$EX$92, EX50)/(COUNTIF($EX$2:$EX$92, "&lt;&gt;""") - COUNTIF($EX$2:$EX$92, ""))</f>
        <v>0.72222222222222221</v>
      </c>
      <c r="EZ50" s="36" t="str">
        <f t="shared" ref="EZ50:FB50" si="154">BM50</f>
        <v>No</v>
      </c>
      <c r="FA50" s="36" t="str">
        <f t="shared" si="154"/>
        <v>Yes</v>
      </c>
      <c r="FB50" s="36" t="str">
        <f t="shared" si="154"/>
        <v>No</v>
      </c>
      <c r="FC50" s="207"/>
      <c r="FD50" s="36" t="str">
        <f t="shared" si="89"/>
        <v>Recurring</v>
      </c>
      <c r="FE50" s="40">
        <f>COUNTIF($FD$2:$FD$92, FD50)/(COUNTIF($FD$2:$FD$92, "&lt;&gt;""") - COUNTIF($FD$2:$FD$92, ""))</f>
        <v>0.4</v>
      </c>
      <c r="FF50" s="36" t="str">
        <f t="shared" si="90"/>
        <v>B2C</v>
      </c>
      <c r="FG50" s="40">
        <f>COUNTIF($FF$2:$FF$92, FF50)/(COUNTIF($FF$2:$FF$92, "&lt;&gt;""") - COUNTIF($FF$2:$FF$92, ""))</f>
        <v>0.41111111111111109</v>
      </c>
      <c r="FH50" s="36" t="str">
        <f t="shared" si="91"/>
        <v>Low</v>
      </c>
      <c r="FI50" s="40">
        <f>COUNTIF($FH$2:$FH$92, FH50)/(COUNTIF($FH$2:$FH$92, "&lt;&gt;""") - COUNTIF($FH$2:$FH$92, ""))</f>
        <v>0.46666666666666667</v>
      </c>
      <c r="FJ50" s="36" t="str">
        <f t="shared" si="92"/>
        <v>Low</v>
      </c>
      <c r="FK50" s="40">
        <f>COUNTIF($FJ$2:$FJ$92, FJ50)/(COUNTIF($FJ$2:$FJ$92, "&lt;&gt;""") - COUNTIF($FJ$2:$FJ$92, ""))</f>
        <v>0.41111111111111109</v>
      </c>
      <c r="FL50" s="207"/>
      <c r="FM50" s="192">
        <f t="shared" si="93"/>
        <v>1</v>
      </c>
      <c r="FN50" s="192" t="e">
        <f t="shared" ca="1" si="94"/>
        <v>#NAME?</v>
      </c>
      <c r="FO50" s="192" t="e">
        <f t="shared" ca="1" si="95"/>
        <v>#NAME?</v>
      </c>
      <c r="FP50" s="192" t="e">
        <f t="shared" ca="1" si="96"/>
        <v>#NAME?</v>
      </c>
      <c r="FQ50" s="209" t="e">
        <f t="shared" ca="1" si="97"/>
        <v>#NAME?</v>
      </c>
      <c r="FR50" s="208" t="e">
        <f t="shared" ca="1" si="98"/>
        <v>#NAME?</v>
      </c>
      <c r="FS50" s="36" t="str">
        <f t="shared" si="99"/>
        <v>Pre-Product</v>
      </c>
      <c r="FT50" s="196">
        <f>COUNTIF($FS$2:$FS$92, FS50)/(COUNTIF($FS$2:$FS$92, "&lt;&gt;""") - COUNTIF($FZ$2:$FZ$92, ""))</f>
        <v>0.22222222222222221</v>
      </c>
      <c r="FU50" s="207"/>
      <c r="FV50" s="192" t="e">
        <f t="shared" ca="1" si="100"/>
        <v>#NAME?</v>
      </c>
      <c r="FW50" s="197" t="e">
        <f t="shared" ca="1" si="101"/>
        <v>#NAME?</v>
      </c>
      <c r="FX50" s="209" t="e">
        <f t="shared" ca="1" si="102"/>
        <v>#NAME?</v>
      </c>
      <c r="FY50" s="211" t="e">
        <f t="shared" ca="1" si="103"/>
        <v>#NAME?</v>
      </c>
      <c r="FZ50" s="36" t="str">
        <f t="shared" si="104"/>
        <v>No</v>
      </c>
      <c r="GA50" s="196">
        <f>COUNTIF($FZ$2:$FZ$92, FZ50)/(COUNTIF($FZ$2:$FZ$92, "&lt;&gt;""") - COUNTIF($FZ$2:$FZ$92, ""))</f>
        <v>0.76666666666666672</v>
      </c>
      <c r="GB50" s="196" t="str">
        <f t="shared" si="105"/>
        <v>High</v>
      </c>
      <c r="GC50" s="196">
        <f>COUNTIF($GB$2:$GB$92, GB50)/(COUNTIF($GB$2:$GB$92, "&lt;&gt;""") - COUNTIF($GB$2:$GB$92, ""))</f>
        <v>0.43333333333333335</v>
      </c>
      <c r="GD50" s="196" t="str">
        <f t="shared" si="106"/>
        <v>Low</v>
      </c>
      <c r="GE50" s="196">
        <f>COUNTIF($GD$2:$GD$92, GD50)/(COUNTIF($GD$2:$GD$92, "&lt;&gt;""") - COUNTIF($GD$2:$GD$92, ""))</f>
        <v>0.18888888888888888</v>
      </c>
      <c r="GF50" s="207"/>
      <c r="GG50" s="36"/>
      <c r="GH50" s="209" t="e">
        <f t="shared" ca="1" si="107"/>
        <v>#NAME?</v>
      </c>
      <c r="GI50" s="212" t="e">
        <f t="shared" ca="1" si="108"/>
        <v>#NAME?</v>
      </c>
    </row>
    <row r="51" spans="1:191" ht="15.75" customHeight="1">
      <c r="A51" s="29"/>
      <c r="B51" s="29" t="s">
        <v>355</v>
      </c>
      <c r="C51" s="30">
        <v>1807742</v>
      </c>
      <c r="D51" s="29" t="s">
        <v>895</v>
      </c>
      <c r="E51" s="230"/>
      <c r="F51" s="29" t="s">
        <v>329</v>
      </c>
      <c r="G51" s="32" t="s">
        <v>896</v>
      </c>
      <c r="H51" s="32" t="s">
        <v>897</v>
      </c>
      <c r="I51" s="33">
        <v>43917</v>
      </c>
      <c r="J51" s="29" t="s">
        <v>898</v>
      </c>
      <c r="K51" s="29" t="s">
        <v>895</v>
      </c>
      <c r="M51" s="29" t="s">
        <v>899</v>
      </c>
      <c r="N51" s="29" t="s">
        <v>315</v>
      </c>
      <c r="O51" s="29" t="s">
        <v>30</v>
      </c>
      <c r="P51" s="29" t="s">
        <v>174</v>
      </c>
      <c r="Q51" s="29" t="s">
        <v>35</v>
      </c>
      <c r="R51" s="176"/>
      <c r="S51" s="29" t="s">
        <v>269</v>
      </c>
      <c r="T51" s="177"/>
      <c r="U51" s="178"/>
      <c r="V51" s="180"/>
      <c r="W51" s="179">
        <v>12500000</v>
      </c>
      <c r="X51" s="232">
        <v>0.2</v>
      </c>
      <c r="Y51" s="179">
        <v>10000000</v>
      </c>
      <c r="Z51" s="274">
        <v>10000000</v>
      </c>
      <c r="AA51" s="78" t="s">
        <v>250</v>
      </c>
      <c r="AB51" s="29" t="s">
        <v>36</v>
      </c>
      <c r="AC51" s="29" t="s">
        <v>179</v>
      </c>
      <c r="AD51" s="29" t="s">
        <v>180</v>
      </c>
      <c r="AE51" s="29" t="s">
        <v>227</v>
      </c>
      <c r="AF51" s="29" t="s">
        <v>181</v>
      </c>
      <c r="AG51" s="29" t="s">
        <v>181</v>
      </c>
      <c r="AH51" s="29" t="s">
        <v>190</v>
      </c>
      <c r="AI51" s="184"/>
      <c r="AJ51" s="277">
        <v>50000000000</v>
      </c>
      <c r="AK51" s="30" t="s">
        <v>236</v>
      </c>
      <c r="AL51" s="277">
        <v>10000000000</v>
      </c>
      <c r="AM51" s="30" t="s">
        <v>259</v>
      </c>
      <c r="AN51" s="277">
        <v>-0.01</v>
      </c>
      <c r="AO51" s="185" t="e">
        <f t="shared" ca="1" si="63"/>
        <v>#NAME?</v>
      </c>
      <c r="AP51" s="185" t="s">
        <v>192</v>
      </c>
      <c r="AQ51" s="29" t="s">
        <v>181</v>
      </c>
      <c r="AR51" s="29" t="s">
        <v>181</v>
      </c>
      <c r="AS51" s="29" t="s">
        <v>42</v>
      </c>
      <c r="AT51" s="29" t="s">
        <v>181</v>
      </c>
      <c r="AU51" s="29" t="s">
        <v>39</v>
      </c>
      <c r="AV51" s="29" t="s">
        <v>190</v>
      </c>
      <c r="AW51" s="29" t="s">
        <v>190</v>
      </c>
      <c r="AX51" s="29" t="s">
        <v>227</v>
      </c>
      <c r="AY51" s="29" t="s">
        <v>227</v>
      </c>
      <c r="AZ51" s="179">
        <v>574457</v>
      </c>
      <c r="BA51" s="179" t="s">
        <v>239</v>
      </c>
      <c r="BB51" s="277">
        <v>4000</v>
      </c>
      <c r="BC51" s="277">
        <v>205000</v>
      </c>
      <c r="BD51" s="30" t="s">
        <v>225</v>
      </c>
      <c r="BE51" s="277">
        <v>1.95E-2</v>
      </c>
      <c r="BF51" s="30" t="s">
        <v>163</v>
      </c>
      <c r="BG51" s="29" t="s">
        <v>202</v>
      </c>
      <c r="BH51" s="176"/>
      <c r="BI51" s="29" t="s">
        <v>227</v>
      </c>
      <c r="BJ51" s="30">
        <v>2</v>
      </c>
      <c r="BK51" s="277">
        <v>2</v>
      </c>
      <c r="BL51" s="29" t="s">
        <v>190</v>
      </c>
      <c r="BM51" s="29" t="s">
        <v>190</v>
      </c>
      <c r="BN51" s="29" t="s">
        <v>227</v>
      </c>
      <c r="BO51" s="29" t="s">
        <v>190</v>
      </c>
      <c r="BP51" s="30">
        <v>4</v>
      </c>
      <c r="BQ51" s="30">
        <v>5</v>
      </c>
      <c r="BR51" s="30">
        <v>0</v>
      </c>
      <c r="BS51" s="30">
        <v>0</v>
      </c>
      <c r="BT51" s="203"/>
      <c r="BU51" s="30">
        <v>8</v>
      </c>
      <c r="BV51" s="30">
        <v>0</v>
      </c>
      <c r="BW51" s="44">
        <v>40</v>
      </c>
      <c r="BX51" s="29" t="s">
        <v>190</v>
      </c>
      <c r="BY51" s="203"/>
      <c r="BZ51" s="29">
        <v>10</v>
      </c>
      <c r="CA51" s="29">
        <v>0</v>
      </c>
      <c r="CB51" s="29">
        <v>40</v>
      </c>
      <c r="CC51" s="29" t="s">
        <v>190</v>
      </c>
      <c r="CD51" s="203"/>
      <c r="CE51" s="57"/>
      <c r="CF51" s="57"/>
      <c r="CG51" s="57"/>
      <c r="CH51" s="57"/>
      <c r="CI51" s="203"/>
      <c r="CJ51" s="57"/>
      <c r="CK51" s="57"/>
      <c r="CL51" s="57"/>
      <c r="CM51" s="57"/>
      <c r="CN51" s="203"/>
      <c r="CO51" s="186"/>
      <c r="CP51" s="186"/>
      <c r="CQ51" s="186"/>
      <c r="CR51" s="57"/>
      <c r="CS51" s="203"/>
      <c r="CT51" s="186"/>
      <c r="CU51" s="186"/>
      <c r="CV51" s="186"/>
      <c r="CW51" s="57"/>
      <c r="CX51" s="203"/>
      <c r="CY51" s="186"/>
      <c r="CZ51" s="186"/>
      <c r="DA51" s="186"/>
      <c r="DB51" s="57"/>
      <c r="DC51" s="203"/>
      <c r="DD51" s="186"/>
      <c r="DE51" s="186"/>
      <c r="DF51" s="186"/>
      <c r="DG51" s="57"/>
      <c r="DH51" s="203"/>
      <c r="DI51" s="186"/>
      <c r="DJ51" s="186"/>
      <c r="DK51" s="186"/>
      <c r="DL51" s="57"/>
      <c r="DM51" s="204"/>
      <c r="DN51" s="205"/>
      <c r="DO51" s="205"/>
      <c r="DQ51" s="206"/>
      <c r="DR51" s="188">
        <f t="shared" si="64"/>
        <v>9</v>
      </c>
      <c r="DS51" s="188"/>
      <c r="DT51" s="189">
        <f t="shared" si="65"/>
        <v>0</v>
      </c>
      <c r="DU51" s="189"/>
      <c r="DV51" s="188">
        <f t="shared" si="66"/>
        <v>40</v>
      </c>
      <c r="DW51" s="183" t="e">
        <f t="shared" ca="1" si="67"/>
        <v>#NAME?</v>
      </c>
      <c r="DX51" s="207"/>
      <c r="DY51" s="190" t="e">
        <f t="shared" ca="1" si="68"/>
        <v>#NAME?</v>
      </c>
      <c r="DZ51" s="191">
        <f t="shared" si="69"/>
        <v>3.1052631578947367</v>
      </c>
      <c r="EA51" s="191" t="str">
        <f t="shared" si="70"/>
        <v/>
      </c>
      <c r="EB51" s="191" t="str">
        <f t="shared" si="71"/>
        <v/>
      </c>
      <c r="EC51" s="208" t="e">
        <f t="shared" ca="1" si="72"/>
        <v>#NAME?</v>
      </c>
      <c r="ED51" s="36" t="str">
        <f t="shared" si="73"/>
        <v>SAFE</v>
      </c>
      <c r="EE51" s="193">
        <f>COUNTIF($ED$2:$ED$92, ED51)/(COUNTIF($ED$2:$ED$92, "&lt;&gt;""") - COUNTIF($ED$2:$ED$92, ""))</f>
        <v>0.37777777777777777</v>
      </c>
      <c r="EF51" s="36" t="str">
        <f t="shared" si="74"/>
        <v>Early</v>
      </c>
      <c r="EG51" s="207"/>
      <c r="EH51" s="194" t="e">
        <f t="shared" ca="1" si="75"/>
        <v>#NAME?</v>
      </c>
      <c r="EI51" s="194" t="e">
        <f t="shared" ca="1" si="76"/>
        <v>#NAME?</v>
      </c>
      <c r="EJ51" s="209" t="e">
        <f t="shared" ca="1" si="77"/>
        <v>#NAME?</v>
      </c>
      <c r="EK51" s="208" t="e">
        <f t="shared" ca="1" si="78"/>
        <v>#NAME?</v>
      </c>
      <c r="EL51" s="36" t="str">
        <f t="shared" si="79"/>
        <v>No</v>
      </c>
      <c r="EM51" s="207"/>
      <c r="EN51" s="192">
        <f t="shared" si="80"/>
        <v>1.8571428571428572</v>
      </c>
      <c r="EO51" s="192">
        <f t="shared" si="81"/>
        <v>1</v>
      </c>
      <c r="EP51" s="209">
        <f t="shared" si="82"/>
        <v>2.8571428571428572</v>
      </c>
      <c r="EQ51" s="210">
        <f t="shared" si="83"/>
        <v>1.6728971962616823</v>
      </c>
      <c r="ER51" s="36" t="e">
        <f t="shared" ca="1" si="84"/>
        <v>#NAME?</v>
      </c>
      <c r="ES51" s="40">
        <f ca="1">COUNTIF($ER$2:$ER$92, ER51)/(COUNTIF($ER$2:$ER$92, "&lt;&gt;""") - COUNTIF($ER$2:$ER$92, ""))</f>
        <v>1</v>
      </c>
      <c r="ET51" s="36">
        <f t="shared" si="85"/>
        <v>2</v>
      </c>
      <c r="EU51" s="40">
        <f>COUNTIF($ET$2:$ET$92, ET51)/(COUNTIF($ET$2:$ET$92, "&lt;&gt;""") - COUNTIF($ET$2:$ET$92, ""))</f>
        <v>0.45555555555555555</v>
      </c>
      <c r="EV51" s="36">
        <f t="shared" si="86"/>
        <v>5</v>
      </c>
      <c r="EW51" s="40">
        <f>COUNTIF($EV$2:$EV$92, EV51)/(COUNTIF($EV$2:$EV$92, "&lt;&gt;""") - COUNTIF($EV$2:$EV$92, ""))</f>
        <v>0.13333333333333333</v>
      </c>
      <c r="EX51" s="36" t="str">
        <f t="shared" si="87"/>
        <v>No</v>
      </c>
      <c r="EY51" s="40">
        <f>COUNTIF($EX$2:$EX$92, EX51)/(COUNTIF($EX$2:$EX$92, "&lt;&gt;""") - COUNTIF($EX$2:$EX$92, ""))</f>
        <v>0.72222222222222221</v>
      </c>
      <c r="EZ51" s="36" t="str">
        <f t="shared" ref="EZ51:FB51" si="155">BM51</f>
        <v>No</v>
      </c>
      <c r="FA51" s="36" t="str">
        <f t="shared" si="155"/>
        <v>Yes</v>
      </c>
      <c r="FB51" s="36" t="str">
        <f t="shared" si="155"/>
        <v>No</v>
      </c>
      <c r="FC51" s="207"/>
      <c r="FD51" s="36" t="str">
        <f t="shared" si="89"/>
        <v>Transactional</v>
      </c>
      <c r="FE51" s="40">
        <f>COUNTIF($FD$2:$FD$92, FD51)/(COUNTIF($FD$2:$FD$92, "&lt;&gt;""") - COUNTIF($FD$2:$FD$92, ""))</f>
        <v>0.6</v>
      </c>
      <c r="FF51" s="36" t="str">
        <f t="shared" si="90"/>
        <v>B2C</v>
      </c>
      <c r="FG51" s="40">
        <f>COUNTIF($FF$2:$FF$92, FF51)/(COUNTIF($FF$2:$FF$92, "&lt;&gt;""") - COUNTIF($FF$2:$FF$92, ""))</f>
        <v>0.41111111111111109</v>
      </c>
      <c r="FH51" s="36" t="str">
        <f t="shared" si="91"/>
        <v>Low</v>
      </c>
      <c r="FI51" s="40">
        <f>COUNTIF($FH$2:$FH$92, FH51)/(COUNTIF($FH$2:$FH$92, "&lt;&gt;""") - COUNTIF($FH$2:$FH$92, ""))</f>
        <v>0.46666666666666667</v>
      </c>
      <c r="FJ51" s="36" t="str">
        <f t="shared" si="92"/>
        <v>Low</v>
      </c>
      <c r="FK51" s="40">
        <f>COUNTIF($FJ$2:$FJ$92, FJ51)/(COUNTIF($FJ$2:$FJ$92, "&lt;&gt;""") - COUNTIF($FJ$2:$FJ$92, ""))</f>
        <v>0.41111111111111109</v>
      </c>
      <c r="FL51" s="207"/>
      <c r="FM51" s="192">
        <f t="shared" si="93"/>
        <v>5</v>
      </c>
      <c r="FN51" s="192" t="e">
        <f t="shared" ca="1" si="94"/>
        <v>#NAME?</v>
      </c>
      <c r="FO51" s="192" t="e">
        <f t="shared" ca="1" si="95"/>
        <v>#NAME?</v>
      </c>
      <c r="FP51" s="192" t="e">
        <f t="shared" ca="1" si="96"/>
        <v>#NAME?</v>
      </c>
      <c r="FQ51" s="209" t="e">
        <f t="shared" ca="1" si="97"/>
        <v>#NAME?</v>
      </c>
      <c r="FR51" s="208" t="e">
        <f t="shared" ca="1" si="98"/>
        <v>#NAME?</v>
      </c>
      <c r="FS51" s="36" t="str">
        <f t="shared" si="99"/>
        <v>Pre-Profit</v>
      </c>
      <c r="FT51" s="196">
        <f>COUNTIF($FS$2:$FS$92, FS51)/(COUNTIF($FS$2:$FS$92, "&lt;&gt;""") - COUNTIF($FZ$2:$FZ$92, ""))</f>
        <v>0.51111111111111107</v>
      </c>
      <c r="FU51" s="207"/>
      <c r="FV51" s="192" t="e">
        <f t="shared" ca="1" si="100"/>
        <v>#NAME?</v>
      </c>
      <c r="FW51" s="197" t="e">
        <f t="shared" ca="1" si="101"/>
        <v>#NAME?</v>
      </c>
      <c r="FX51" s="209" t="e">
        <f t="shared" ca="1" si="102"/>
        <v>#NAME?</v>
      </c>
      <c r="FY51" s="211" t="e">
        <f t="shared" ca="1" si="103"/>
        <v>#NAME?</v>
      </c>
      <c r="FZ51" s="36" t="str">
        <f t="shared" si="104"/>
        <v>No</v>
      </c>
      <c r="GA51" s="196">
        <f>COUNTIF($FZ$2:$FZ$92, FZ51)/(COUNTIF($FZ$2:$FZ$92, "&lt;&gt;""") - COUNTIF($FZ$2:$FZ$92, ""))</f>
        <v>0.76666666666666672</v>
      </c>
      <c r="GB51" s="196" t="str">
        <f t="shared" si="105"/>
        <v>Low</v>
      </c>
      <c r="GC51" s="196">
        <f>COUNTIF($GB$2:$GB$92, GB51)/(COUNTIF($GB$2:$GB$92, "&lt;&gt;""") - COUNTIF($GB$2:$GB$92, ""))</f>
        <v>0.55555555555555558</v>
      </c>
      <c r="GD51" s="196" t="str">
        <f t="shared" si="106"/>
        <v>High</v>
      </c>
      <c r="GE51" s="196">
        <f>COUNTIF($GD$2:$GD$92, GD51)/(COUNTIF($GD$2:$GD$92, "&lt;&gt;""") - COUNTIF($GD$2:$GD$92, ""))</f>
        <v>0.8</v>
      </c>
      <c r="GF51" s="207"/>
      <c r="GG51" s="36"/>
      <c r="GH51" s="209" t="e">
        <f t="shared" ca="1" si="107"/>
        <v>#NAME?</v>
      </c>
      <c r="GI51" s="212" t="e">
        <f t="shared" ca="1" si="108"/>
        <v>#NAME?</v>
      </c>
    </row>
    <row r="52" spans="1:191" ht="15.75" customHeight="1">
      <c r="A52" s="29"/>
      <c r="B52" s="29" t="s">
        <v>355</v>
      </c>
      <c r="C52" s="30">
        <v>1804169</v>
      </c>
      <c r="D52" s="29" t="s">
        <v>900</v>
      </c>
      <c r="E52" s="230"/>
      <c r="F52" s="29" t="s">
        <v>344</v>
      </c>
      <c r="G52" s="32" t="s">
        <v>901</v>
      </c>
      <c r="H52" s="32" t="s">
        <v>902</v>
      </c>
      <c r="I52" s="33">
        <v>43893</v>
      </c>
      <c r="J52" s="29" t="s">
        <v>903</v>
      </c>
      <c r="K52" s="29" t="s">
        <v>900</v>
      </c>
      <c r="M52" s="29" t="s">
        <v>171</v>
      </c>
      <c r="N52" s="29" t="s">
        <v>168</v>
      </c>
      <c r="O52" s="29" t="s">
        <v>30</v>
      </c>
      <c r="P52" s="29" t="s">
        <v>174</v>
      </c>
      <c r="Q52" s="29" t="s">
        <v>35</v>
      </c>
      <c r="R52" s="176"/>
      <c r="S52" s="29" t="s">
        <v>216</v>
      </c>
      <c r="T52" s="177"/>
      <c r="U52" s="178"/>
      <c r="V52" s="200">
        <v>5000000</v>
      </c>
      <c r="W52" s="55"/>
      <c r="X52" s="224"/>
      <c r="Y52" s="55"/>
      <c r="Z52" s="274">
        <v>5000000</v>
      </c>
      <c r="AA52" s="78" t="s">
        <v>224</v>
      </c>
      <c r="AB52" s="29" t="s">
        <v>36</v>
      </c>
      <c r="AC52" s="29" t="s">
        <v>179</v>
      </c>
      <c r="AD52" s="29" t="s">
        <v>38</v>
      </c>
      <c r="AE52" s="29" t="s">
        <v>190</v>
      </c>
      <c r="AF52" s="29" t="s">
        <v>181</v>
      </c>
      <c r="AG52" s="29" t="s">
        <v>39</v>
      </c>
      <c r="AH52" s="29" t="s">
        <v>190</v>
      </c>
      <c r="AI52" s="184"/>
      <c r="AJ52" s="277">
        <v>12700000000</v>
      </c>
      <c r="AK52" s="30" t="s">
        <v>259</v>
      </c>
      <c r="AL52" s="277">
        <v>100000000</v>
      </c>
      <c r="AM52" s="30" t="s">
        <v>302</v>
      </c>
      <c r="AN52" s="277">
        <v>0.04</v>
      </c>
      <c r="AO52" s="185" t="e">
        <f t="shared" ca="1" si="63"/>
        <v>#NAME?</v>
      </c>
      <c r="AP52" s="185" t="s">
        <v>252</v>
      </c>
      <c r="AQ52" s="29" t="s">
        <v>181</v>
      </c>
      <c r="AR52" s="29" t="s">
        <v>181</v>
      </c>
      <c r="AS52" s="29" t="s">
        <v>42</v>
      </c>
      <c r="AT52" s="29" t="s">
        <v>181</v>
      </c>
      <c r="AU52" s="29" t="s">
        <v>39</v>
      </c>
      <c r="AV52" s="29" t="s">
        <v>190</v>
      </c>
      <c r="AW52" s="29" t="s">
        <v>190</v>
      </c>
      <c r="AX52" s="29" t="s">
        <v>227</v>
      </c>
      <c r="AY52" s="29" t="s">
        <v>227</v>
      </c>
      <c r="AZ52" s="179">
        <v>1639949</v>
      </c>
      <c r="BA52" s="179" t="s">
        <v>188</v>
      </c>
      <c r="BB52" s="277">
        <v>0</v>
      </c>
      <c r="BC52" s="277">
        <v>219000</v>
      </c>
      <c r="BD52" s="30" t="s">
        <v>225</v>
      </c>
      <c r="BE52" s="277">
        <v>1</v>
      </c>
      <c r="BF52" s="30" t="s">
        <v>240</v>
      </c>
      <c r="BG52" s="29" t="s">
        <v>219</v>
      </c>
      <c r="BH52" s="176"/>
      <c r="BI52" s="29" t="s">
        <v>190</v>
      </c>
      <c r="BJ52" s="30">
        <v>0</v>
      </c>
      <c r="BK52" s="277">
        <v>4</v>
      </c>
      <c r="BL52" s="29" t="s">
        <v>227</v>
      </c>
      <c r="BM52" s="29" t="s">
        <v>227</v>
      </c>
      <c r="BN52" s="29" t="s">
        <v>190</v>
      </c>
      <c r="BO52" s="29" t="s">
        <v>190</v>
      </c>
      <c r="BP52" s="30">
        <v>3</v>
      </c>
      <c r="BQ52" s="30">
        <v>4</v>
      </c>
      <c r="BR52" s="30">
        <v>0</v>
      </c>
      <c r="BS52" s="30">
        <v>0</v>
      </c>
      <c r="BT52" s="203"/>
      <c r="BU52" s="30">
        <v>8</v>
      </c>
      <c r="BV52" s="30">
        <v>0</v>
      </c>
      <c r="BW52" s="44">
        <v>35</v>
      </c>
      <c r="BX52" s="29" t="s">
        <v>190</v>
      </c>
      <c r="BY52" s="203"/>
      <c r="BZ52" s="29">
        <v>2</v>
      </c>
      <c r="CA52" s="29">
        <v>0</v>
      </c>
      <c r="CB52" s="29">
        <v>35</v>
      </c>
      <c r="CC52" s="29" t="s">
        <v>190</v>
      </c>
      <c r="CD52" s="203"/>
      <c r="CE52" s="29">
        <v>5</v>
      </c>
      <c r="CF52" s="29">
        <v>0</v>
      </c>
      <c r="CG52" s="29">
        <v>35</v>
      </c>
      <c r="CH52" s="29" t="s">
        <v>190</v>
      </c>
      <c r="CI52" s="203"/>
      <c r="CJ52" s="29">
        <v>3</v>
      </c>
      <c r="CK52" s="29">
        <v>0</v>
      </c>
      <c r="CL52" s="29">
        <v>35</v>
      </c>
      <c r="CM52" s="29" t="s">
        <v>190</v>
      </c>
      <c r="CN52" s="203"/>
      <c r="CO52" s="186"/>
      <c r="CP52" s="186"/>
      <c r="CQ52" s="186"/>
      <c r="CR52" s="57"/>
      <c r="CS52" s="203"/>
      <c r="CT52" s="186"/>
      <c r="CU52" s="186"/>
      <c r="CV52" s="186"/>
      <c r="CW52" s="57"/>
      <c r="CX52" s="203"/>
      <c r="CY52" s="186"/>
      <c r="CZ52" s="186"/>
      <c r="DA52" s="186"/>
      <c r="DB52" s="57"/>
      <c r="DC52" s="203"/>
      <c r="DD52" s="186"/>
      <c r="DE52" s="186"/>
      <c r="DF52" s="186"/>
      <c r="DG52" s="57"/>
      <c r="DH52" s="203"/>
      <c r="DI52" s="186"/>
      <c r="DJ52" s="186"/>
      <c r="DK52" s="186"/>
      <c r="DL52" s="57"/>
      <c r="DM52" s="204"/>
      <c r="DN52" s="205"/>
      <c r="DO52" s="205"/>
      <c r="DQ52" s="206"/>
      <c r="DR52" s="188">
        <f t="shared" si="64"/>
        <v>4.5</v>
      </c>
      <c r="DS52" s="188"/>
      <c r="DT52" s="189">
        <f t="shared" si="65"/>
        <v>0</v>
      </c>
      <c r="DU52" s="189"/>
      <c r="DV52" s="188">
        <f t="shared" si="66"/>
        <v>35</v>
      </c>
      <c r="DW52" s="183" t="e">
        <f t="shared" ca="1" si="67"/>
        <v>#NAME?</v>
      </c>
      <c r="DX52" s="207"/>
      <c r="DY52" s="190" t="e">
        <f t="shared" ca="1" si="68"/>
        <v>#NAME?</v>
      </c>
      <c r="DZ52" s="191" t="str">
        <f t="shared" si="69"/>
        <v/>
      </c>
      <c r="EA52" s="191" t="str">
        <f t="shared" si="70"/>
        <v/>
      </c>
      <c r="EB52" s="191" t="str">
        <f t="shared" si="71"/>
        <v/>
      </c>
      <c r="EC52" s="208" t="e">
        <f t="shared" ca="1" si="72"/>
        <v>#NAME?</v>
      </c>
      <c r="ED52" s="36" t="str">
        <f t="shared" si="73"/>
        <v>Equity - Common</v>
      </c>
      <c r="EE52" s="193">
        <f>COUNTIF($ED$2:$ED$92, ED52)/(COUNTIF($ED$2:$ED$92, "&lt;&gt;""") - COUNTIF($ED$2:$ED$92, ""))</f>
        <v>0.32222222222222224</v>
      </c>
      <c r="EF52" s="36" t="str">
        <f t="shared" si="74"/>
        <v>Early</v>
      </c>
      <c r="EG52" s="207"/>
      <c r="EH52" s="194" t="e">
        <f t="shared" ca="1" si="75"/>
        <v>#NAME?</v>
      </c>
      <c r="EI52" s="194" t="e">
        <f t="shared" ca="1" si="76"/>
        <v>#NAME?</v>
      </c>
      <c r="EJ52" s="209" t="e">
        <f t="shared" ca="1" si="77"/>
        <v>#NAME?</v>
      </c>
      <c r="EK52" s="208" t="e">
        <f t="shared" ca="1" si="78"/>
        <v>#NAME?</v>
      </c>
      <c r="EL52" s="36" t="str">
        <f t="shared" si="79"/>
        <v>No</v>
      </c>
      <c r="EM52" s="207"/>
      <c r="EN52" s="192">
        <f t="shared" si="80"/>
        <v>1.4285714285714286</v>
      </c>
      <c r="EO52" s="192">
        <f t="shared" si="81"/>
        <v>1</v>
      </c>
      <c r="EP52" s="209">
        <f t="shared" si="82"/>
        <v>2.4285714285714288</v>
      </c>
      <c r="EQ52" s="210">
        <f t="shared" si="83"/>
        <v>1.3364485981308414</v>
      </c>
      <c r="ER52" s="36" t="e">
        <f t="shared" ca="1" si="84"/>
        <v>#NAME?</v>
      </c>
      <c r="ES52" s="40">
        <f ca="1">COUNTIF($ER$2:$ER$92, ER52)/(COUNTIF($ER$2:$ER$92, "&lt;&gt;""") - COUNTIF($ER$2:$ER$92, ""))</f>
        <v>1</v>
      </c>
      <c r="ET52" s="36">
        <f t="shared" si="85"/>
        <v>4</v>
      </c>
      <c r="EU52" s="40">
        <f>COUNTIF($ET$2:$ET$92, ET52)/(COUNTIF($ET$2:$ET$92, "&lt;&gt;""") - COUNTIF($ET$2:$ET$92, ""))</f>
        <v>4.4444444444444446E-2</v>
      </c>
      <c r="EV52" s="36">
        <f t="shared" si="86"/>
        <v>4</v>
      </c>
      <c r="EW52" s="40">
        <f>COUNTIF($EV$2:$EV$92, EV52)/(COUNTIF($EV$2:$EV$92, "&lt;&gt;""") - COUNTIF($EV$2:$EV$92, ""))</f>
        <v>0.12222222222222222</v>
      </c>
      <c r="EX52" s="36" t="str">
        <f t="shared" si="87"/>
        <v>Yes</v>
      </c>
      <c r="EY52" s="40">
        <f>COUNTIF($EX$2:$EX$92, EX52)/(COUNTIF($EX$2:$EX$92, "&lt;&gt;""") - COUNTIF($EX$2:$EX$92, ""))</f>
        <v>0.27777777777777779</v>
      </c>
      <c r="EZ52" s="36" t="str">
        <f t="shared" ref="EZ52:FB52" si="156">BM52</f>
        <v>Yes</v>
      </c>
      <c r="FA52" s="36" t="str">
        <f t="shared" si="156"/>
        <v>No</v>
      </c>
      <c r="FB52" s="36" t="str">
        <f t="shared" si="156"/>
        <v>No</v>
      </c>
      <c r="FC52" s="207"/>
      <c r="FD52" s="36" t="str">
        <f t="shared" si="89"/>
        <v>Transactional</v>
      </c>
      <c r="FE52" s="40">
        <f>COUNTIF($FD$2:$FD$92, FD52)/(COUNTIF($FD$2:$FD$92, "&lt;&gt;""") - COUNTIF($FD$2:$FD$92, ""))</f>
        <v>0.6</v>
      </c>
      <c r="FF52" s="36" t="str">
        <f t="shared" si="90"/>
        <v>B2C</v>
      </c>
      <c r="FG52" s="40">
        <f>COUNTIF($FF$2:$FF$92, FF52)/(COUNTIF($FF$2:$FF$92, "&lt;&gt;""") - COUNTIF($FF$2:$FF$92, ""))</f>
        <v>0.41111111111111109</v>
      </c>
      <c r="FH52" s="36" t="str">
        <f t="shared" si="91"/>
        <v>Low</v>
      </c>
      <c r="FI52" s="40">
        <f>COUNTIF($FH$2:$FH$92, FH52)/(COUNTIF($FH$2:$FH$92, "&lt;&gt;""") - COUNTIF($FH$2:$FH$92, ""))</f>
        <v>0.46666666666666667</v>
      </c>
      <c r="FJ52" s="36" t="str">
        <f t="shared" si="92"/>
        <v>High</v>
      </c>
      <c r="FK52" s="40">
        <f>COUNTIF($FJ$2:$FJ$92, FJ52)/(COUNTIF($FJ$2:$FJ$92, "&lt;&gt;""") - COUNTIF($FJ$2:$FJ$92, ""))</f>
        <v>0.58888888888888891</v>
      </c>
      <c r="FL52" s="207"/>
      <c r="FM52" s="192">
        <f t="shared" si="93"/>
        <v>5</v>
      </c>
      <c r="FN52" s="192" t="e">
        <f t="shared" ca="1" si="94"/>
        <v>#NAME?</v>
      </c>
      <c r="FO52" s="192" t="e">
        <f t="shared" ca="1" si="95"/>
        <v>#NAME?</v>
      </c>
      <c r="FP52" s="192" t="e">
        <f t="shared" ca="1" si="96"/>
        <v>#NAME?</v>
      </c>
      <c r="FQ52" s="209" t="e">
        <f t="shared" ca="1" si="97"/>
        <v>#NAME?</v>
      </c>
      <c r="FR52" s="208" t="e">
        <f t="shared" ca="1" si="98"/>
        <v>#NAME?</v>
      </c>
      <c r="FS52" s="36" t="str">
        <f t="shared" si="99"/>
        <v>Profitable</v>
      </c>
      <c r="FT52" s="196">
        <f>COUNTIF($FS$2:$FS$92, FS52)/(COUNTIF($FS$2:$FS$92, "&lt;&gt;""") - COUNTIF($FZ$2:$FZ$92, ""))</f>
        <v>6.6666666666666666E-2</v>
      </c>
      <c r="FU52" s="207"/>
      <c r="FV52" s="192" t="e">
        <f t="shared" ca="1" si="100"/>
        <v>#NAME?</v>
      </c>
      <c r="FW52" s="197" t="e">
        <f t="shared" ca="1" si="101"/>
        <v>#NAME?</v>
      </c>
      <c r="FX52" s="209" t="e">
        <f t="shared" ca="1" si="102"/>
        <v>#NAME?</v>
      </c>
      <c r="FY52" s="211" t="e">
        <f t="shared" ca="1" si="103"/>
        <v>#NAME?</v>
      </c>
      <c r="FZ52" s="36" t="str">
        <f t="shared" si="104"/>
        <v>No</v>
      </c>
      <c r="GA52" s="196">
        <f>COUNTIF($FZ$2:$FZ$92, FZ52)/(COUNTIF($FZ$2:$FZ$92, "&lt;&gt;""") - COUNTIF($FZ$2:$FZ$92, ""))</f>
        <v>0.76666666666666672</v>
      </c>
      <c r="GB52" s="196" t="str">
        <f t="shared" si="105"/>
        <v>Low</v>
      </c>
      <c r="GC52" s="196">
        <f>COUNTIF($GB$2:$GB$92, GB52)/(COUNTIF($GB$2:$GB$92, "&lt;&gt;""") - COUNTIF($GB$2:$GB$92, ""))</f>
        <v>0.55555555555555558</v>
      </c>
      <c r="GD52" s="196" t="str">
        <f t="shared" si="106"/>
        <v>High</v>
      </c>
      <c r="GE52" s="196">
        <f>COUNTIF($GD$2:$GD$92, GD52)/(COUNTIF($GD$2:$GD$92, "&lt;&gt;""") - COUNTIF($GD$2:$GD$92, ""))</f>
        <v>0.8</v>
      </c>
      <c r="GF52" s="207"/>
      <c r="GG52" s="36"/>
      <c r="GH52" s="209" t="e">
        <f t="shared" ca="1" si="107"/>
        <v>#NAME?</v>
      </c>
      <c r="GI52" s="212" t="e">
        <f t="shared" ca="1" si="108"/>
        <v>#NAME?</v>
      </c>
    </row>
    <row r="53" spans="1:191" ht="15.75" customHeight="1">
      <c r="A53" s="29"/>
      <c r="B53" s="29" t="s">
        <v>355</v>
      </c>
      <c r="C53" s="30">
        <v>1759081</v>
      </c>
      <c r="D53" s="29" t="s">
        <v>904</v>
      </c>
      <c r="E53" s="230"/>
      <c r="F53" s="29" t="s">
        <v>337</v>
      </c>
      <c r="G53" s="32" t="s">
        <v>905</v>
      </c>
      <c r="H53" s="32" t="s">
        <v>906</v>
      </c>
      <c r="I53" s="33">
        <v>43921</v>
      </c>
      <c r="J53" s="29" t="s">
        <v>907</v>
      </c>
      <c r="K53" s="29" t="s">
        <v>904</v>
      </c>
      <c r="M53" s="29" t="s">
        <v>908</v>
      </c>
      <c r="N53" s="29" t="s">
        <v>336</v>
      </c>
      <c r="O53" s="29" t="s">
        <v>30</v>
      </c>
      <c r="P53" s="29" t="s">
        <v>174</v>
      </c>
      <c r="Q53" s="29" t="s">
        <v>35</v>
      </c>
      <c r="R53" s="176"/>
      <c r="S53" s="29" t="s">
        <v>216</v>
      </c>
      <c r="T53" s="177"/>
      <c r="U53" s="178"/>
      <c r="V53" s="200">
        <v>25000000</v>
      </c>
      <c r="W53" s="55"/>
      <c r="X53" s="224"/>
      <c r="Y53" s="55"/>
      <c r="Z53" s="274">
        <v>25000000</v>
      </c>
      <c r="AA53" s="78" t="s">
        <v>313</v>
      </c>
      <c r="AB53" s="29" t="s">
        <v>178</v>
      </c>
      <c r="AC53" s="29" t="s">
        <v>37</v>
      </c>
      <c r="AD53" s="29" t="s">
        <v>180</v>
      </c>
      <c r="AE53" s="29" t="s">
        <v>227</v>
      </c>
      <c r="AF53" s="29" t="s">
        <v>39</v>
      </c>
      <c r="AG53" s="29" t="s">
        <v>39</v>
      </c>
      <c r="AH53" s="29" t="s">
        <v>190</v>
      </c>
      <c r="AI53" s="184"/>
      <c r="AJ53" s="277">
        <v>25000000000</v>
      </c>
      <c r="AK53" s="30" t="s">
        <v>195</v>
      </c>
      <c r="AL53" s="277">
        <v>1000000000</v>
      </c>
      <c r="AM53" s="30" t="s">
        <v>282</v>
      </c>
      <c r="AN53" s="277">
        <v>0.09</v>
      </c>
      <c r="AO53" s="185" t="e">
        <f t="shared" ca="1" si="63"/>
        <v>#NAME?</v>
      </c>
      <c r="AP53" s="185" t="s">
        <v>192</v>
      </c>
      <c r="AQ53" s="29" t="s">
        <v>39</v>
      </c>
      <c r="AR53" s="29" t="s">
        <v>181</v>
      </c>
      <c r="AS53" s="29" t="s">
        <v>182</v>
      </c>
      <c r="AT53" s="29" t="s">
        <v>39</v>
      </c>
      <c r="AU53" s="29" t="s">
        <v>181</v>
      </c>
      <c r="AV53" s="29" t="s">
        <v>190</v>
      </c>
      <c r="AW53" s="29" t="s">
        <v>190</v>
      </c>
      <c r="AX53" s="29" t="s">
        <v>227</v>
      </c>
      <c r="AY53" s="29" t="s">
        <v>227</v>
      </c>
      <c r="AZ53" s="179">
        <v>0</v>
      </c>
      <c r="BA53" s="179" t="s">
        <v>162</v>
      </c>
      <c r="BB53" s="277">
        <v>61642</v>
      </c>
      <c r="BC53" s="277">
        <v>1800000</v>
      </c>
      <c r="BD53" s="30" t="s">
        <v>188</v>
      </c>
      <c r="BE53" s="277">
        <v>3.4200000000000001E-2</v>
      </c>
      <c r="BF53" s="30" t="s">
        <v>163</v>
      </c>
      <c r="BG53" s="29" t="s">
        <v>202</v>
      </c>
      <c r="BH53" s="176"/>
      <c r="BI53" s="29" t="s">
        <v>227</v>
      </c>
      <c r="BJ53" s="30">
        <v>1</v>
      </c>
      <c r="BK53" s="277">
        <v>1</v>
      </c>
      <c r="BL53" s="29" t="s">
        <v>190</v>
      </c>
      <c r="BM53" s="29" t="s">
        <v>227</v>
      </c>
      <c r="BN53" s="29" t="s">
        <v>227</v>
      </c>
      <c r="BO53" s="29" t="s">
        <v>190</v>
      </c>
      <c r="BP53" s="30">
        <v>3</v>
      </c>
      <c r="BQ53" s="30">
        <v>1</v>
      </c>
      <c r="BR53" s="30">
        <v>2</v>
      </c>
      <c r="BS53" s="30">
        <v>0</v>
      </c>
      <c r="BT53" s="203"/>
      <c r="BU53" s="30">
        <v>5</v>
      </c>
      <c r="BV53" s="30">
        <v>0</v>
      </c>
      <c r="BW53" s="44">
        <v>41</v>
      </c>
      <c r="BX53" s="29" t="s">
        <v>190</v>
      </c>
      <c r="BY53" s="203"/>
      <c r="BZ53" s="57"/>
      <c r="CA53" s="57"/>
      <c r="CB53" s="57"/>
      <c r="CC53" s="57"/>
      <c r="CD53" s="203"/>
      <c r="CE53" s="57"/>
      <c r="CF53" s="57"/>
      <c r="CG53" s="57"/>
      <c r="CH53" s="57"/>
      <c r="CI53" s="203"/>
      <c r="CJ53" s="57"/>
      <c r="CK53" s="57"/>
      <c r="CL53" s="57"/>
      <c r="CM53" s="57"/>
      <c r="CN53" s="203"/>
      <c r="CO53" s="186"/>
      <c r="CP53" s="186"/>
      <c r="CQ53" s="186"/>
      <c r="CR53" s="57"/>
      <c r="CS53" s="203"/>
      <c r="CT53" s="186"/>
      <c r="CU53" s="186"/>
      <c r="CV53" s="186"/>
      <c r="CW53" s="57"/>
      <c r="CX53" s="203"/>
      <c r="CY53" s="186"/>
      <c r="CZ53" s="186"/>
      <c r="DA53" s="186"/>
      <c r="DB53" s="57"/>
      <c r="DC53" s="203"/>
      <c r="DD53" s="186"/>
      <c r="DE53" s="186"/>
      <c r="DF53" s="186"/>
      <c r="DG53" s="57"/>
      <c r="DH53" s="203"/>
      <c r="DI53" s="186"/>
      <c r="DJ53" s="186"/>
      <c r="DK53" s="186"/>
      <c r="DL53" s="57"/>
      <c r="DM53" s="204"/>
      <c r="DN53" s="205"/>
      <c r="DO53" s="205"/>
      <c r="DQ53" s="206"/>
      <c r="DR53" s="188">
        <f t="shared" si="64"/>
        <v>5</v>
      </c>
      <c r="DS53" s="188"/>
      <c r="DT53" s="189">
        <f t="shared" si="65"/>
        <v>0</v>
      </c>
      <c r="DU53" s="189"/>
      <c r="DV53" s="188">
        <f t="shared" si="66"/>
        <v>41</v>
      </c>
      <c r="DW53" s="183" t="e">
        <f t="shared" ca="1" si="67"/>
        <v>#NAME?</v>
      </c>
      <c r="DX53" s="207"/>
      <c r="DY53" s="190" t="e">
        <f t="shared" ca="1" si="68"/>
        <v>#NAME?</v>
      </c>
      <c r="DZ53" s="191" t="str">
        <f t="shared" si="69"/>
        <v/>
      </c>
      <c r="EA53" s="191" t="str">
        <f t="shared" si="70"/>
        <v/>
      </c>
      <c r="EB53" s="191" t="str">
        <f t="shared" si="71"/>
        <v/>
      </c>
      <c r="EC53" s="208" t="e">
        <f t="shared" ca="1" si="72"/>
        <v>#NAME?</v>
      </c>
      <c r="ED53" s="36" t="str">
        <f t="shared" si="73"/>
        <v>Equity - Common</v>
      </c>
      <c r="EE53" s="193">
        <f>COUNTIF($ED$2:$ED$92, ED53)/(COUNTIF($ED$2:$ED$92, "&lt;&gt;""") - COUNTIF($ED$2:$ED$92, ""))</f>
        <v>0.32222222222222224</v>
      </c>
      <c r="EF53" s="36" t="str">
        <f t="shared" si="74"/>
        <v>Early</v>
      </c>
      <c r="EG53" s="207"/>
      <c r="EH53" s="194" t="e">
        <f t="shared" ca="1" si="75"/>
        <v>#NAME?</v>
      </c>
      <c r="EI53" s="194" t="e">
        <f t="shared" ca="1" si="76"/>
        <v>#NAME?</v>
      </c>
      <c r="EJ53" s="209" t="e">
        <f t="shared" ca="1" si="77"/>
        <v>#NAME?</v>
      </c>
      <c r="EK53" s="208" t="e">
        <f t="shared" ca="1" si="78"/>
        <v>#NAME?</v>
      </c>
      <c r="EL53" s="36" t="str">
        <f t="shared" si="79"/>
        <v>No</v>
      </c>
      <c r="EM53" s="207"/>
      <c r="EN53" s="192">
        <f t="shared" si="80"/>
        <v>1.4761904761904763</v>
      </c>
      <c r="EO53" s="192">
        <f t="shared" si="81"/>
        <v>1</v>
      </c>
      <c r="EP53" s="209">
        <f t="shared" si="82"/>
        <v>2.4761904761904763</v>
      </c>
      <c r="EQ53" s="210">
        <f t="shared" si="83"/>
        <v>1.3738317757009346</v>
      </c>
      <c r="ER53" s="36" t="e">
        <f t="shared" ca="1" si="84"/>
        <v>#NAME?</v>
      </c>
      <c r="ES53" s="40">
        <f ca="1">COUNTIF($ER$2:$ER$92, ER53)/(COUNTIF($ER$2:$ER$92, "&lt;&gt;""") - COUNTIF($ER$2:$ER$92, ""))</f>
        <v>1</v>
      </c>
      <c r="ET53" s="36">
        <f t="shared" si="85"/>
        <v>1</v>
      </c>
      <c r="EU53" s="40">
        <f>COUNTIF($ET$2:$ET$92, ET53)/(COUNTIF($ET$2:$ET$92, "&lt;&gt;""") - COUNTIF($ET$2:$ET$92, ""))</f>
        <v>0.45555555555555555</v>
      </c>
      <c r="EV53" s="36">
        <f t="shared" si="86"/>
        <v>1</v>
      </c>
      <c r="EW53" s="40">
        <f>COUNTIF($EV$2:$EV$92, EV53)/(COUNTIF($EV$2:$EV$92, "&lt;&gt;""") - COUNTIF($EV$2:$EV$92, ""))</f>
        <v>7.7777777777777779E-2</v>
      </c>
      <c r="EX53" s="36" t="str">
        <f t="shared" si="87"/>
        <v>No</v>
      </c>
      <c r="EY53" s="40">
        <f>COUNTIF($EX$2:$EX$92, EX53)/(COUNTIF($EX$2:$EX$92, "&lt;&gt;""") - COUNTIF($EX$2:$EX$92, ""))</f>
        <v>0.72222222222222221</v>
      </c>
      <c r="EZ53" s="36" t="str">
        <f t="shared" ref="EZ53:FB53" si="157">BM53</f>
        <v>Yes</v>
      </c>
      <c r="FA53" s="36" t="str">
        <f t="shared" si="157"/>
        <v>Yes</v>
      </c>
      <c r="FB53" s="36" t="str">
        <f t="shared" si="157"/>
        <v>No</v>
      </c>
      <c r="FC53" s="207"/>
      <c r="FD53" s="36" t="str">
        <f t="shared" si="89"/>
        <v>Recurring</v>
      </c>
      <c r="FE53" s="40">
        <f>COUNTIF($FD$2:$FD$92, FD53)/(COUNTIF($FD$2:$FD$92, "&lt;&gt;""") - COUNTIF($FD$2:$FD$92, ""))</f>
        <v>0.4</v>
      </c>
      <c r="FF53" s="36" t="str">
        <f t="shared" si="90"/>
        <v>B2B</v>
      </c>
      <c r="FG53" s="40">
        <f>COUNTIF($FF$2:$FF$92, FF53)/(COUNTIF($FF$2:$FF$92, "&lt;&gt;""") - COUNTIF($FF$2:$FF$92, ""))</f>
        <v>0.24444444444444444</v>
      </c>
      <c r="FH53" s="36" t="str">
        <f t="shared" si="91"/>
        <v>High</v>
      </c>
      <c r="FI53" s="40">
        <f>COUNTIF($FH$2:$FH$92, FH53)/(COUNTIF($FH$2:$FH$92, "&lt;&gt;""") - COUNTIF($FH$2:$FH$92, ""))</f>
        <v>0.53333333333333333</v>
      </c>
      <c r="FJ53" s="36" t="str">
        <f t="shared" si="92"/>
        <v>High</v>
      </c>
      <c r="FK53" s="40">
        <f>COUNTIF($FJ$2:$FJ$92, FJ53)/(COUNTIF($FJ$2:$FJ$92, "&lt;&gt;""") - COUNTIF($FJ$2:$FJ$92, ""))</f>
        <v>0.58888888888888891</v>
      </c>
      <c r="FL53" s="207"/>
      <c r="FM53" s="192">
        <f t="shared" si="93"/>
        <v>5</v>
      </c>
      <c r="FN53" s="192" t="e">
        <f t="shared" ca="1" si="94"/>
        <v>#NAME?</v>
      </c>
      <c r="FO53" s="192" t="e">
        <f t="shared" ca="1" si="95"/>
        <v>#NAME?</v>
      </c>
      <c r="FP53" s="192" t="e">
        <f t="shared" ca="1" si="96"/>
        <v>#NAME?</v>
      </c>
      <c r="FQ53" s="209" t="e">
        <f t="shared" ca="1" si="97"/>
        <v>#NAME?</v>
      </c>
      <c r="FR53" s="208" t="e">
        <f t="shared" ca="1" si="98"/>
        <v>#NAME?</v>
      </c>
      <c r="FS53" s="36" t="str">
        <f t="shared" si="99"/>
        <v>Pre-Profit</v>
      </c>
      <c r="FT53" s="196">
        <f>COUNTIF($FS$2:$FS$92, FS53)/(COUNTIF($FS$2:$FS$92, "&lt;&gt;""") - COUNTIF($FZ$2:$FZ$92, ""))</f>
        <v>0.51111111111111107</v>
      </c>
      <c r="FU53" s="207"/>
      <c r="FV53" s="192">
        <f t="shared" si="100"/>
        <v>3</v>
      </c>
      <c r="FW53" s="197" t="e">
        <f t="shared" ca="1" si="101"/>
        <v>#NAME?</v>
      </c>
      <c r="FX53" s="209" t="e">
        <f t="shared" ca="1" si="102"/>
        <v>#NAME?</v>
      </c>
      <c r="FY53" s="211" t="e">
        <f t="shared" ca="1" si="103"/>
        <v>#NAME?</v>
      </c>
      <c r="FZ53" s="36" t="str">
        <f t="shared" si="104"/>
        <v>No</v>
      </c>
      <c r="GA53" s="196">
        <f>COUNTIF($FZ$2:$FZ$92, FZ53)/(COUNTIF($FZ$2:$FZ$92, "&lt;&gt;""") - COUNTIF($FZ$2:$FZ$92, ""))</f>
        <v>0.76666666666666672</v>
      </c>
      <c r="GB53" s="196" t="str">
        <f t="shared" si="105"/>
        <v>High</v>
      </c>
      <c r="GC53" s="196">
        <f>COUNTIF($GB$2:$GB$92, GB53)/(COUNTIF($GB$2:$GB$92, "&lt;&gt;""") - COUNTIF($GB$2:$GB$92, ""))</f>
        <v>0.43333333333333335</v>
      </c>
      <c r="GD53" s="196" t="str">
        <f t="shared" si="106"/>
        <v>Low</v>
      </c>
      <c r="GE53" s="196">
        <f>COUNTIF($GD$2:$GD$92, GD53)/(COUNTIF($GD$2:$GD$92, "&lt;&gt;""") - COUNTIF($GD$2:$GD$92, ""))</f>
        <v>0.18888888888888888</v>
      </c>
      <c r="GF53" s="207"/>
      <c r="GG53" s="36"/>
      <c r="GH53" s="209" t="e">
        <f t="shared" ca="1" si="107"/>
        <v>#NAME?</v>
      </c>
      <c r="GI53" s="212" t="e">
        <f t="shared" ca="1" si="108"/>
        <v>#NAME?</v>
      </c>
    </row>
    <row r="54" spans="1:191" ht="15.75" customHeight="1">
      <c r="A54" s="171"/>
      <c r="B54" s="171" t="s">
        <v>433</v>
      </c>
      <c r="C54" s="16">
        <v>1774152</v>
      </c>
      <c r="D54" s="233" t="s">
        <v>909</v>
      </c>
      <c r="E54" s="234">
        <v>43691.384027777778</v>
      </c>
      <c r="F54" s="16" t="s">
        <v>329</v>
      </c>
      <c r="G54" s="235" t="s">
        <v>910</v>
      </c>
      <c r="H54" s="235" t="s">
        <v>911</v>
      </c>
      <c r="I54" s="236">
        <v>43818</v>
      </c>
      <c r="J54" s="233" t="s">
        <v>912</v>
      </c>
      <c r="K54" s="233" t="s">
        <v>913</v>
      </c>
      <c r="M54" s="16" t="s">
        <v>229</v>
      </c>
      <c r="N54" s="16" t="s">
        <v>315</v>
      </c>
      <c r="O54" s="16" t="s">
        <v>30</v>
      </c>
      <c r="P54" s="16" t="s">
        <v>31</v>
      </c>
      <c r="Q54" s="16" t="s">
        <v>35</v>
      </c>
      <c r="S54" s="16" t="s">
        <v>269</v>
      </c>
      <c r="T54" s="237"/>
      <c r="U54" s="213"/>
      <c r="V54" s="54"/>
      <c r="W54" s="54">
        <v>35000000</v>
      </c>
      <c r="X54" s="226">
        <v>0</v>
      </c>
      <c r="Y54" s="55">
        <f t="shared" ref="Y54:Y289" si="158">IF(W54 &lt;&gt; 0, W54-(W54*X54), "")</f>
        <v>35000000</v>
      </c>
      <c r="Z54" s="274">
        <f t="shared" ref="Z54:Z289" si="159">MAX(V54,Y54)</f>
        <v>35000000</v>
      </c>
      <c r="AA54" s="183" t="e">
        <f t="shared" ref="AA54:AA289" ca="1" si="160">_xludf.IFS(
Z54&lt;1000000, "&lt; $1M",
Z54&lt;=2000000, "$1M - $2M",
Z54&lt;=4000000, "$2M - $4M",
Z54&lt;=6000000, "$4M - $6M",
Z54&lt;=8000000, "$6M - $8M",
Z54&lt;=10000000, "$8M - $10M",
Z54&lt;=12000000, "$10M - $12M",
Z54&lt;=14000000, "$12M - $14M",
Z54&lt;=16000000, "$14M - $16M",
Z54&lt;=18000000, "$16M - $18M",
Z54&lt;=20000000, "$18M - $20M",
Z54&lt;=22000000, "$20M - $22M",
Z54&lt;=24000000, "$22M - $24M",
Z54&lt;=26000000, "$24M - $26M",
Z54&lt;=28000000, "$26M - $28M",
Z54&lt;=30000000, "$28M - $30M",
Z54&lt;=32000000, "$30M - $32M",
Z54&lt;=34000000, "$32M - $34M",
Z54&lt;=36000000, "$34M - $36M",
Z54&lt;=38000000, "$36M - $38M",
Z54&lt;=40000000, "$38M - $40M",
Z54&gt;40000000, "&lt; $40M")</f>
        <v>#NAME?</v>
      </c>
      <c r="AB54" s="16" t="s">
        <v>36</v>
      </c>
      <c r="AC54" s="16" t="s">
        <v>218</v>
      </c>
      <c r="AD54" s="16" t="s">
        <v>180</v>
      </c>
      <c r="AE54" s="16" t="s">
        <v>227</v>
      </c>
      <c r="AF54" s="16" t="s">
        <v>39</v>
      </c>
      <c r="AG54" s="16" t="s">
        <v>181</v>
      </c>
      <c r="AH54" s="16" t="s">
        <v>190</v>
      </c>
      <c r="AI54" s="54"/>
      <c r="AJ54" s="278">
        <v>2171922408</v>
      </c>
      <c r="AK54" s="224" t="e">
        <f t="shared" ref="AK54:AK289" ca="1" si="161">_xludf.IFS(
AJ54&gt;=1000000000000, "&gt; $1T",
AJ54&gt;=500000000000, "$500B-$1T",
AJ54&gt;=250000000000, "$250B-$500B",
AJ54&gt;=100000000000, "$100B-$250B",
AJ54&gt;=50000000000, "$50B-$100B",
AJ54&gt;=25000000000, "$25B-$50B",
AJ54&gt;=10000000000, "$10B-$25B",
AJ54&gt;=5000000000, "$5B-$10B",
AJ54&gt;=1000000000, "$1B-$5B",
AJ54&gt;=500000000, "$500M-$1B",
AJ54&gt;=250000000, "$250M-$500M",
AJ54&gt;=100000000, "$100M-$250M",
AJ54&gt;=50000000, "$50M-$100M",
AJ54&gt;=25000000, "$25M-$50M",
AJ54&lt;25000000, "&lt; $25M")</f>
        <v>#NAME?</v>
      </c>
      <c r="AL54" s="278">
        <v>217192241</v>
      </c>
      <c r="AM54" s="224" t="e">
        <f t="shared" ref="AM54:AM289" ca="1" si="162">_xludf.IFS(
AL54&gt;=1000000000000, "&gt; $1T",
AL54&gt;=500000000000, "$500B-$1T",
AL54&gt;=250000000000, "$250B-$500B",
AL54&gt;=100000000000, "$100B-$250B",
AL54&gt;=50000000000, "$50B-$100B",
AL54&gt;=25000000000, "$25B-$50B",
AL54&gt;=10000000000, "$10B-$25B",
AL54&gt;=5000000000, "$5B-$10B",
AL54&gt;=1000000000, "$1B-$5B",
AL54&gt;=500000000, "$500M-$1B",
AL54&gt;=250000000, "$250M-$500M",
AL54&gt;=100000000, "$100M-$250M",
AL54&gt;=50000000, "$50M-$100M",
AL54&gt;=25000000, "$25M-$50M",
AL54&lt;25000000, "&lt; $25M")</f>
        <v>#NAME?</v>
      </c>
      <c r="AN54" s="278">
        <v>0.23499999999999999</v>
      </c>
      <c r="AO54" s="185" t="e">
        <f t="shared" ca="1" si="63"/>
        <v>#NAME?</v>
      </c>
      <c r="AP54" s="185" t="s">
        <v>211</v>
      </c>
      <c r="AQ54" s="16" t="s">
        <v>39</v>
      </c>
      <c r="AR54" s="16" t="s">
        <v>181</v>
      </c>
      <c r="AS54" s="16" t="s">
        <v>42</v>
      </c>
      <c r="AT54" s="159" t="s">
        <v>39</v>
      </c>
      <c r="AU54" s="159" t="s">
        <v>39</v>
      </c>
      <c r="AV54" s="16" t="s">
        <v>190</v>
      </c>
      <c r="AW54" s="16" t="s">
        <v>190</v>
      </c>
      <c r="AX54" s="16" t="s">
        <v>227</v>
      </c>
      <c r="AY54" s="16" t="s">
        <v>227</v>
      </c>
      <c r="AZ54" s="54">
        <v>0</v>
      </c>
      <c r="BA54" s="55" t="e">
        <f t="shared" ref="BA54:BA289" ca="1" si="163">_xludf.IFS(
AZ54&lt;10000, "&lt; $10K",
AZ54&lt;=50000, "$10K - $50K",
AZ54&lt;=100000, "$50K - $100K",
AZ54&lt;=500000, "$100K - $500K",
AZ54&lt;=1000000, "$500K - $1M",
AZ54&lt;=2000000, "$1M - $2M",
AZ54&lt;=3000000, "$2M - $3M",
AZ54&lt;=4000000, "$3M - $4M",
AZ54&lt;=5000000, "$4M - $5M",
AZ54&gt;5000000, "&gt; $5M")</f>
        <v>#NAME?</v>
      </c>
      <c r="BB54" s="278">
        <v>8874</v>
      </c>
      <c r="BC54" s="278">
        <v>2000000</v>
      </c>
      <c r="BD54" s="62" t="e">
        <f t="shared" ref="BD54:BD289" ca="1" si="164">_xludf.IFS(
BC54&lt;10000, "&lt; $10K",
BC54&lt;=50000, "$10K - $50K",
BC54&lt;=100000, "$50K - $100K",
BC54&lt;=500000, "$100K - $500K",
BC54&lt;=1000000, "$500K - $1M",
BC54&lt;=2000000, "$1M - $2M",
BC54&lt;=3000000, "$2M - $3M",
BC54&lt;=4000000, "$3M - $4M",
BC54&lt;=5000000, "$4M - $5M",
BC54&gt;5000000, "&gt; $5M")</f>
        <v>#NAME?</v>
      </c>
      <c r="BE54" s="277">
        <f t="shared" ref="BE54:BE289" si="165">IF(OR(BB54=0, BC54=0), 1, BB54/BC54)</f>
        <v>4.437E-3</v>
      </c>
      <c r="BF54" s="62" t="e">
        <f t="shared" ref="BF54:BF289" ca="1" si="166">_xludf.IFS(
BE54&lt;0.1, "&lt; 10%",
BE54&lt;=0.2, "10% - 20%",
BE54&lt;=0.3, "20% - 30%",
BE54&lt;=0.4, "30% - 40%",
BE54&lt;=0.5, "40% - 50%",
BE54&lt;=0.6, "50% - 60%",
BE54&lt;=0.7, "60% - 70%",
BE54&lt;=0.8, "70% - 80%",
BE54&lt;=0.9, "80% - 90%",
BE54&gt;0.9, "90% - 100%")</f>
        <v>#NAME?</v>
      </c>
      <c r="BG54" s="16" t="s">
        <v>202</v>
      </c>
      <c r="BI54" s="16" t="s">
        <v>227</v>
      </c>
      <c r="BJ54" s="16">
        <v>10</v>
      </c>
      <c r="BK54" s="278">
        <v>2</v>
      </c>
      <c r="BL54" s="16" t="s">
        <v>227</v>
      </c>
      <c r="BM54" s="16" t="s">
        <v>227</v>
      </c>
      <c r="BN54" s="16" t="s">
        <v>227</v>
      </c>
      <c r="BO54" s="16" t="s">
        <v>190</v>
      </c>
      <c r="BP54" s="16">
        <v>4</v>
      </c>
      <c r="BQ54" s="16">
        <v>10</v>
      </c>
      <c r="BR54" s="16">
        <v>5</v>
      </c>
      <c r="BS54" s="16">
        <v>3</v>
      </c>
      <c r="BT54" s="204"/>
      <c r="BU54" s="238">
        <v>6</v>
      </c>
      <c r="BV54" s="238">
        <v>0</v>
      </c>
      <c r="BW54" s="238">
        <v>31</v>
      </c>
      <c r="BX54" s="239" t="s">
        <v>227</v>
      </c>
      <c r="BY54" s="204"/>
      <c r="BZ54" s="239">
        <v>0</v>
      </c>
      <c r="CA54" s="239">
        <v>0</v>
      </c>
      <c r="CB54" s="239">
        <v>29</v>
      </c>
      <c r="CC54" s="239" t="s">
        <v>190</v>
      </c>
      <c r="CD54" s="204"/>
      <c r="CE54" s="187"/>
      <c r="CF54" s="187"/>
      <c r="CG54" s="187"/>
      <c r="CH54" s="187"/>
      <c r="CI54" s="204"/>
      <c r="CJ54" s="187"/>
      <c r="CK54" s="187"/>
      <c r="CL54" s="187"/>
      <c r="CM54" s="187"/>
      <c r="CN54" s="205"/>
      <c r="CO54" s="240"/>
      <c r="CP54" s="240"/>
      <c r="CQ54" s="240"/>
      <c r="CR54" s="187"/>
      <c r="CS54" s="204"/>
      <c r="CT54" s="240"/>
      <c r="CU54" s="240"/>
      <c r="CV54" s="240"/>
      <c r="CW54" s="187"/>
      <c r="CX54" s="204"/>
      <c r="CY54" s="240"/>
      <c r="CZ54" s="240"/>
      <c r="DA54" s="240"/>
      <c r="DB54" s="187"/>
      <c r="DC54" s="204"/>
      <c r="DD54" s="240"/>
      <c r="DE54" s="240"/>
      <c r="DF54" s="240"/>
      <c r="DG54" s="187"/>
      <c r="DH54" s="204"/>
      <c r="DI54" s="240"/>
      <c r="DJ54" s="240"/>
      <c r="DK54" s="240"/>
      <c r="DL54" s="187"/>
      <c r="DM54" s="204"/>
      <c r="DN54" s="205"/>
      <c r="DO54" s="205"/>
      <c r="DQ54" s="206"/>
      <c r="DR54" s="188">
        <f t="shared" si="64"/>
        <v>3</v>
      </c>
      <c r="DS54" s="188"/>
      <c r="DT54" s="189">
        <f t="shared" si="65"/>
        <v>0</v>
      </c>
      <c r="DU54" s="189"/>
      <c r="DV54" s="188">
        <f t="shared" si="66"/>
        <v>30</v>
      </c>
      <c r="DW54" s="183" t="e">
        <f t="shared" ca="1" si="67"/>
        <v>#NAME?</v>
      </c>
      <c r="DX54" s="207"/>
      <c r="DY54" s="190" t="e">
        <f t="shared" ca="1" si="68"/>
        <v>#NAME?</v>
      </c>
      <c r="DZ54" s="191">
        <f t="shared" si="69"/>
        <v>1</v>
      </c>
      <c r="EA54" s="191" t="str">
        <f t="shared" si="70"/>
        <v/>
      </c>
      <c r="EB54" s="191" t="str">
        <f t="shared" si="71"/>
        <v/>
      </c>
      <c r="EC54" s="208" t="e">
        <f t="shared" ca="1" si="72"/>
        <v>#NAME?</v>
      </c>
      <c r="ED54" s="36" t="str">
        <f t="shared" si="73"/>
        <v>SAFE</v>
      </c>
      <c r="EE54" s="193">
        <f>COUNTIF($ED$2:$ED$92, ED54)/(COUNTIF($ED$2:$ED$92, "&lt;&gt;""") - COUNTIF($ED$2:$ED$92, ""))</f>
        <v>0.37777777777777777</v>
      </c>
      <c r="EF54" s="36" t="str">
        <f t="shared" si="74"/>
        <v>Early</v>
      </c>
      <c r="EG54" s="207"/>
      <c r="EH54" s="194" t="e">
        <f t="shared" ca="1" si="75"/>
        <v>#NAME?</v>
      </c>
      <c r="EI54" s="194" t="e">
        <f t="shared" ca="1" si="76"/>
        <v>#NAME?</v>
      </c>
      <c r="EJ54" s="209" t="e">
        <f t="shared" ca="1" si="77"/>
        <v>#NAME?</v>
      </c>
      <c r="EK54" s="208" t="e">
        <f t="shared" ca="1" si="78"/>
        <v>#NAME?</v>
      </c>
      <c r="EL54" s="36" t="str">
        <f t="shared" si="79"/>
        <v>No</v>
      </c>
      <c r="EM54" s="207"/>
      <c r="EN54" s="192">
        <f t="shared" si="80"/>
        <v>1.2857142857142856</v>
      </c>
      <c r="EO54" s="192">
        <f t="shared" si="81"/>
        <v>1</v>
      </c>
      <c r="EP54" s="209">
        <f t="shared" si="82"/>
        <v>2.2857142857142856</v>
      </c>
      <c r="EQ54" s="210">
        <f t="shared" si="83"/>
        <v>1.2242990654205608</v>
      </c>
      <c r="ER54" s="36" t="e">
        <f t="shared" ca="1" si="84"/>
        <v>#NAME?</v>
      </c>
      <c r="ES54" s="40">
        <f ca="1">COUNTIF($ER$2:$ER$92, ER54)/(COUNTIF($ER$2:$ER$92, "&lt;&gt;""") - COUNTIF($ER$2:$ER$92, ""))</f>
        <v>1</v>
      </c>
      <c r="ET54" s="36">
        <f t="shared" si="85"/>
        <v>2</v>
      </c>
      <c r="EU54" s="40">
        <f>COUNTIF($ET$2:$ET$92, ET54)/(COUNTIF($ET$2:$ET$92, "&lt;&gt;""") - COUNTIF($ET$2:$ET$92, ""))</f>
        <v>0.45555555555555555</v>
      </c>
      <c r="EV54" s="36">
        <f t="shared" si="86"/>
        <v>10</v>
      </c>
      <c r="EW54" s="40">
        <f>COUNTIF($EV$2:$EV$92, EV54)/(COUNTIF($EV$2:$EV$92, "&lt;&gt;""") - COUNTIF($EV$2:$EV$92, ""))</f>
        <v>2.2222222222222223E-2</v>
      </c>
      <c r="EX54" s="36" t="str">
        <f t="shared" si="87"/>
        <v>Yes</v>
      </c>
      <c r="EY54" s="40">
        <f>COUNTIF($EX$2:$EX$92, EX54)/(COUNTIF($EX$2:$EX$92, "&lt;&gt;""") - COUNTIF($EX$2:$EX$92, ""))</f>
        <v>0.27777777777777779</v>
      </c>
      <c r="EZ54" s="36" t="str">
        <f t="shared" ref="EZ54:FB54" si="167">BM54</f>
        <v>Yes</v>
      </c>
      <c r="FA54" s="36" t="str">
        <f t="shared" si="167"/>
        <v>Yes</v>
      </c>
      <c r="FB54" s="36" t="str">
        <f t="shared" si="167"/>
        <v>No</v>
      </c>
      <c r="FC54" s="207"/>
      <c r="FD54" s="36" t="str">
        <f t="shared" si="89"/>
        <v>Transactional</v>
      </c>
      <c r="FE54" s="40">
        <f>COUNTIF($FD$2:$FD$92, FD54)/(COUNTIF($FD$2:$FD$92, "&lt;&gt;""") - COUNTIF($FD$2:$FD$92, ""))</f>
        <v>0.6</v>
      </c>
      <c r="FF54" s="36" t="str">
        <f t="shared" si="90"/>
        <v>B2B/B2C</v>
      </c>
      <c r="FG54" s="40">
        <f>COUNTIF($FF$2:$FF$92, FF54)/(COUNTIF($FF$2:$FF$92, "&lt;&gt;""") - COUNTIF($FF$2:$FF$92, ""))</f>
        <v>0.27777777777777779</v>
      </c>
      <c r="FH54" s="36" t="str">
        <f t="shared" si="91"/>
        <v>High</v>
      </c>
      <c r="FI54" s="40">
        <f>COUNTIF($FH$2:$FH$92, FH54)/(COUNTIF($FH$2:$FH$92, "&lt;&gt;""") - COUNTIF($FH$2:$FH$92, ""))</f>
        <v>0.53333333333333333</v>
      </c>
      <c r="FJ54" s="36" t="str">
        <f t="shared" si="92"/>
        <v>Low</v>
      </c>
      <c r="FK54" s="40">
        <f>COUNTIF($FJ$2:$FJ$92, FJ54)/(COUNTIF($FJ$2:$FJ$92, "&lt;&gt;""") - COUNTIF($FJ$2:$FJ$92, ""))</f>
        <v>0.41111111111111109</v>
      </c>
      <c r="FL54" s="207"/>
      <c r="FM54" s="192">
        <f t="shared" si="93"/>
        <v>5</v>
      </c>
      <c r="FN54" s="192" t="e">
        <f t="shared" ca="1" si="94"/>
        <v>#NAME?</v>
      </c>
      <c r="FO54" s="192" t="e">
        <f t="shared" ca="1" si="95"/>
        <v>#NAME?</v>
      </c>
      <c r="FP54" s="192" t="e">
        <f t="shared" ca="1" si="96"/>
        <v>#NAME?</v>
      </c>
      <c r="FQ54" s="209" t="e">
        <f t="shared" ca="1" si="97"/>
        <v>#NAME?</v>
      </c>
      <c r="FR54" s="208" t="e">
        <f t="shared" ca="1" si="98"/>
        <v>#NAME?</v>
      </c>
      <c r="FS54" s="36" t="str">
        <f t="shared" si="99"/>
        <v>Pre-Profit</v>
      </c>
      <c r="FT54" s="196">
        <f>COUNTIF($FS$2:$FS$92, FS54)/(COUNTIF($FS$2:$FS$92, "&lt;&gt;""") - COUNTIF($FZ$2:$FZ$92, ""))</f>
        <v>0.51111111111111107</v>
      </c>
      <c r="FU54" s="207"/>
      <c r="FV54" s="192">
        <f t="shared" si="100"/>
        <v>3</v>
      </c>
      <c r="FW54" s="197" t="e">
        <f t="shared" ca="1" si="101"/>
        <v>#NAME?</v>
      </c>
      <c r="FX54" s="209" t="e">
        <f t="shared" ca="1" si="102"/>
        <v>#NAME?</v>
      </c>
      <c r="FY54" s="211" t="e">
        <f t="shared" ca="1" si="103"/>
        <v>#NAME?</v>
      </c>
      <c r="FZ54" s="36" t="str">
        <f t="shared" si="104"/>
        <v>No</v>
      </c>
      <c r="GA54" s="196">
        <f>COUNTIF($FZ$2:$FZ$92, FZ54)/(COUNTIF($FZ$2:$FZ$92, "&lt;&gt;""") - COUNTIF($FZ$2:$FZ$92, ""))</f>
        <v>0.76666666666666672</v>
      </c>
      <c r="GB54" s="196" t="str">
        <f t="shared" si="105"/>
        <v>High</v>
      </c>
      <c r="GC54" s="196">
        <f>COUNTIF($GB$2:$GB$92, GB54)/(COUNTIF($GB$2:$GB$92, "&lt;&gt;""") - COUNTIF($GB$2:$GB$92, ""))</f>
        <v>0.43333333333333335</v>
      </c>
      <c r="GD54" s="196" t="str">
        <f t="shared" si="106"/>
        <v>High</v>
      </c>
      <c r="GE54" s="196">
        <f>COUNTIF($GD$2:$GD$92, GD54)/(COUNTIF($GD$2:$GD$92, "&lt;&gt;""") - COUNTIF($GD$2:$GD$92, ""))</f>
        <v>0.8</v>
      </c>
      <c r="GF54" s="207"/>
      <c r="GG54" s="36"/>
      <c r="GH54" s="209" t="e">
        <f t="shared" ca="1" si="107"/>
        <v>#NAME?</v>
      </c>
      <c r="GI54" s="212" t="e">
        <f t="shared" ca="1" si="108"/>
        <v>#NAME?</v>
      </c>
    </row>
    <row r="55" spans="1:191" ht="15.75" customHeight="1">
      <c r="A55" s="171"/>
      <c r="B55" s="171" t="s">
        <v>433</v>
      </c>
      <c r="C55" s="16">
        <v>1725567</v>
      </c>
      <c r="D55" s="233" t="s">
        <v>914</v>
      </c>
      <c r="E55" s="234">
        <v>43696.404166666667</v>
      </c>
      <c r="F55" s="16" t="s">
        <v>316</v>
      </c>
      <c r="G55" s="235" t="s">
        <v>915</v>
      </c>
      <c r="H55" s="235" t="s">
        <v>916</v>
      </c>
      <c r="I55" s="236">
        <v>43682</v>
      </c>
      <c r="J55" s="233" t="s">
        <v>917</v>
      </c>
      <c r="K55" s="233" t="s">
        <v>917</v>
      </c>
      <c r="M55" s="16" t="s">
        <v>918</v>
      </c>
      <c r="N55" s="16" t="s">
        <v>194</v>
      </c>
      <c r="O55" s="16" t="s">
        <v>30</v>
      </c>
      <c r="P55" s="16" t="s">
        <v>197</v>
      </c>
      <c r="Q55" s="16" t="s">
        <v>35</v>
      </c>
      <c r="S55" s="16" t="s">
        <v>216</v>
      </c>
      <c r="T55" s="237"/>
      <c r="U55" s="213"/>
      <c r="V55" s="54">
        <v>21959058</v>
      </c>
      <c r="W55" s="54"/>
      <c r="X55" s="226"/>
      <c r="Y55" s="55" t="str">
        <f t="shared" si="158"/>
        <v/>
      </c>
      <c r="Z55" s="274">
        <f t="shared" si="159"/>
        <v>21959058</v>
      </c>
      <c r="AA55" s="183" t="e">
        <f t="shared" ca="1" si="160"/>
        <v>#NAME?</v>
      </c>
      <c r="AB55" s="16" t="s">
        <v>36</v>
      </c>
      <c r="AC55" s="16" t="s">
        <v>179</v>
      </c>
      <c r="AD55" s="16" t="s">
        <v>180</v>
      </c>
      <c r="AE55" s="16" t="s">
        <v>190</v>
      </c>
      <c r="AF55" s="16" t="s">
        <v>39</v>
      </c>
      <c r="AG55" s="16" t="s">
        <v>39</v>
      </c>
      <c r="AH55" s="16" t="s">
        <v>190</v>
      </c>
      <c r="AI55" s="54"/>
      <c r="AJ55" s="278">
        <v>4160000000</v>
      </c>
      <c r="AK55" s="224" t="e">
        <f t="shared" ca="1" si="161"/>
        <v>#NAME?</v>
      </c>
      <c r="AL55" s="278">
        <v>748800000</v>
      </c>
      <c r="AM55" s="224" t="e">
        <f t="shared" ca="1" si="162"/>
        <v>#NAME?</v>
      </c>
      <c r="AN55" s="278">
        <v>0.08</v>
      </c>
      <c r="AO55" s="185" t="e">
        <f t="shared" ca="1" si="63"/>
        <v>#NAME?</v>
      </c>
      <c r="AP55" s="185" t="s">
        <v>192</v>
      </c>
      <c r="AQ55" s="16" t="s">
        <v>39</v>
      </c>
      <c r="AR55" s="16" t="s">
        <v>181</v>
      </c>
      <c r="AS55" s="16" t="s">
        <v>42</v>
      </c>
      <c r="AT55" s="159" t="s">
        <v>39</v>
      </c>
      <c r="AU55" s="159" t="s">
        <v>181</v>
      </c>
      <c r="AV55" s="16" t="s">
        <v>227</v>
      </c>
      <c r="AW55" s="16" t="s">
        <v>227</v>
      </c>
      <c r="AX55" s="16" t="s">
        <v>190</v>
      </c>
      <c r="AY55" s="16" t="s">
        <v>190</v>
      </c>
      <c r="AZ55" s="54">
        <v>0</v>
      </c>
      <c r="BA55" s="55" t="e">
        <f t="shared" ca="1" si="163"/>
        <v>#NAME?</v>
      </c>
      <c r="BB55" s="278">
        <v>26434</v>
      </c>
      <c r="BC55" s="278">
        <v>4500000</v>
      </c>
      <c r="BD55" s="62" t="e">
        <f t="shared" ca="1" si="164"/>
        <v>#NAME?</v>
      </c>
      <c r="BE55" s="277">
        <f t="shared" si="165"/>
        <v>5.8742222222222225E-3</v>
      </c>
      <c r="BF55" s="62" t="e">
        <f t="shared" ca="1" si="166"/>
        <v>#NAME?</v>
      </c>
      <c r="BG55" s="16" t="s">
        <v>43</v>
      </c>
      <c r="BH55" s="16" t="s">
        <v>203</v>
      </c>
      <c r="BI55" s="16" t="s">
        <v>190</v>
      </c>
      <c r="BJ55" s="16">
        <v>0</v>
      </c>
      <c r="BK55" s="278">
        <v>1</v>
      </c>
      <c r="BL55" s="176" t="s">
        <v>190</v>
      </c>
      <c r="BM55" s="16" t="s">
        <v>190</v>
      </c>
      <c r="BN55" s="16" t="s">
        <v>190</v>
      </c>
      <c r="BO55" s="16" t="s">
        <v>190</v>
      </c>
      <c r="BP55" s="16">
        <v>2</v>
      </c>
      <c r="BQ55" s="16">
        <v>10</v>
      </c>
      <c r="BR55" s="16">
        <v>0</v>
      </c>
      <c r="BS55" s="16">
        <v>2</v>
      </c>
      <c r="BT55" s="204"/>
      <c r="BU55" s="238">
        <v>26</v>
      </c>
      <c r="BV55" s="238">
        <v>0</v>
      </c>
      <c r="BW55" s="238">
        <v>58</v>
      </c>
      <c r="BX55" s="239" t="s">
        <v>190</v>
      </c>
      <c r="BY55" s="204"/>
      <c r="BZ55" s="238"/>
      <c r="CA55" s="238"/>
      <c r="CB55" s="238"/>
      <c r="CC55" s="239"/>
      <c r="CD55" s="204"/>
      <c r="CE55" s="187"/>
      <c r="CF55" s="187"/>
      <c r="CG55" s="187"/>
      <c r="CH55" s="187"/>
      <c r="CI55" s="204"/>
      <c r="CJ55" s="187"/>
      <c r="CK55" s="187"/>
      <c r="CL55" s="187"/>
      <c r="CM55" s="187"/>
      <c r="CN55" s="205"/>
      <c r="CO55" s="187"/>
      <c r="CP55" s="187"/>
      <c r="CQ55" s="187"/>
      <c r="CR55" s="187"/>
      <c r="CS55" s="204"/>
      <c r="CT55" s="187"/>
      <c r="CU55" s="187"/>
      <c r="CV55" s="187"/>
      <c r="CW55" s="187"/>
      <c r="CX55" s="204"/>
      <c r="CY55" s="187"/>
      <c r="CZ55" s="187"/>
      <c r="DA55" s="187"/>
      <c r="DB55" s="187"/>
      <c r="DC55" s="204"/>
      <c r="DD55" s="187"/>
      <c r="DE55" s="187"/>
      <c r="DF55" s="187"/>
      <c r="DG55" s="187"/>
      <c r="DH55" s="204"/>
      <c r="DI55" s="187"/>
      <c r="DJ55" s="187"/>
      <c r="DK55" s="187"/>
      <c r="DL55" s="187"/>
      <c r="DM55" s="204"/>
      <c r="DN55" s="205"/>
      <c r="DO55" s="205"/>
      <c r="DQ55" s="206"/>
      <c r="DR55" s="188">
        <f t="shared" si="64"/>
        <v>26</v>
      </c>
      <c r="DS55" s="188"/>
      <c r="DT55" s="189">
        <f t="shared" si="65"/>
        <v>0</v>
      </c>
      <c r="DU55" s="189"/>
      <c r="DV55" s="188">
        <f t="shared" si="66"/>
        <v>58</v>
      </c>
      <c r="DW55" s="183" t="e">
        <f t="shared" ca="1" si="67"/>
        <v>#NAME?</v>
      </c>
      <c r="DX55" s="207"/>
      <c r="DY55" s="190" t="e">
        <f t="shared" ca="1" si="68"/>
        <v>#NAME?</v>
      </c>
      <c r="DZ55" s="191" t="str">
        <f t="shared" si="69"/>
        <v/>
      </c>
      <c r="EA55" s="191" t="str">
        <f t="shared" si="70"/>
        <v/>
      </c>
      <c r="EB55" s="191" t="str">
        <f t="shared" si="71"/>
        <v/>
      </c>
      <c r="EC55" s="208" t="e">
        <f t="shared" ca="1" si="72"/>
        <v>#NAME?</v>
      </c>
      <c r="ED55" s="36" t="str">
        <f t="shared" si="73"/>
        <v>Equity - Common</v>
      </c>
      <c r="EE55" s="193">
        <f>COUNTIF($ED$2:$ED$92, ED55)/(COUNTIF($ED$2:$ED$92, "&lt;&gt;""") - COUNTIF($ED$2:$ED$92, ""))</f>
        <v>0.32222222222222224</v>
      </c>
      <c r="EF55" s="36" t="str">
        <f t="shared" si="74"/>
        <v>Early</v>
      </c>
      <c r="EG55" s="207"/>
      <c r="EH55" s="194" t="e">
        <f t="shared" ca="1" si="75"/>
        <v>#NAME?</v>
      </c>
      <c r="EI55" s="194" t="e">
        <f t="shared" ca="1" si="76"/>
        <v>#NAME?</v>
      </c>
      <c r="EJ55" s="209" t="e">
        <f t="shared" ca="1" si="77"/>
        <v>#NAME?</v>
      </c>
      <c r="EK55" s="208" t="e">
        <f t="shared" ca="1" si="78"/>
        <v>#NAME?</v>
      </c>
      <c r="EL55" s="36" t="str">
        <f t="shared" si="79"/>
        <v>Yes</v>
      </c>
      <c r="EM55" s="207"/>
      <c r="EN55" s="192">
        <f t="shared" si="80"/>
        <v>3.4761904761904763</v>
      </c>
      <c r="EO55" s="192">
        <f t="shared" si="81"/>
        <v>1</v>
      </c>
      <c r="EP55" s="209">
        <f t="shared" si="82"/>
        <v>4.4761904761904763</v>
      </c>
      <c r="EQ55" s="210">
        <f t="shared" si="83"/>
        <v>2.94392523364486</v>
      </c>
      <c r="ER55" s="36" t="e">
        <f t="shared" ca="1" si="84"/>
        <v>#NAME?</v>
      </c>
      <c r="ES55" s="40">
        <f ca="1">COUNTIF($ER$2:$ER$92, ER55)/(COUNTIF($ER$2:$ER$92, "&lt;&gt;""") - COUNTIF($ER$2:$ER$92, ""))</f>
        <v>1</v>
      </c>
      <c r="ET55" s="36">
        <f t="shared" si="85"/>
        <v>1</v>
      </c>
      <c r="EU55" s="40">
        <f>COUNTIF($ET$2:$ET$92, ET55)/(COUNTIF($ET$2:$ET$92, "&lt;&gt;""") - COUNTIF($ET$2:$ET$92, ""))</f>
        <v>0.45555555555555555</v>
      </c>
      <c r="EV55" s="36">
        <f t="shared" si="86"/>
        <v>10</v>
      </c>
      <c r="EW55" s="40">
        <f>COUNTIF($EV$2:$EV$92, EV55)/(COUNTIF($EV$2:$EV$92, "&lt;&gt;""") - COUNTIF($EV$2:$EV$92, ""))</f>
        <v>2.2222222222222223E-2</v>
      </c>
      <c r="EX55" s="36" t="str">
        <f t="shared" si="87"/>
        <v>No</v>
      </c>
      <c r="EY55" s="40">
        <f>COUNTIF($EX$2:$EX$92, EX55)/(COUNTIF($EX$2:$EX$92, "&lt;&gt;""") - COUNTIF($EX$2:$EX$92, ""))</f>
        <v>0.72222222222222221</v>
      </c>
      <c r="EZ55" s="36" t="str">
        <f t="shared" ref="EZ55:FB55" si="168">BM55</f>
        <v>No</v>
      </c>
      <c r="FA55" s="36" t="str">
        <f t="shared" si="168"/>
        <v>No</v>
      </c>
      <c r="FB55" s="36" t="str">
        <f t="shared" si="168"/>
        <v>No</v>
      </c>
      <c r="FC55" s="207"/>
      <c r="FD55" s="36" t="str">
        <f t="shared" si="89"/>
        <v>Transactional</v>
      </c>
      <c r="FE55" s="40">
        <f>COUNTIF($FD$2:$FD$92, FD55)/(COUNTIF($FD$2:$FD$92, "&lt;&gt;""") - COUNTIF($FD$2:$FD$92, ""))</f>
        <v>0.6</v>
      </c>
      <c r="FF55" s="36" t="str">
        <f t="shared" si="90"/>
        <v>B2C</v>
      </c>
      <c r="FG55" s="40">
        <f>COUNTIF($FF$2:$FF$92, FF55)/(COUNTIF($FF$2:$FF$92, "&lt;&gt;""") - COUNTIF($FF$2:$FF$92, ""))</f>
        <v>0.41111111111111109</v>
      </c>
      <c r="FH55" s="36" t="str">
        <f t="shared" si="91"/>
        <v>High</v>
      </c>
      <c r="FI55" s="40">
        <f>COUNTIF($FH$2:$FH$92, FH55)/(COUNTIF($FH$2:$FH$92, "&lt;&gt;""") - COUNTIF($FH$2:$FH$92, ""))</f>
        <v>0.53333333333333333</v>
      </c>
      <c r="FJ55" s="36" t="str">
        <f t="shared" si="92"/>
        <v>High</v>
      </c>
      <c r="FK55" s="40">
        <f>COUNTIF($FJ$2:$FJ$92, FJ55)/(COUNTIF($FJ$2:$FJ$92, "&lt;&gt;""") - COUNTIF($FJ$2:$FJ$92, ""))</f>
        <v>0.58888888888888891</v>
      </c>
      <c r="FL55" s="207"/>
      <c r="FM55" s="192">
        <f t="shared" si="93"/>
        <v>1</v>
      </c>
      <c r="FN55" s="192" t="e">
        <f t="shared" ca="1" si="94"/>
        <v>#NAME?</v>
      </c>
      <c r="FO55" s="192" t="e">
        <f t="shared" ca="1" si="95"/>
        <v>#NAME?</v>
      </c>
      <c r="FP55" s="192" t="e">
        <f t="shared" ca="1" si="96"/>
        <v>#NAME?</v>
      </c>
      <c r="FQ55" s="209" t="e">
        <f t="shared" ca="1" si="97"/>
        <v>#NAME?</v>
      </c>
      <c r="FR55" s="208" t="e">
        <f t="shared" ca="1" si="98"/>
        <v>#NAME?</v>
      </c>
      <c r="FS55" s="36" t="str">
        <f t="shared" si="99"/>
        <v>Pre-Product</v>
      </c>
      <c r="FT55" s="196">
        <f>COUNTIF($FS$2:$FS$92, FS55)/(COUNTIF($FS$2:$FS$92, "&lt;&gt;""") - COUNTIF($FZ$2:$FZ$92, ""))</f>
        <v>0.22222222222222221</v>
      </c>
      <c r="FU55" s="207"/>
      <c r="FV55" s="192">
        <f t="shared" si="100"/>
        <v>3</v>
      </c>
      <c r="FW55" s="197" t="e">
        <f t="shared" ca="1" si="101"/>
        <v>#NAME?</v>
      </c>
      <c r="FX55" s="209" t="e">
        <f t="shared" ca="1" si="102"/>
        <v>#NAME?</v>
      </c>
      <c r="FY55" s="211" t="e">
        <f t="shared" ca="1" si="103"/>
        <v>#NAME?</v>
      </c>
      <c r="FZ55" s="36" t="str">
        <f t="shared" si="104"/>
        <v>Yes</v>
      </c>
      <c r="GA55" s="196">
        <f>COUNTIF($FZ$2:$FZ$92, FZ55)/(COUNTIF($FZ$2:$FZ$92, "&lt;&gt;""") - COUNTIF($FZ$2:$FZ$92, ""))</f>
        <v>0.23333333333333334</v>
      </c>
      <c r="GB55" s="196" t="str">
        <f t="shared" si="105"/>
        <v>High</v>
      </c>
      <c r="GC55" s="196">
        <f>COUNTIF($GB$2:$GB$92, GB55)/(COUNTIF($GB$2:$GB$92, "&lt;&gt;""") - COUNTIF($GB$2:$GB$92, ""))</f>
        <v>0.43333333333333335</v>
      </c>
      <c r="GD55" s="196" t="str">
        <f t="shared" si="106"/>
        <v>Low</v>
      </c>
      <c r="GE55" s="196">
        <f>COUNTIF($GD$2:$GD$92, GD55)/(COUNTIF($GD$2:$GD$92, "&lt;&gt;""") - COUNTIF($GD$2:$GD$92, ""))</f>
        <v>0.18888888888888888</v>
      </c>
      <c r="GF55" s="207"/>
      <c r="GG55" s="36"/>
      <c r="GH55" s="209" t="e">
        <f t="shared" ca="1" si="107"/>
        <v>#NAME?</v>
      </c>
      <c r="GI55" s="212" t="e">
        <f t="shared" ca="1" si="108"/>
        <v>#NAME?</v>
      </c>
    </row>
    <row r="56" spans="1:191" ht="15.75" customHeight="1">
      <c r="A56" s="171"/>
      <c r="B56" s="171" t="s">
        <v>433</v>
      </c>
      <c r="C56" s="16">
        <v>1785391</v>
      </c>
      <c r="D56" s="233" t="s">
        <v>919</v>
      </c>
      <c r="E56" s="234">
        <v>43698.486111111109</v>
      </c>
      <c r="F56" s="16" t="s">
        <v>312</v>
      </c>
      <c r="G56" s="235" t="s">
        <v>920</v>
      </c>
      <c r="H56" s="235" t="s">
        <v>921</v>
      </c>
      <c r="I56" s="236">
        <v>43698</v>
      </c>
      <c r="J56" s="233" t="s">
        <v>922</v>
      </c>
      <c r="K56" s="233" t="s">
        <v>923</v>
      </c>
      <c r="M56" s="29" t="s">
        <v>331</v>
      </c>
      <c r="N56" s="16" t="s">
        <v>328</v>
      </c>
      <c r="O56" s="16" t="s">
        <v>30</v>
      </c>
      <c r="P56" s="16" t="s">
        <v>31</v>
      </c>
      <c r="Q56" s="16" t="s">
        <v>35</v>
      </c>
      <c r="S56" s="16" t="s">
        <v>232</v>
      </c>
      <c r="T56" s="237"/>
      <c r="U56" s="213"/>
      <c r="V56" s="54">
        <v>20000000</v>
      </c>
      <c r="W56" s="54"/>
      <c r="X56" s="226"/>
      <c r="Y56" s="55" t="str">
        <f t="shared" si="158"/>
        <v/>
      </c>
      <c r="Z56" s="274">
        <f t="shared" si="159"/>
        <v>20000000</v>
      </c>
      <c r="AA56" s="183" t="e">
        <f t="shared" ca="1" si="160"/>
        <v>#NAME?</v>
      </c>
      <c r="AB56" s="16" t="s">
        <v>36</v>
      </c>
      <c r="AC56" s="16" t="s">
        <v>179</v>
      </c>
      <c r="AD56" s="16" t="s">
        <v>180</v>
      </c>
      <c r="AE56" s="16" t="s">
        <v>190</v>
      </c>
      <c r="AF56" s="16" t="s">
        <v>39</v>
      </c>
      <c r="AG56" s="16" t="s">
        <v>39</v>
      </c>
      <c r="AH56" s="16" t="s">
        <v>190</v>
      </c>
      <c r="AI56" s="54"/>
      <c r="AJ56" s="278">
        <v>20000000</v>
      </c>
      <c r="AK56" s="224" t="e">
        <f t="shared" ca="1" si="161"/>
        <v>#NAME?</v>
      </c>
      <c r="AL56" s="278">
        <v>20000000</v>
      </c>
      <c r="AM56" s="224" t="e">
        <f t="shared" ca="1" si="162"/>
        <v>#NAME?</v>
      </c>
      <c r="AN56" s="278">
        <v>0</v>
      </c>
      <c r="AO56" s="185" t="e">
        <f t="shared" ca="1" si="63"/>
        <v>#NAME?</v>
      </c>
      <c r="AP56" s="185" t="s">
        <v>264</v>
      </c>
      <c r="AQ56" s="16" t="s">
        <v>181</v>
      </c>
      <c r="AR56" s="16" t="s">
        <v>181</v>
      </c>
      <c r="AS56" s="16" t="s">
        <v>42</v>
      </c>
      <c r="AT56" s="159" t="s">
        <v>39</v>
      </c>
      <c r="AU56" s="159" t="s">
        <v>39</v>
      </c>
      <c r="AV56" s="16" t="s">
        <v>190</v>
      </c>
      <c r="AW56" s="16" t="s">
        <v>190</v>
      </c>
      <c r="AX56" s="16" t="s">
        <v>190</v>
      </c>
      <c r="AY56" s="16" t="s">
        <v>190</v>
      </c>
      <c r="AZ56" s="54">
        <v>0</v>
      </c>
      <c r="BA56" s="55" t="e">
        <f t="shared" ca="1" si="163"/>
        <v>#NAME?</v>
      </c>
      <c r="BB56" s="278">
        <v>5333</v>
      </c>
      <c r="BC56" s="278">
        <v>0</v>
      </c>
      <c r="BD56" s="62" t="e">
        <f t="shared" ca="1" si="164"/>
        <v>#NAME?</v>
      </c>
      <c r="BE56" s="277">
        <f t="shared" si="165"/>
        <v>1</v>
      </c>
      <c r="BF56" s="62" t="e">
        <f t="shared" ca="1" si="166"/>
        <v>#NAME?</v>
      </c>
      <c r="BG56" s="16" t="s">
        <v>43</v>
      </c>
      <c r="BI56" s="16" t="s">
        <v>190</v>
      </c>
      <c r="BJ56" s="16">
        <v>0</v>
      </c>
      <c r="BK56" s="278">
        <v>1</v>
      </c>
      <c r="BL56" s="176" t="s">
        <v>190</v>
      </c>
      <c r="BM56" s="16" t="s">
        <v>190</v>
      </c>
      <c r="BN56" s="16" t="s">
        <v>227</v>
      </c>
      <c r="BO56" s="16" t="s">
        <v>190</v>
      </c>
      <c r="BP56" s="16">
        <v>1</v>
      </c>
      <c r="BQ56" s="16">
        <v>1</v>
      </c>
      <c r="BR56" s="16">
        <v>0</v>
      </c>
      <c r="BS56" s="16">
        <v>0</v>
      </c>
      <c r="BT56" s="204"/>
      <c r="BU56" s="238">
        <v>0</v>
      </c>
      <c r="BV56" s="238">
        <v>0</v>
      </c>
      <c r="BW56" s="238">
        <v>48</v>
      </c>
      <c r="BX56" s="239" t="s">
        <v>190</v>
      </c>
      <c r="BY56" s="204"/>
      <c r="BZ56" s="238"/>
      <c r="CA56" s="238"/>
      <c r="CB56" s="238"/>
      <c r="CC56" s="239"/>
      <c r="CD56" s="204"/>
      <c r="CE56" s="187"/>
      <c r="CF56" s="187"/>
      <c r="CG56" s="187"/>
      <c r="CH56" s="187"/>
      <c r="CI56" s="204"/>
      <c r="CJ56" s="187"/>
      <c r="CK56" s="187"/>
      <c r="CL56" s="187"/>
      <c r="CM56" s="187"/>
      <c r="CN56" s="205"/>
      <c r="CO56" s="240"/>
      <c r="CP56" s="240"/>
      <c r="CQ56" s="240"/>
      <c r="CR56" s="187"/>
      <c r="CS56" s="204"/>
      <c r="CT56" s="240"/>
      <c r="CU56" s="240"/>
      <c r="CV56" s="240"/>
      <c r="CW56" s="187"/>
      <c r="CX56" s="204"/>
      <c r="CY56" s="240"/>
      <c r="CZ56" s="240"/>
      <c r="DA56" s="240"/>
      <c r="DB56" s="187"/>
      <c r="DC56" s="204"/>
      <c r="DD56" s="240"/>
      <c r="DE56" s="240"/>
      <c r="DF56" s="240"/>
      <c r="DG56" s="187"/>
      <c r="DH56" s="204"/>
      <c r="DI56" s="240"/>
      <c r="DJ56" s="240"/>
      <c r="DK56" s="240"/>
      <c r="DL56" s="187"/>
      <c r="DM56" s="204"/>
      <c r="DN56" s="205"/>
      <c r="DO56" s="205"/>
      <c r="DQ56" s="206"/>
      <c r="DR56" s="188">
        <f t="shared" si="64"/>
        <v>0</v>
      </c>
      <c r="DS56" s="188"/>
      <c r="DT56" s="189">
        <f t="shared" si="65"/>
        <v>0</v>
      </c>
      <c r="DU56" s="189"/>
      <c r="DV56" s="188">
        <f t="shared" si="66"/>
        <v>48</v>
      </c>
      <c r="DW56" s="183" t="e">
        <f t="shared" ca="1" si="67"/>
        <v>#NAME?</v>
      </c>
      <c r="DX56" s="207"/>
      <c r="DY56" s="190" t="e">
        <f t="shared" ca="1" si="68"/>
        <v>#NAME?</v>
      </c>
      <c r="DZ56" s="191" t="str">
        <f t="shared" si="69"/>
        <v/>
      </c>
      <c r="EA56" s="191" t="str">
        <f t="shared" si="70"/>
        <v/>
      </c>
      <c r="EB56" s="191" t="str">
        <f t="shared" si="71"/>
        <v/>
      </c>
      <c r="EC56" s="208" t="e">
        <f t="shared" ca="1" si="72"/>
        <v>#NAME?</v>
      </c>
      <c r="ED56" s="36" t="str">
        <f t="shared" si="73"/>
        <v>Equity - Preferred</v>
      </c>
      <c r="EE56" s="193">
        <f>COUNTIF($ED$2:$ED$92, ED56)/(COUNTIF($ED$2:$ED$92, "&lt;&gt;""") - COUNTIF($ED$2:$ED$92, ""))</f>
        <v>6.6666666666666666E-2</v>
      </c>
      <c r="EF56" s="36" t="str">
        <f t="shared" si="74"/>
        <v>Early</v>
      </c>
      <c r="EG56" s="207"/>
      <c r="EH56" s="194" t="e">
        <f t="shared" ca="1" si="75"/>
        <v>#NAME?</v>
      </c>
      <c r="EI56" s="194" t="e">
        <f t="shared" ca="1" si="76"/>
        <v>#NAME?</v>
      </c>
      <c r="EJ56" s="209" t="e">
        <f t="shared" ca="1" si="77"/>
        <v>#NAME?</v>
      </c>
      <c r="EK56" s="208" t="e">
        <f t="shared" ca="1" si="78"/>
        <v>#NAME?</v>
      </c>
      <c r="EL56" s="36" t="str">
        <f t="shared" si="79"/>
        <v>No</v>
      </c>
      <c r="EM56" s="207"/>
      <c r="EN56" s="192">
        <f t="shared" si="80"/>
        <v>1</v>
      </c>
      <c r="EO56" s="192">
        <f t="shared" si="81"/>
        <v>1</v>
      </c>
      <c r="EP56" s="209">
        <f t="shared" si="82"/>
        <v>2</v>
      </c>
      <c r="EQ56" s="210">
        <f t="shared" si="83"/>
        <v>1</v>
      </c>
      <c r="ER56" s="36" t="e">
        <f t="shared" ca="1" si="84"/>
        <v>#NAME?</v>
      </c>
      <c r="ES56" s="40">
        <f ca="1">COUNTIF($ER$2:$ER$92, ER56)/(COUNTIF($ER$2:$ER$92, "&lt;&gt;""") - COUNTIF($ER$2:$ER$92, ""))</f>
        <v>1</v>
      </c>
      <c r="ET56" s="36">
        <f t="shared" si="85"/>
        <v>1</v>
      </c>
      <c r="EU56" s="40">
        <f>COUNTIF($ET$2:$ET$92, ET56)/(COUNTIF($ET$2:$ET$92, "&lt;&gt;""") - COUNTIF($ET$2:$ET$92, ""))</f>
        <v>0.45555555555555555</v>
      </c>
      <c r="EV56" s="36">
        <f t="shared" si="86"/>
        <v>1</v>
      </c>
      <c r="EW56" s="40">
        <f>COUNTIF($EV$2:$EV$92, EV56)/(COUNTIF($EV$2:$EV$92, "&lt;&gt;""") - COUNTIF($EV$2:$EV$92, ""))</f>
        <v>7.7777777777777779E-2</v>
      </c>
      <c r="EX56" s="36" t="str">
        <f t="shared" si="87"/>
        <v>No</v>
      </c>
      <c r="EY56" s="40">
        <f>COUNTIF($EX$2:$EX$92, EX56)/(COUNTIF($EX$2:$EX$92, "&lt;&gt;""") - COUNTIF($EX$2:$EX$92, ""))</f>
        <v>0.72222222222222221</v>
      </c>
      <c r="EZ56" s="36" t="str">
        <f t="shared" ref="EZ56:FB56" si="169">BM56</f>
        <v>No</v>
      </c>
      <c r="FA56" s="36" t="str">
        <f t="shared" si="169"/>
        <v>Yes</v>
      </c>
      <c r="FB56" s="36" t="str">
        <f t="shared" si="169"/>
        <v>No</v>
      </c>
      <c r="FC56" s="207"/>
      <c r="FD56" s="36" t="str">
        <f t="shared" si="89"/>
        <v>Transactional</v>
      </c>
      <c r="FE56" s="40">
        <f>COUNTIF($FD$2:$FD$92, FD56)/(COUNTIF($FD$2:$FD$92, "&lt;&gt;""") - COUNTIF($FD$2:$FD$92, ""))</f>
        <v>0.6</v>
      </c>
      <c r="FF56" s="36" t="str">
        <f t="shared" si="90"/>
        <v>B2C</v>
      </c>
      <c r="FG56" s="40">
        <f>COUNTIF($FF$2:$FF$92, FF56)/(COUNTIF($FF$2:$FF$92, "&lt;&gt;""") - COUNTIF($FF$2:$FF$92, ""))</f>
        <v>0.41111111111111109</v>
      </c>
      <c r="FH56" s="36" t="str">
        <f t="shared" si="91"/>
        <v>High</v>
      </c>
      <c r="FI56" s="40">
        <f>COUNTIF($FH$2:$FH$92, FH56)/(COUNTIF($FH$2:$FH$92, "&lt;&gt;""") - COUNTIF($FH$2:$FH$92, ""))</f>
        <v>0.53333333333333333</v>
      </c>
      <c r="FJ56" s="36" t="str">
        <f t="shared" si="92"/>
        <v>High</v>
      </c>
      <c r="FK56" s="40">
        <f>COUNTIF($FJ$2:$FJ$92, FJ56)/(COUNTIF($FJ$2:$FJ$92, "&lt;&gt;""") - COUNTIF($FJ$2:$FJ$92, ""))</f>
        <v>0.58888888888888891</v>
      </c>
      <c r="FL56" s="207"/>
      <c r="FM56" s="192">
        <f t="shared" si="93"/>
        <v>1</v>
      </c>
      <c r="FN56" s="192" t="e">
        <f t="shared" ca="1" si="94"/>
        <v>#NAME?</v>
      </c>
      <c r="FO56" s="192" t="e">
        <f t="shared" ca="1" si="95"/>
        <v>#NAME?</v>
      </c>
      <c r="FP56" s="192" t="e">
        <f t="shared" ca="1" si="96"/>
        <v>#NAME?</v>
      </c>
      <c r="FQ56" s="209" t="e">
        <f t="shared" ca="1" si="97"/>
        <v>#NAME?</v>
      </c>
      <c r="FR56" s="208" t="e">
        <f t="shared" ca="1" si="98"/>
        <v>#NAME?</v>
      </c>
      <c r="FS56" s="36" t="str">
        <f t="shared" si="99"/>
        <v>Pre-Product</v>
      </c>
      <c r="FT56" s="196">
        <f>COUNTIF($FS$2:$FS$92, FS56)/(COUNTIF($FS$2:$FS$92, "&lt;&gt;""") - COUNTIF($FZ$2:$FZ$92, ""))</f>
        <v>0.22222222222222221</v>
      </c>
      <c r="FU56" s="207"/>
      <c r="FV56" s="192" t="e">
        <f t="shared" ca="1" si="100"/>
        <v>#NAME?</v>
      </c>
      <c r="FW56" s="197" t="e">
        <f t="shared" ca="1" si="101"/>
        <v>#NAME?</v>
      </c>
      <c r="FX56" s="209" t="e">
        <f t="shared" ca="1" si="102"/>
        <v>#NAME?</v>
      </c>
      <c r="FY56" s="211" t="e">
        <f t="shared" ca="1" si="103"/>
        <v>#NAME?</v>
      </c>
      <c r="FZ56" s="36" t="str">
        <f t="shared" si="104"/>
        <v>No</v>
      </c>
      <c r="GA56" s="196">
        <f>COUNTIF($FZ$2:$FZ$92, FZ56)/(COUNTIF($FZ$2:$FZ$92, "&lt;&gt;""") - COUNTIF($FZ$2:$FZ$92, ""))</f>
        <v>0.76666666666666672</v>
      </c>
      <c r="GB56" s="196" t="str">
        <f t="shared" si="105"/>
        <v>High</v>
      </c>
      <c r="GC56" s="196">
        <f>COUNTIF($GB$2:$GB$92, GB56)/(COUNTIF($GB$2:$GB$92, "&lt;&gt;""") - COUNTIF($GB$2:$GB$92, ""))</f>
        <v>0.43333333333333335</v>
      </c>
      <c r="GD56" s="196" t="str">
        <f t="shared" si="106"/>
        <v>High</v>
      </c>
      <c r="GE56" s="196">
        <f>COUNTIF($GD$2:$GD$92, GD56)/(COUNTIF($GD$2:$GD$92, "&lt;&gt;""") - COUNTIF($GD$2:$GD$92, ""))</f>
        <v>0.8</v>
      </c>
      <c r="GF56" s="207"/>
      <c r="GG56" s="36"/>
      <c r="GH56" s="209" t="e">
        <f t="shared" ca="1" si="107"/>
        <v>#NAME?</v>
      </c>
      <c r="GI56" s="212" t="e">
        <f t="shared" ca="1" si="108"/>
        <v>#NAME?</v>
      </c>
    </row>
    <row r="57" spans="1:191" ht="15.75" customHeight="1">
      <c r="A57" s="171"/>
      <c r="B57" s="171" t="s">
        <v>433</v>
      </c>
      <c r="C57" s="16">
        <v>1786471</v>
      </c>
      <c r="D57" s="233" t="s">
        <v>924</v>
      </c>
      <c r="E57" s="234">
        <v>43706.375</v>
      </c>
      <c r="F57" s="16" t="s">
        <v>344</v>
      </c>
      <c r="G57" s="235" t="s">
        <v>925</v>
      </c>
      <c r="H57" s="235" t="s">
        <v>926</v>
      </c>
      <c r="I57" s="236">
        <v>43699</v>
      </c>
      <c r="J57" s="233" t="s">
        <v>927</v>
      </c>
      <c r="K57" s="233" t="s">
        <v>928</v>
      </c>
      <c r="M57" s="16" t="s">
        <v>929</v>
      </c>
      <c r="N57" s="16" t="s">
        <v>213</v>
      </c>
      <c r="O57" s="16" t="s">
        <v>30</v>
      </c>
      <c r="P57" s="16" t="s">
        <v>174</v>
      </c>
      <c r="Q57" s="16" t="s">
        <v>35</v>
      </c>
      <c r="S57" s="16" t="s">
        <v>269</v>
      </c>
      <c r="T57" s="237"/>
      <c r="U57" s="213"/>
      <c r="V57" s="54"/>
      <c r="W57" s="54">
        <v>20000000</v>
      </c>
      <c r="X57" s="226">
        <v>0</v>
      </c>
      <c r="Y57" s="55">
        <f t="shared" si="158"/>
        <v>20000000</v>
      </c>
      <c r="Z57" s="274">
        <f t="shared" si="159"/>
        <v>20000000</v>
      </c>
      <c r="AA57" s="183" t="e">
        <f t="shared" ca="1" si="160"/>
        <v>#NAME?</v>
      </c>
      <c r="AB57" s="16" t="s">
        <v>36</v>
      </c>
      <c r="AC57" s="16" t="s">
        <v>179</v>
      </c>
      <c r="AD57" s="16" t="s">
        <v>180</v>
      </c>
      <c r="AE57" s="16" t="s">
        <v>190</v>
      </c>
      <c r="AF57" s="16" t="s">
        <v>181</v>
      </c>
      <c r="AG57" s="16" t="s">
        <v>39</v>
      </c>
      <c r="AH57" s="16" t="s">
        <v>190</v>
      </c>
      <c r="AI57" s="54"/>
      <c r="AJ57" s="278">
        <v>4000000000000</v>
      </c>
      <c r="AK57" s="224" t="e">
        <f t="shared" ca="1" si="161"/>
        <v>#NAME?</v>
      </c>
      <c r="AL57" s="278">
        <v>185000000000</v>
      </c>
      <c r="AM57" s="224" t="e">
        <f t="shared" ca="1" si="162"/>
        <v>#NAME?</v>
      </c>
      <c r="AN57" s="278">
        <v>0.25600000000000001</v>
      </c>
      <c r="AO57" s="185" t="e">
        <f t="shared" ca="1" si="63"/>
        <v>#NAME?</v>
      </c>
      <c r="AP57" s="185" t="s">
        <v>228</v>
      </c>
      <c r="AQ57" s="16" t="s">
        <v>181</v>
      </c>
      <c r="AR57" s="16" t="s">
        <v>181</v>
      </c>
      <c r="AS57" s="16" t="s">
        <v>42</v>
      </c>
      <c r="AT57" s="159" t="s">
        <v>39</v>
      </c>
      <c r="AU57" s="159" t="s">
        <v>39</v>
      </c>
      <c r="AV57" s="16" t="s">
        <v>227</v>
      </c>
      <c r="AW57" s="16" t="s">
        <v>227</v>
      </c>
      <c r="AX57" s="16" t="s">
        <v>190</v>
      </c>
      <c r="AY57" s="16" t="s">
        <v>190</v>
      </c>
      <c r="AZ57" s="54">
        <v>0</v>
      </c>
      <c r="BA57" s="55" t="e">
        <f t="shared" ca="1" si="163"/>
        <v>#NAME?</v>
      </c>
      <c r="BB57" s="278">
        <v>3158</v>
      </c>
      <c r="BC57" s="278">
        <v>200000</v>
      </c>
      <c r="BD57" s="62" t="e">
        <f t="shared" ca="1" si="164"/>
        <v>#NAME?</v>
      </c>
      <c r="BE57" s="277">
        <f t="shared" si="165"/>
        <v>1.5789999999999998E-2</v>
      </c>
      <c r="BF57" s="62" t="e">
        <f t="shared" ca="1" si="166"/>
        <v>#NAME?</v>
      </c>
      <c r="BG57" s="16" t="s">
        <v>43</v>
      </c>
      <c r="BI57" s="16" t="s">
        <v>190</v>
      </c>
      <c r="BJ57" s="16">
        <v>0</v>
      </c>
      <c r="BK57" s="278">
        <v>2</v>
      </c>
      <c r="BL57" s="16" t="s">
        <v>227</v>
      </c>
      <c r="BM57" s="16" t="s">
        <v>190</v>
      </c>
      <c r="BN57" s="16" t="s">
        <v>190</v>
      </c>
      <c r="BO57" s="16" t="s">
        <v>190</v>
      </c>
      <c r="BP57" s="16">
        <v>3</v>
      </c>
      <c r="BQ57" s="16">
        <v>6</v>
      </c>
      <c r="BR57" s="16">
        <v>0</v>
      </c>
      <c r="BS57" s="16">
        <v>0</v>
      </c>
      <c r="BT57" s="204"/>
      <c r="BU57" s="238">
        <v>16</v>
      </c>
      <c r="BV57" s="238">
        <v>0</v>
      </c>
      <c r="BW57" s="238">
        <v>46</v>
      </c>
      <c r="BX57" s="239" t="s">
        <v>190</v>
      </c>
      <c r="BY57" s="204"/>
      <c r="BZ57" s="238">
        <v>3</v>
      </c>
      <c r="CA57" s="238">
        <v>0</v>
      </c>
      <c r="CB57" s="238">
        <v>54</v>
      </c>
      <c r="CC57" s="239" t="s">
        <v>190</v>
      </c>
      <c r="CD57" s="204"/>
      <c r="CE57" s="187"/>
      <c r="CF57" s="187"/>
      <c r="CG57" s="187"/>
      <c r="CH57" s="187"/>
      <c r="CI57" s="204"/>
      <c r="CJ57" s="187"/>
      <c r="CK57" s="187"/>
      <c r="CL57" s="187"/>
      <c r="CM57" s="187"/>
      <c r="CN57" s="205"/>
      <c r="CO57" s="240"/>
      <c r="CP57" s="240"/>
      <c r="CQ57" s="240"/>
      <c r="CR57" s="187"/>
      <c r="CS57" s="204"/>
      <c r="CT57" s="240"/>
      <c r="CU57" s="240"/>
      <c r="CV57" s="240"/>
      <c r="CW57" s="187"/>
      <c r="CX57" s="204"/>
      <c r="CY57" s="240"/>
      <c r="CZ57" s="240"/>
      <c r="DA57" s="240"/>
      <c r="DB57" s="187"/>
      <c r="DC57" s="204"/>
      <c r="DD57" s="240"/>
      <c r="DE57" s="240"/>
      <c r="DF57" s="240"/>
      <c r="DG57" s="187"/>
      <c r="DH57" s="204"/>
      <c r="DI57" s="240"/>
      <c r="DJ57" s="240"/>
      <c r="DK57" s="240"/>
      <c r="DL57" s="187"/>
      <c r="DM57" s="204"/>
      <c r="DN57" s="205"/>
      <c r="DO57" s="205"/>
      <c r="DQ57" s="206"/>
      <c r="DR57" s="188">
        <f t="shared" si="64"/>
        <v>9.5</v>
      </c>
      <c r="DS57" s="188"/>
      <c r="DT57" s="189">
        <f t="shared" si="65"/>
        <v>0</v>
      </c>
      <c r="DU57" s="189"/>
      <c r="DV57" s="188">
        <f t="shared" si="66"/>
        <v>50</v>
      </c>
      <c r="DW57" s="183" t="e">
        <f t="shared" ca="1" si="67"/>
        <v>#NAME?</v>
      </c>
      <c r="DX57" s="207"/>
      <c r="DY57" s="190" t="e">
        <f t="shared" ca="1" si="68"/>
        <v>#NAME?</v>
      </c>
      <c r="DZ57" s="191">
        <f t="shared" si="69"/>
        <v>1</v>
      </c>
      <c r="EA57" s="191" t="str">
        <f t="shared" si="70"/>
        <v/>
      </c>
      <c r="EB57" s="191" t="str">
        <f t="shared" si="71"/>
        <v/>
      </c>
      <c r="EC57" s="208" t="e">
        <f t="shared" ca="1" si="72"/>
        <v>#NAME?</v>
      </c>
      <c r="ED57" s="36" t="str">
        <f t="shared" si="73"/>
        <v>SAFE</v>
      </c>
      <c r="EE57" s="193">
        <f>COUNTIF($ED$2:$ED$92, ED57)/(COUNTIF($ED$2:$ED$92, "&lt;&gt;""") - COUNTIF($ED$2:$ED$92, ""))</f>
        <v>0.37777777777777777</v>
      </c>
      <c r="EF57" s="36" t="str">
        <f t="shared" si="74"/>
        <v>Early</v>
      </c>
      <c r="EG57" s="207"/>
      <c r="EH57" s="194" t="e">
        <f t="shared" ca="1" si="75"/>
        <v>#NAME?</v>
      </c>
      <c r="EI57" s="194" t="e">
        <f t="shared" ca="1" si="76"/>
        <v>#NAME?</v>
      </c>
      <c r="EJ57" s="209" t="e">
        <f t="shared" ca="1" si="77"/>
        <v>#NAME?</v>
      </c>
      <c r="EK57" s="208" t="e">
        <f t="shared" ca="1" si="78"/>
        <v>#NAME?</v>
      </c>
      <c r="EL57" s="36" t="str">
        <f t="shared" si="79"/>
        <v>Yes</v>
      </c>
      <c r="EM57" s="207"/>
      <c r="EN57" s="192">
        <f t="shared" si="80"/>
        <v>1.9047619047619047</v>
      </c>
      <c r="EO57" s="192">
        <f t="shared" si="81"/>
        <v>1</v>
      </c>
      <c r="EP57" s="209">
        <f t="shared" si="82"/>
        <v>2.9047619047619047</v>
      </c>
      <c r="EQ57" s="210">
        <f t="shared" si="83"/>
        <v>1.7102803738317758</v>
      </c>
      <c r="ER57" s="36" t="e">
        <f t="shared" ca="1" si="84"/>
        <v>#NAME?</v>
      </c>
      <c r="ES57" s="40">
        <f ca="1">COUNTIF($ER$2:$ER$92, ER57)/(COUNTIF($ER$2:$ER$92, "&lt;&gt;""") - COUNTIF($ER$2:$ER$92, ""))</f>
        <v>1</v>
      </c>
      <c r="ET57" s="36">
        <f t="shared" si="85"/>
        <v>2</v>
      </c>
      <c r="EU57" s="40">
        <f>COUNTIF($ET$2:$ET$92, ET57)/(COUNTIF($ET$2:$ET$92, "&lt;&gt;""") - COUNTIF($ET$2:$ET$92, ""))</f>
        <v>0.45555555555555555</v>
      </c>
      <c r="EV57" s="36">
        <f t="shared" si="86"/>
        <v>6</v>
      </c>
      <c r="EW57" s="40">
        <f>COUNTIF($EV$2:$EV$92, EV57)/(COUNTIF($EV$2:$EV$92, "&lt;&gt;""") - COUNTIF($EV$2:$EV$92, ""))</f>
        <v>5.5555555555555552E-2</v>
      </c>
      <c r="EX57" s="36" t="str">
        <f t="shared" si="87"/>
        <v>Yes</v>
      </c>
      <c r="EY57" s="40">
        <f>COUNTIF($EX$2:$EX$92, EX57)/(COUNTIF($EX$2:$EX$92, "&lt;&gt;""") - COUNTIF($EX$2:$EX$92, ""))</f>
        <v>0.27777777777777779</v>
      </c>
      <c r="EZ57" s="36" t="str">
        <f t="shared" ref="EZ57:FB57" si="170">BM57</f>
        <v>No</v>
      </c>
      <c r="FA57" s="36" t="str">
        <f t="shared" si="170"/>
        <v>No</v>
      </c>
      <c r="FB57" s="36" t="str">
        <f t="shared" si="170"/>
        <v>No</v>
      </c>
      <c r="FC57" s="207"/>
      <c r="FD57" s="36" t="str">
        <f t="shared" si="89"/>
        <v>Transactional</v>
      </c>
      <c r="FE57" s="40">
        <f>COUNTIF($FD$2:$FD$92, FD57)/(COUNTIF($FD$2:$FD$92, "&lt;&gt;""") - COUNTIF($FD$2:$FD$92, ""))</f>
        <v>0.6</v>
      </c>
      <c r="FF57" s="36" t="str">
        <f t="shared" si="90"/>
        <v>B2C</v>
      </c>
      <c r="FG57" s="40">
        <f>COUNTIF($FF$2:$FF$92, FF57)/(COUNTIF($FF$2:$FF$92, "&lt;&gt;""") - COUNTIF($FF$2:$FF$92, ""))</f>
        <v>0.41111111111111109</v>
      </c>
      <c r="FH57" s="36" t="str">
        <f t="shared" si="91"/>
        <v>Low</v>
      </c>
      <c r="FI57" s="40">
        <f>COUNTIF($FH$2:$FH$92, FH57)/(COUNTIF($FH$2:$FH$92, "&lt;&gt;""") - COUNTIF($FH$2:$FH$92, ""))</f>
        <v>0.46666666666666667</v>
      </c>
      <c r="FJ57" s="36" t="str">
        <f t="shared" si="92"/>
        <v>High</v>
      </c>
      <c r="FK57" s="40">
        <f>COUNTIF($FJ$2:$FJ$92, FJ57)/(COUNTIF($FJ$2:$FJ$92, "&lt;&gt;""") - COUNTIF($FJ$2:$FJ$92, ""))</f>
        <v>0.58888888888888891</v>
      </c>
      <c r="FL57" s="207"/>
      <c r="FM57" s="192">
        <f t="shared" si="93"/>
        <v>1</v>
      </c>
      <c r="FN57" s="192" t="e">
        <f t="shared" ca="1" si="94"/>
        <v>#NAME?</v>
      </c>
      <c r="FO57" s="192" t="e">
        <f t="shared" ca="1" si="95"/>
        <v>#NAME?</v>
      </c>
      <c r="FP57" s="192" t="e">
        <f t="shared" ca="1" si="96"/>
        <v>#NAME?</v>
      </c>
      <c r="FQ57" s="209" t="e">
        <f t="shared" ca="1" si="97"/>
        <v>#NAME?</v>
      </c>
      <c r="FR57" s="208" t="e">
        <f t="shared" ca="1" si="98"/>
        <v>#NAME?</v>
      </c>
      <c r="FS57" s="36" t="str">
        <f t="shared" si="99"/>
        <v>Pre-Product</v>
      </c>
      <c r="FT57" s="196">
        <f>COUNTIF($FS$2:$FS$92, FS57)/(COUNTIF($FS$2:$FS$92, "&lt;&gt;""") - COUNTIF($FZ$2:$FZ$92, ""))</f>
        <v>0.22222222222222221</v>
      </c>
      <c r="FU57" s="207"/>
      <c r="FV57" s="192" t="e">
        <f t="shared" ca="1" si="100"/>
        <v>#NAME?</v>
      </c>
      <c r="FW57" s="197" t="e">
        <f t="shared" ca="1" si="101"/>
        <v>#NAME?</v>
      </c>
      <c r="FX57" s="209" t="e">
        <f t="shared" ca="1" si="102"/>
        <v>#NAME?</v>
      </c>
      <c r="FY57" s="211" t="e">
        <f t="shared" ca="1" si="103"/>
        <v>#NAME?</v>
      </c>
      <c r="FZ57" s="36" t="str">
        <f t="shared" si="104"/>
        <v>Yes</v>
      </c>
      <c r="GA57" s="196">
        <f>COUNTIF($FZ$2:$FZ$92, FZ57)/(COUNTIF($FZ$2:$FZ$92, "&lt;&gt;""") - COUNTIF($FZ$2:$FZ$92, ""))</f>
        <v>0.23333333333333334</v>
      </c>
      <c r="GB57" s="196" t="str">
        <f t="shared" si="105"/>
        <v>High</v>
      </c>
      <c r="GC57" s="196">
        <f>COUNTIF($GB$2:$GB$92, GB57)/(COUNTIF($GB$2:$GB$92, "&lt;&gt;""") - COUNTIF($GB$2:$GB$92, ""))</f>
        <v>0.43333333333333335</v>
      </c>
      <c r="GD57" s="196" t="str">
        <f t="shared" si="106"/>
        <v>High</v>
      </c>
      <c r="GE57" s="196">
        <f>COUNTIF($GD$2:$GD$92, GD57)/(COUNTIF($GD$2:$GD$92, "&lt;&gt;""") - COUNTIF($GD$2:$GD$92, ""))</f>
        <v>0.8</v>
      </c>
      <c r="GF57" s="207"/>
      <c r="GG57" s="36"/>
      <c r="GH57" s="209" t="e">
        <f t="shared" ca="1" si="107"/>
        <v>#NAME?</v>
      </c>
      <c r="GI57" s="212" t="e">
        <f t="shared" ca="1" si="108"/>
        <v>#NAME?</v>
      </c>
    </row>
    <row r="58" spans="1:191" ht="15.75" customHeight="1">
      <c r="A58" s="171"/>
      <c r="B58" s="171" t="s">
        <v>433</v>
      </c>
      <c r="C58" s="16">
        <v>1689304</v>
      </c>
      <c r="D58" s="233" t="s">
        <v>930</v>
      </c>
      <c r="E58" s="234">
        <v>43707.649305555555</v>
      </c>
      <c r="F58" s="16" t="s">
        <v>344</v>
      </c>
      <c r="G58" s="235" t="s">
        <v>931</v>
      </c>
      <c r="H58" s="235" t="s">
        <v>932</v>
      </c>
      <c r="I58" s="241">
        <v>43705</v>
      </c>
      <c r="J58" s="233" t="s">
        <v>930</v>
      </c>
      <c r="K58" s="233" t="s">
        <v>933</v>
      </c>
      <c r="M58" s="16" t="s">
        <v>934</v>
      </c>
      <c r="N58" s="16" t="s">
        <v>315</v>
      </c>
      <c r="O58" s="16" t="s">
        <v>30</v>
      </c>
      <c r="P58" s="16" t="s">
        <v>174</v>
      </c>
      <c r="Q58" s="16" t="s">
        <v>35</v>
      </c>
      <c r="S58" s="16" t="s">
        <v>269</v>
      </c>
      <c r="T58" s="237"/>
      <c r="U58" s="213"/>
      <c r="W58" s="54">
        <v>7000000</v>
      </c>
      <c r="X58" s="226">
        <v>0</v>
      </c>
      <c r="Y58" s="55">
        <f t="shared" si="158"/>
        <v>7000000</v>
      </c>
      <c r="Z58" s="274">
        <f t="shared" si="159"/>
        <v>7000000</v>
      </c>
      <c r="AA58" s="183" t="e">
        <f t="shared" ca="1" si="160"/>
        <v>#NAME?</v>
      </c>
      <c r="AB58" s="16" t="s">
        <v>178</v>
      </c>
      <c r="AC58" s="16" t="s">
        <v>37</v>
      </c>
      <c r="AD58" s="16" t="s">
        <v>180</v>
      </c>
      <c r="AE58" s="16" t="s">
        <v>227</v>
      </c>
      <c r="AF58" s="16" t="s">
        <v>39</v>
      </c>
      <c r="AG58" s="16" t="s">
        <v>181</v>
      </c>
      <c r="AH58" s="16" t="s">
        <v>190</v>
      </c>
      <c r="AI58" s="54"/>
      <c r="AJ58" s="278">
        <v>250000000000</v>
      </c>
      <c r="AK58" s="224" t="e">
        <f t="shared" ca="1" si="161"/>
        <v>#NAME?</v>
      </c>
      <c r="AL58" s="278">
        <v>2000000000</v>
      </c>
      <c r="AM58" s="224" t="e">
        <f t="shared" ca="1" si="162"/>
        <v>#NAME?</v>
      </c>
      <c r="AN58" s="278">
        <v>3.1E-2</v>
      </c>
      <c r="AO58" s="185" t="e">
        <f t="shared" ca="1" si="63"/>
        <v>#NAME?</v>
      </c>
      <c r="AP58" s="185" t="s">
        <v>192</v>
      </c>
      <c r="AQ58" s="16" t="s">
        <v>39</v>
      </c>
      <c r="AR58" s="16" t="s">
        <v>181</v>
      </c>
      <c r="AS58" s="16" t="s">
        <v>182</v>
      </c>
      <c r="AT58" s="159" t="s">
        <v>39</v>
      </c>
      <c r="AU58" s="159" t="s">
        <v>181</v>
      </c>
      <c r="AV58" s="16" t="s">
        <v>190</v>
      </c>
      <c r="AW58" s="16" t="s">
        <v>190</v>
      </c>
      <c r="AX58" s="16" t="s">
        <v>227</v>
      </c>
      <c r="AY58" s="16" t="s">
        <v>227</v>
      </c>
      <c r="AZ58" s="54">
        <v>16172</v>
      </c>
      <c r="BA58" s="55" t="e">
        <f t="shared" ca="1" si="163"/>
        <v>#NAME?</v>
      </c>
      <c r="BB58" s="278">
        <v>34184</v>
      </c>
      <c r="BC58" s="278">
        <v>1715889</v>
      </c>
      <c r="BD58" s="62" t="e">
        <f t="shared" ca="1" si="164"/>
        <v>#NAME?</v>
      </c>
      <c r="BE58" s="277">
        <f t="shared" si="165"/>
        <v>1.9922034583822149E-2</v>
      </c>
      <c r="BF58" s="62" t="e">
        <f t="shared" ca="1" si="166"/>
        <v>#NAME?</v>
      </c>
      <c r="BG58" s="16" t="s">
        <v>202</v>
      </c>
      <c r="BI58" s="16" t="s">
        <v>190</v>
      </c>
      <c r="BJ58" s="16">
        <v>0</v>
      </c>
      <c r="BK58" s="278">
        <v>1</v>
      </c>
      <c r="BL58" s="176" t="s">
        <v>190</v>
      </c>
      <c r="BM58" s="16" t="s">
        <v>190</v>
      </c>
      <c r="BN58" s="16" t="s">
        <v>190</v>
      </c>
      <c r="BO58" s="16" t="s">
        <v>190</v>
      </c>
      <c r="BP58" s="16">
        <v>2</v>
      </c>
      <c r="BQ58" s="16">
        <v>3</v>
      </c>
      <c r="BR58" s="16">
        <v>0</v>
      </c>
      <c r="BS58" s="16">
        <v>0</v>
      </c>
      <c r="BT58" s="204"/>
      <c r="BU58" s="238">
        <v>16</v>
      </c>
      <c r="BV58" s="238">
        <v>2</v>
      </c>
      <c r="BW58" s="239">
        <v>51</v>
      </c>
      <c r="BX58" s="239" t="s">
        <v>190</v>
      </c>
      <c r="BY58" s="204"/>
      <c r="BZ58" s="238"/>
      <c r="CA58" s="238"/>
      <c r="CB58" s="187"/>
      <c r="CC58" s="239"/>
      <c r="CD58" s="204"/>
      <c r="CE58" s="187"/>
      <c r="CF58" s="187"/>
      <c r="CG58" s="187"/>
      <c r="CH58" s="187"/>
      <c r="CI58" s="204"/>
      <c r="CJ58" s="187"/>
      <c r="CK58" s="187"/>
      <c r="CL58" s="187"/>
      <c r="CM58" s="187"/>
      <c r="CN58" s="205"/>
      <c r="CO58" s="240"/>
      <c r="CP58" s="240"/>
      <c r="CQ58" s="240"/>
      <c r="CR58" s="187"/>
      <c r="CS58" s="204"/>
      <c r="CT58" s="240"/>
      <c r="CU58" s="240"/>
      <c r="CV58" s="240"/>
      <c r="CW58" s="187"/>
      <c r="CX58" s="204"/>
      <c r="CY58" s="240"/>
      <c r="CZ58" s="240"/>
      <c r="DA58" s="240"/>
      <c r="DB58" s="187"/>
      <c r="DC58" s="204"/>
      <c r="DD58" s="240"/>
      <c r="DE58" s="240"/>
      <c r="DF58" s="240"/>
      <c r="DG58" s="187"/>
      <c r="DH58" s="204"/>
      <c r="DI58" s="240"/>
      <c r="DJ58" s="240"/>
      <c r="DK58" s="240"/>
      <c r="DL58" s="187"/>
      <c r="DM58" s="204"/>
      <c r="DN58" s="205"/>
      <c r="DO58" s="205"/>
      <c r="DQ58" s="206"/>
      <c r="DR58" s="188">
        <f t="shared" si="64"/>
        <v>16</v>
      </c>
      <c r="DS58" s="188"/>
      <c r="DT58" s="189">
        <f t="shared" si="65"/>
        <v>2</v>
      </c>
      <c r="DU58" s="189"/>
      <c r="DV58" s="188">
        <f t="shared" si="66"/>
        <v>51</v>
      </c>
      <c r="DW58" s="183" t="e">
        <f t="shared" ca="1" si="67"/>
        <v>#NAME?</v>
      </c>
      <c r="DX58" s="207"/>
      <c r="DY58" s="190" t="e">
        <f t="shared" ca="1" si="68"/>
        <v>#NAME?</v>
      </c>
      <c r="DZ58" s="191">
        <f t="shared" si="69"/>
        <v>1</v>
      </c>
      <c r="EA58" s="191" t="str">
        <f t="shared" si="70"/>
        <v/>
      </c>
      <c r="EB58" s="191" t="str">
        <f t="shared" si="71"/>
        <v/>
      </c>
      <c r="EC58" s="208" t="e">
        <f t="shared" ca="1" si="72"/>
        <v>#NAME?</v>
      </c>
      <c r="ED58" s="36" t="str">
        <f t="shared" si="73"/>
        <v>SAFE</v>
      </c>
      <c r="EE58" s="193">
        <f>COUNTIF($ED$2:$ED$92, ED58)/(COUNTIF($ED$2:$ED$92, "&lt;&gt;""") - COUNTIF($ED$2:$ED$92, ""))</f>
        <v>0.37777777777777777</v>
      </c>
      <c r="EF58" s="36" t="str">
        <f t="shared" si="74"/>
        <v>Early</v>
      </c>
      <c r="EG58" s="207"/>
      <c r="EH58" s="194" t="e">
        <f t="shared" ca="1" si="75"/>
        <v>#NAME?</v>
      </c>
      <c r="EI58" s="194" t="e">
        <f t="shared" ca="1" si="76"/>
        <v>#NAME?</v>
      </c>
      <c r="EJ58" s="209" t="e">
        <f t="shared" ca="1" si="77"/>
        <v>#NAME?</v>
      </c>
      <c r="EK58" s="208" t="e">
        <f t="shared" ca="1" si="78"/>
        <v>#NAME?</v>
      </c>
      <c r="EL58" s="36" t="str">
        <f t="shared" si="79"/>
        <v>No</v>
      </c>
      <c r="EM58" s="207"/>
      <c r="EN58" s="192">
        <f t="shared" si="80"/>
        <v>2.5238095238095237</v>
      </c>
      <c r="EO58" s="192">
        <f t="shared" si="81"/>
        <v>3</v>
      </c>
      <c r="EP58" s="209">
        <f t="shared" si="82"/>
        <v>5.5238095238095237</v>
      </c>
      <c r="EQ58" s="210">
        <f t="shared" si="83"/>
        <v>3.7663551401869162</v>
      </c>
      <c r="ER58" s="36" t="e">
        <f t="shared" ca="1" si="84"/>
        <v>#NAME?</v>
      </c>
      <c r="ES58" s="40">
        <f ca="1">COUNTIF($ER$2:$ER$92, ER58)/(COUNTIF($ER$2:$ER$92, "&lt;&gt;""") - COUNTIF($ER$2:$ER$92, ""))</f>
        <v>1</v>
      </c>
      <c r="ET58" s="36">
        <f t="shared" si="85"/>
        <v>1</v>
      </c>
      <c r="EU58" s="40">
        <f>COUNTIF($ET$2:$ET$92, ET58)/(COUNTIF($ET$2:$ET$92, "&lt;&gt;""") - COUNTIF($ET$2:$ET$92, ""))</f>
        <v>0.45555555555555555</v>
      </c>
      <c r="EV58" s="36">
        <f t="shared" si="86"/>
        <v>3</v>
      </c>
      <c r="EW58" s="40">
        <f>COUNTIF($EV$2:$EV$92, EV58)/(COUNTIF($EV$2:$EV$92, "&lt;&gt;""") - COUNTIF($EV$2:$EV$92, ""))</f>
        <v>8.8888888888888892E-2</v>
      </c>
      <c r="EX58" s="36" t="str">
        <f t="shared" si="87"/>
        <v>No</v>
      </c>
      <c r="EY58" s="40">
        <f>COUNTIF($EX$2:$EX$92, EX58)/(COUNTIF($EX$2:$EX$92, "&lt;&gt;""") - COUNTIF($EX$2:$EX$92, ""))</f>
        <v>0.72222222222222221</v>
      </c>
      <c r="EZ58" s="36" t="str">
        <f t="shared" ref="EZ58:FB58" si="171">BM58</f>
        <v>No</v>
      </c>
      <c r="FA58" s="36" t="str">
        <f t="shared" si="171"/>
        <v>No</v>
      </c>
      <c r="FB58" s="36" t="str">
        <f t="shared" si="171"/>
        <v>No</v>
      </c>
      <c r="FC58" s="207"/>
      <c r="FD58" s="36" t="str">
        <f t="shared" si="89"/>
        <v>Recurring</v>
      </c>
      <c r="FE58" s="40">
        <f>COUNTIF($FD$2:$FD$92, FD58)/(COUNTIF($FD$2:$FD$92, "&lt;&gt;""") - COUNTIF($FD$2:$FD$92, ""))</f>
        <v>0.4</v>
      </c>
      <c r="FF58" s="36" t="str">
        <f t="shared" si="90"/>
        <v>B2B</v>
      </c>
      <c r="FG58" s="40">
        <f>COUNTIF($FF$2:$FF$92, FF58)/(COUNTIF($FF$2:$FF$92, "&lt;&gt;""") - COUNTIF($FF$2:$FF$92, ""))</f>
        <v>0.24444444444444444</v>
      </c>
      <c r="FH58" s="36" t="str">
        <f t="shared" si="91"/>
        <v>High</v>
      </c>
      <c r="FI58" s="40">
        <f>COUNTIF($FH$2:$FH$92, FH58)/(COUNTIF($FH$2:$FH$92, "&lt;&gt;""") - COUNTIF($FH$2:$FH$92, ""))</f>
        <v>0.53333333333333333</v>
      </c>
      <c r="FJ58" s="36" t="str">
        <f t="shared" si="92"/>
        <v>Low</v>
      </c>
      <c r="FK58" s="40">
        <f>COUNTIF($FJ$2:$FJ$92, FJ58)/(COUNTIF($FJ$2:$FJ$92, "&lt;&gt;""") - COUNTIF($FJ$2:$FJ$92, ""))</f>
        <v>0.41111111111111109</v>
      </c>
      <c r="FL58" s="207"/>
      <c r="FM58" s="192">
        <f t="shared" si="93"/>
        <v>5</v>
      </c>
      <c r="FN58" s="192" t="e">
        <f t="shared" ca="1" si="94"/>
        <v>#NAME?</v>
      </c>
      <c r="FO58" s="192" t="e">
        <f t="shared" ca="1" si="95"/>
        <v>#NAME?</v>
      </c>
      <c r="FP58" s="192" t="e">
        <f t="shared" ca="1" si="96"/>
        <v>#NAME?</v>
      </c>
      <c r="FQ58" s="209" t="e">
        <f t="shared" ca="1" si="97"/>
        <v>#NAME?</v>
      </c>
      <c r="FR58" s="208" t="e">
        <f t="shared" ca="1" si="98"/>
        <v>#NAME?</v>
      </c>
      <c r="FS58" s="36" t="str">
        <f t="shared" si="99"/>
        <v>Pre-Profit</v>
      </c>
      <c r="FT58" s="196">
        <f>COUNTIF($FS$2:$FS$92, FS58)/(COUNTIF($FS$2:$FS$92, "&lt;&gt;""") - COUNTIF($FZ$2:$FZ$92, ""))</f>
        <v>0.51111111111111107</v>
      </c>
      <c r="FU58" s="207"/>
      <c r="FV58" s="192">
        <f t="shared" si="100"/>
        <v>3</v>
      </c>
      <c r="FW58" s="197" t="e">
        <f t="shared" ca="1" si="101"/>
        <v>#NAME?</v>
      </c>
      <c r="FX58" s="209" t="e">
        <f t="shared" ca="1" si="102"/>
        <v>#NAME?</v>
      </c>
      <c r="FY58" s="211" t="e">
        <f t="shared" ca="1" si="103"/>
        <v>#NAME?</v>
      </c>
      <c r="FZ58" s="36" t="str">
        <f t="shared" si="104"/>
        <v>No</v>
      </c>
      <c r="GA58" s="196">
        <f>COUNTIF($FZ$2:$FZ$92, FZ58)/(COUNTIF($FZ$2:$FZ$92, "&lt;&gt;""") - COUNTIF($FZ$2:$FZ$92, ""))</f>
        <v>0.76666666666666672</v>
      </c>
      <c r="GB58" s="196" t="str">
        <f t="shared" si="105"/>
        <v>High</v>
      </c>
      <c r="GC58" s="196">
        <f>COUNTIF($GB$2:$GB$92, GB58)/(COUNTIF($GB$2:$GB$92, "&lt;&gt;""") - COUNTIF($GB$2:$GB$92, ""))</f>
        <v>0.43333333333333335</v>
      </c>
      <c r="GD58" s="196" t="str">
        <f t="shared" si="106"/>
        <v>Low</v>
      </c>
      <c r="GE58" s="196">
        <f>COUNTIF($GD$2:$GD$92, GD58)/(COUNTIF($GD$2:$GD$92, "&lt;&gt;""") - COUNTIF($GD$2:$GD$92, ""))</f>
        <v>0.18888888888888888</v>
      </c>
      <c r="GF58" s="207"/>
      <c r="GG58" s="36"/>
      <c r="GH58" s="209" t="e">
        <f t="shared" ca="1" si="107"/>
        <v>#NAME?</v>
      </c>
      <c r="GI58" s="212" t="e">
        <f t="shared" ca="1" si="108"/>
        <v>#NAME?</v>
      </c>
    </row>
    <row r="59" spans="1:191" ht="15.75" customHeight="1">
      <c r="A59" s="171"/>
      <c r="B59" s="171" t="s">
        <v>433</v>
      </c>
      <c r="C59" s="16">
        <v>1745527</v>
      </c>
      <c r="D59" s="233" t="s">
        <v>935</v>
      </c>
      <c r="E59" s="234">
        <v>43708.578472222223</v>
      </c>
      <c r="F59" s="16" t="s">
        <v>325</v>
      </c>
      <c r="G59" s="235" t="s">
        <v>936</v>
      </c>
      <c r="H59" s="235" t="s">
        <v>937</v>
      </c>
      <c r="I59" s="241">
        <v>43735</v>
      </c>
      <c r="J59" s="233" t="s">
        <v>938</v>
      </c>
      <c r="K59" s="233" t="s">
        <v>939</v>
      </c>
      <c r="M59" s="29" t="s">
        <v>243</v>
      </c>
      <c r="N59" s="16" t="s">
        <v>168</v>
      </c>
      <c r="O59" s="16" t="s">
        <v>30</v>
      </c>
      <c r="P59" s="16" t="s">
        <v>31</v>
      </c>
      <c r="Q59" s="16" t="s">
        <v>35</v>
      </c>
      <c r="S59" s="16" t="s">
        <v>34</v>
      </c>
      <c r="T59" s="237"/>
      <c r="U59" s="213"/>
      <c r="V59" s="54"/>
      <c r="W59" s="54">
        <v>2500000</v>
      </c>
      <c r="X59" s="226">
        <v>0</v>
      </c>
      <c r="Y59" s="55">
        <f t="shared" si="158"/>
        <v>2500000</v>
      </c>
      <c r="Z59" s="274">
        <f t="shared" si="159"/>
        <v>2500000</v>
      </c>
      <c r="AA59" s="183" t="e">
        <f t="shared" ca="1" si="160"/>
        <v>#NAME?</v>
      </c>
      <c r="AB59" s="16" t="s">
        <v>36</v>
      </c>
      <c r="AC59" s="16" t="s">
        <v>218</v>
      </c>
      <c r="AD59" s="16" t="s">
        <v>180</v>
      </c>
      <c r="AE59" s="16" t="s">
        <v>190</v>
      </c>
      <c r="AF59" s="16" t="s">
        <v>181</v>
      </c>
      <c r="AG59" s="16" t="s">
        <v>39</v>
      </c>
      <c r="AH59" s="16" t="s">
        <v>190</v>
      </c>
      <c r="AI59" s="54"/>
      <c r="AJ59" s="278">
        <v>18800000000</v>
      </c>
      <c r="AK59" s="224" t="e">
        <f t="shared" ca="1" si="161"/>
        <v>#NAME?</v>
      </c>
      <c r="AL59" s="278">
        <v>4400000000</v>
      </c>
      <c r="AM59" s="224" t="e">
        <f t="shared" ca="1" si="162"/>
        <v>#NAME?</v>
      </c>
      <c r="AN59" s="278">
        <v>0.372</v>
      </c>
      <c r="AO59" s="185" t="e">
        <f t="shared" ca="1" si="63"/>
        <v>#NAME?</v>
      </c>
      <c r="AP59" s="185" t="s">
        <v>192</v>
      </c>
      <c r="AQ59" s="16" t="s">
        <v>181</v>
      </c>
      <c r="AR59" s="16" t="s">
        <v>181</v>
      </c>
      <c r="AS59" s="16" t="s">
        <v>42</v>
      </c>
      <c r="AT59" s="159" t="s">
        <v>39</v>
      </c>
      <c r="AU59" s="159" t="s">
        <v>181</v>
      </c>
      <c r="AV59" s="16" t="s">
        <v>190</v>
      </c>
      <c r="AW59" s="16" t="s">
        <v>227</v>
      </c>
      <c r="AX59" s="16" t="s">
        <v>190</v>
      </c>
      <c r="AY59" s="16" t="s">
        <v>190</v>
      </c>
      <c r="AZ59" s="54">
        <v>0</v>
      </c>
      <c r="BA59" s="55" t="e">
        <f t="shared" ca="1" si="163"/>
        <v>#NAME?</v>
      </c>
      <c r="BB59" s="278">
        <v>111</v>
      </c>
      <c r="BC59" s="278">
        <v>1000000</v>
      </c>
      <c r="BD59" s="62" t="e">
        <f t="shared" ca="1" si="164"/>
        <v>#NAME?</v>
      </c>
      <c r="BE59" s="277">
        <f t="shared" si="165"/>
        <v>1.11E-4</v>
      </c>
      <c r="BF59" s="62" t="e">
        <f t="shared" ca="1" si="166"/>
        <v>#NAME?</v>
      </c>
      <c r="BG59" s="16" t="s">
        <v>43</v>
      </c>
      <c r="BI59" s="16" t="s">
        <v>190</v>
      </c>
      <c r="BJ59" s="16">
        <v>0</v>
      </c>
      <c r="BK59" s="278">
        <v>1</v>
      </c>
      <c r="BL59" s="176" t="s">
        <v>190</v>
      </c>
      <c r="BM59" s="16" t="s">
        <v>190</v>
      </c>
      <c r="BN59" s="16" t="s">
        <v>190</v>
      </c>
      <c r="BO59" s="16" t="s">
        <v>190</v>
      </c>
      <c r="BP59" s="16">
        <v>2</v>
      </c>
      <c r="BQ59" s="16">
        <v>5</v>
      </c>
      <c r="BR59" s="16">
        <v>1</v>
      </c>
      <c r="BS59" s="16">
        <v>0</v>
      </c>
      <c r="BT59" s="204"/>
      <c r="BU59" s="238">
        <v>0</v>
      </c>
      <c r="BV59" s="238">
        <v>0</v>
      </c>
      <c r="BW59" s="238">
        <v>47</v>
      </c>
      <c r="BX59" s="239" t="s">
        <v>190</v>
      </c>
      <c r="BY59" s="204"/>
      <c r="BZ59" s="238"/>
      <c r="CA59" s="238"/>
      <c r="CB59" s="238"/>
      <c r="CC59" s="239"/>
      <c r="CD59" s="204"/>
      <c r="CE59" s="238"/>
      <c r="CF59" s="238"/>
      <c r="CG59" s="238"/>
      <c r="CH59" s="239"/>
      <c r="CI59" s="204"/>
      <c r="CJ59" s="187"/>
      <c r="CK59" s="187"/>
      <c r="CL59" s="187"/>
      <c r="CM59" s="187"/>
      <c r="CN59" s="205"/>
      <c r="CO59" s="240"/>
      <c r="CP59" s="240"/>
      <c r="CQ59" s="187"/>
      <c r="CR59" s="187"/>
      <c r="CS59" s="204"/>
      <c r="CT59" s="240"/>
      <c r="CU59" s="240"/>
      <c r="CV59" s="187"/>
      <c r="CW59" s="187"/>
      <c r="CX59" s="204"/>
      <c r="CY59" s="240"/>
      <c r="CZ59" s="240"/>
      <c r="DA59" s="187"/>
      <c r="DB59" s="187"/>
      <c r="DC59" s="204"/>
      <c r="DD59" s="240"/>
      <c r="DE59" s="240"/>
      <c r="DF59" s="187"/>
      <c r="DG59" s="187"/>
      <c r="DH59" s="204"/>
      <c r="DI59" s="240"/>
      <c r="DJ59" s="240"/>
      <c r="DK59" s="187"/>
      <c r="DL59" s="187"/>
      <c r="DM59" s="204"/>
      <c r="DN59" s="205"/>
      <c r="DO59" s="205"/>
      <c r="DQ59" s="206"/>
      <c r="DR59" s="188">
        <f t="shared" si="64"/>
        <v>0</v>
      </c>
      <c r="DS59" s="188"/>
      <c r="DT59" s="189">
        <f t="shared" si="65"/>
        <v>0</v>
      </c>
      <c r="DU59" s="189"/>
      <c r="DV59" s="188">
        <f t="shared" si="66"/>
        <v>47</v>
      </c>
      <c r="DW59" s="183" t="e">
        <f t="shared" ca="1" si="67"/>
        <v>#NAME?</v>
      </c>
      <c r="DX59" s="207"/>
      <c r="DY59" s="190" t="e">
        <f t="shared" ca="1" si="68"/>
        <v>#NAME?</v>
      </c>
      <c r="DZ59" s="191">
        <f t="shared" si="69"/>
        <v>1</v>
      </c>
      <c r="EA59" s="191" t="str">
        <f t="shared" si="70"/>
        <v/>
      </c>
      <c r="EB59" s="191" t="str">
        <f t="shared" si="71"/>
        <v/>
      </c>
      <c r="EC59" s="208" t="e">
        <f t="shared" ca="1" si="72"/>
        <v>#NAME?</v>
      </c>
      <c r="ED59" s="36" t="str">
        <f t="shared" si="73"/>
        <v>CAFES</v>
      </c>
      <c r="EE59" s="193">
        <f>COUNTIF($ED$2:$ED$92, ED59)/(COUNTIF($ED$2:$ED$92, "&lt;&gt;""") - COUNTIF($ED$2:$ED$92, ""))</f>
        <v>0.1</v>
      </c>
      <c r="EF59" s="36" t="str">
        <f t="shared" si="74"/>
        <v>Early</v>
      </c>
      <c r="EG59" s="207"/>
      <c r="EH59" s="194" t="e">
        <f t="shared" ca="1" si="75"/>
        <v>#NAME?</v>
      </c>
      <c r="EI59" s="194" t="e">
        <f t="shared" ca="1" si="76"/>
        <v>#NAME?</v>
      </c>
      <c r="EJ59" s="209" t="e">
        <f t="shared" ca="1" si="77"/>
        <v>#NAME?</v>
      </c>
      <c r="EK59" s="208" t="e">
        <f t="shared" ca="1" si="78"/>
        <v>#NAME?</v>
      </c>
      <c r="EL59" s="36" t="str">
        <f t="shared" si="79"/>
        <v>No</v>
      </c>
      <c r="EM59" s="207"/>
      <c r="EN59" s="192">
        <f t="shared" si="80"/>
        <v>1</v>
      </c>
      <c r="EO59" s="192">
        <f t="shared" si="81"/>
        <v>1</v>
      </c>
      <c r="EP59" s="209">
        <f t="shared" si="82"/>
        <v>2</v>
      </c>
      <c r="EQ59" s="210">
        <f t="shared" si="83"/>
        <v>1</v>
      </c>
      <c r="ER59" s="36" t="e">
        <f t="shared" ca="1" si="84"/>
        <v>#NAME?</v>
      </c>
      <c r="ES59" s="40">
        <f ca="1">COUNTIF($ER$2:$ER$92, ER59)/(COUNTIF($ER$2:$ER$92, "&lt;&gt;""") - COUNTIF($ER$2:$ER$92, ""))</f>
        <v>1</v>
      </c>
      <c r="ET59" s="36">
        <f t="shared" si="85"/>
        <v>1</v>
      </c>
      <c r="EU59" s="40">
        <f>COUNTIF($ET$2:$ET$92, ET59)/(COUNTIF($ET$2:$ET$92, "&lt;&gt;""") - COUNTIF($ET$2:$ET$92, ""))</f>
        <v>0.45555555555555555</v>
      </c>
      <c r="EV59" s="36">
        <f t="shared" si="86"/>
        <v>5</v>
      </c>
      <c r="EW59" s="40">
        <f>COUNTIF($EV$2:$EV$92, EV59)/(COUNTIF($EV$2:$EV$92, "&lt;&gt;""") - COUNTIF($EV$2:$EV$92, ""))</f>
        <v>0.13333333333333333</v>
      </c>
      <c r="EX59" s="36" t="str">
        <f t="shared" si="87"/>
        <v>No</v>
      </c>
      <c r="EY59" s="40">
        <f>COUNTIF($EX$2:$EX$92, EX59)/(COUNTIF($EX$2:$EX$92, "&lt;&gt;""") - COUNTIF($EX$2:$EX$92, ""))</f>
        <v>0.72222222222222221</v>
      </c>
      <c r="EZ59" s="36" t="str">
        <f t="shared" ref="EZ59:FB59" si="172">BM59</f>
        <v>No</v>
      </c>
      <c r="FA59" s="36" t="str">
        <f t="shared" si="172"/>
        <v>No</v>
      </c>
      <c r="FB59" s="36" t="str">
        <f t="shared" si="172"/>
        <v>No</v>
      </c>
      <c r="FC59" s="207"/>
      <c r="FD59" s="36" t="str">
        <f t="shared" si="89"/>
        <v>Transactional</v>
      </c>
      <c r="FE59" s="40">
        <f>COUNTIF($FD$2:$FD$92, FD59)/(COUNTIF($FD$2:$FD$92, "&lt;&gt;""") - COUNTIF($FD$2:$FD$92, ""))</f>
        <v>0.6</v>
      </c>
      <c r="FF59" s="36" t="str">
        <f t="shared" si="90"/>
        <v>B2B/B2C</v>
      </c>
      <c r="FG59" s="40">
        <f>COUNTIF($FF$2:$FF$92, FF59)/(COUNTIF($FF$2:$FF$92, "&lt;&gt;""") - COUNTIF($FF$2:$FF$92, ""))</f>
        <v>0.27777777777777779</v>
      </c>
      <c r="FH59" s="36" t="str">
        <f t="shared" si="91"/>
        <v>Low</v>
      </c>
      <c r="FI59" s="40">
        <f>COUNTIF($FH$2:$FH$92, FH59)/(COUNTIF($FH$2:$FH$92, "&lt;&gt;""") - COUNTIF($FH$2:$FH$92, ""))</f>
        <v>0.46666666666666667</v>
      </c>
      <c r="FJ59" s="36" t="str">
        <f t="shared" si="92"/>
        <v>High</v>
      </c>
      <c r="FK59" s="40">
        <f>COUNTIF($FJ$2:$FJ$92, FJ59)/(COUNTIF($FJ$2:$FJ$92, "&lt;&gt;""") - COUNTIF($FJ$2:$FJ$92, ""))</f>
        <v>0.58888888888888891</v>
      </c>
      <c r="FL59" s="207"/>
      <c r="FM59" s="192">
        <f t="shared" si="93"/>
        <v>1</v>
      </c>
      <c r="FN59" s="192" t="e">
        <f t="shared" ca="1" si="94"/>
        <v>#NAME?</v>
      </c>
      <c r="FO59" s="192" t="e">
        <f t="shared" ca="1" si="95"/>
        <v>#NAME?</v>
      </c>
      <c r="FP59" s="192" t="e">
        <f t="shared" ca="1" si="96"/>
        <v>#NAME?</v>
      </c>
      <c r="FQ59" s="209" t="e">
        <f t="shared" ca="1" si="97"/>
        <v>#NAME?</v>
      </c>
      <c r="FR59" s="208" t="e">
        <f t="shared" ca="1" si="98"/>
        <v>#NAME?</v>
      </c>
      <c r="FS59" s="36" t="str">
        <f t="shared" si="99"/>
        <v>Pre-Product</v>
      </c>
      <c r="FT59" s="196">
        <f>COUNTIF($FS$2:$FS$92, FS59)/(COUNTIF($FS$2:$FS$92, "&lt;&gt;""") - COUNTIF($FZ$2:$FZ$92, ""))</f>
        <v>0.22222222222222221</v>
      </c>
      <c r="FU59" s="207"/>
      <c r="FV59" s="192" t="e">
        <f t="shared" ca="1" si="100"/>
        <v>#NAME?</v>
      </c>
      <c r="FW59" s="197" t="e">
        <f t="shared" ca="1" si="101"/>
        <v>#NAME?</v>
      </c>
      <c r="FX59" s="209" t="e">
        <f t="shared" ca="1" si="102"/>
        <v>#NAME?</v>
      </c>
      <c r="FY59" s="211" t="e">
        <f t="shared" ca="1" si="103"/>
        <v>#NAME?</v>
      </c>
      <c r="FZ59" s="36" t="str">
        <f t="shared" si="104"/>
        <v>Yes</v>
      </c>
      <c r="GA59" s="196">
        <f>COUNTIF($FZ$2:$FZ$92, FZ59)/(COUNTIF($FZ$2:$FZ$92, "&lt;&gt;""") - COUNTIF($FZ$2:$FZ$92, ""))</f>
        <v>0.23333333333333334</v>
      </c>
      <c r="GB59" s="196" t="str">
        <f t="shared" si="105"/>
        <v>High</v>
      </c>
      <c r="GC59" s="196">
        <f>COUNTIF($GB$2:$GB$92, GB59)/(COUNTIF($GB$2:$GB$92, "&lt;&gt;""") - COUNTIF($GB$2:$GB$92, ""))</f>
        <v>0.43333333333333335</v>
      </c>
      <c r="GD59" s="196" t="str">
        <f t="shared" si="106"/>
        <v>Low</v>
      </c>
      <c r="GE59" s="196">
        <f>COUNTIF($GD$2:$GD$92, GD59)/(COUNTIF($GD$2:$GD$92, "&lt;&gt;""") - COUNTIF($GD$2:$GD$92, ""))</f>
        <v>0.18888888888888888</v>
      </c>
      <c r="GF59" s="207"/>
      <c r="GG59" s="36"/>
      <c r="GH59" s="209" t="e">
        <f t="shared" ca="1" si="107"/>
        <v>#NAME?</v>
      </c>
      <c r="GI59" s="212" t="e">
        <f t="shared" ca="1" si="108"/>
        <v>#NAME?</v>
      </c>
    </row>
    <row r="60" spans="1:191" ht="15.75" customHeight="1">
      <c r="A60" s="171"/>
      <c r="B60" s="171" t="s">
        <v>433</v>
      </c>
      <c r="C60" s="16">
        <v>1785164</v>
      </c>
      <c r="D60" s="233" t="s">
        <v>940</v>
      </c>
      <c r="E60" s="234">
        <v>43711.390972222223</v>
      </c>
      <c r="F60" s="16" t="s">
        <v>270</v>
      </c>
      <c r="G60" s="235" t="s">
        <v>941</v>
      </c>
      <c r="H60" s="235" t="s">
        <v>942</v>
      </c>
      <c r="I60" s="241">
        <v>43693</v>
      </c>
      <c r="J60" s="233" t="s">
        <v>943</v>
      </c>
      <c r="K60" s="233" t="s">
        <v>944</v>
      </c>
      <c r="M60" s="29" t="s">
        <v>331</v>
      </c>
      <c r="N60" s="16" t="s">
        <v>168</v>
      </c>
      <c r="O60" s="16" t="s">
        <v>30</v>
      </c>
      <c r="P60" s="16" t="s">
        <v>31</v>
      </c>
      <c r="Q60" s="16" t="s">
        <v>35</v>
      </c>
      <c r="S60" s="16" t="s">
        <v>176</v>
      </c>
      <c r="T60" s="237"/>
      <c r="U60" s="213"/>
      <c r="W60" s="54">
        <v>3000000</v>
      </c>
      <c r="X60" s="226">
        <v>0</v>
      </c>
      <c r="Y60" s="55">
        <f t="shared" si="158"/>
        <v>3000000</v>
      </c>
      <c r="Z60" s="274">
        <f t="shared" si="159"/>
        <v>3000000</v>
      </c>
      <c r="AA60" s="183" t="e">
        <f t="shared" ca="1" si="160"/>
        <v>#NAME?</v>
      </c>
      <c r="AB60" s="16" t="s">
        <v>178</v>
      </c>
      <c r="AC60" s="16" t="s">
        <v>37</v>
      </c>
      <c r="AD60" s="16" t="s">
        <v>38</v>
      </c>
      <c r="AE60" s="16" t="s">
        <v>190</v>
      </c>
      <c r="AF60" s="16" t="s">
        <v>181</v>
      </c>
      <c r="AG60" s="16" t="s">
        <v>39</v>
      </c>
      <c r="AH60" s="16" t="s">
        <v>190</v>
      </c>
      <c r="AI60" s="54"/>
      <c r="AJ60" s="278">
        <v>20225132500</v>
      </c>
      <c r="AK60" s="224" t="e">
        <f t="shared" ca="1" si="161"/>
        <v>#NAME?</v>
      </c>
      <c r="AL60" s="278">
        <v>20225132500</v>
      </c>
      <c r="AM60" s="224" t="e">
        <f t="shared" ca="1" si="162"/>
        <v>#NAME?</v>
      </c>
      <c r="AN60" s="278">
        <v>0.13500000000000001</v>
      </c>
      <c r="AO60" s="185" t="e">
        <f t="shared" ca="1" si="63"/>
        <v>#NAME?</v>
      </c>
      <c r="AP60" s="185" t="s">
        <v>211</v>
      </c>
      <c r="AQ60" s="16" t="s">
        <v>181</v>
      </c>
      <c r="AR60" s="16" t="s">
        <v>181</v>
      </c>
      <c r="AS60" s="16" t="s">
        <v>42</v>
      </c>
      <c r="AT60" s="159" t="s">
        <v>39</v>
      </c>
      <c r="AU60" s="159" t="s">
        <v>181</v>
      </c>
      <c r="AV60" s="16" t="s">
        <v>190</v>
      </c>
      <c r="AW60" s="16" t="s">
        <v>190</v>
      </c>
      <c r="AX60" s="16" t="s">
        <v>190</v>
      </c>
      <c r="AY60" s="16" t="s">
        <v>190</v>
      </c>
      <c r="AZ60" s="54">
        <v>0</v>
      </c>
      <c r="BA60" s="55" t="e">
        <f t="shared" ca="1" si="163"/>
        <v>#NAME?</v>
      </c>
      <c r="BB60" s="278">
        <v>27</v>
      </c>
      <c r="BC60" s="278">
        <v>0</v>
      </c>
      <c r="BD60" s="62" t="e">
        <f t="shared" ca="1" si="164"/>
        <v>#NAME?</v>
      </c>
      <c r="BE60" s="277">
        <f t="shared" si="165"/>
        <v>1</v>
      </c>
      <c r="BF60" s="62" t="e">
        <f t="shared" ca="1" si="166"/>
        <v>#NAME?</v>
      </c>
      <c r="BG60" s="16" t="s">
        <v>43</v>
      </c>
      <c r="BI60" s="16" t="s">
        <v>190</v>
      </c>
      <c r="BJ60" s="16">
        <v>0</v>
      </c>
      <c r="BK60" s="278">
        <v>1</v>
      </c>
      <c r="BL60" s="176" t="s">
        <v>190</v>
      </c>
      <c r="BM60" s="16" t="s">
        <v>190</v>
      </c>
      <c r="BN60" s="16" t="s">
        <v>190</v>
      </c>
      <c r="BO60" s="16" t="s">
        <v>227</v>
      </c>
      <c r="BP60" s="16">
        <v>4</v>
      </c>
      <c r="BQ60" s="16">
        <v>1</v>
      </c>
      <c r="BR60" s="16">
        <v>0</v>
      </c>
      <c r="BS60" s="16">
        <v>0</v>
      </c>
      <c r="BT60" s="204"/>
      <c r="BU60" s="238">
        <v>0</v>
      </c>
      <c r="BV60" s="238">
        <v>0</v>
      </c>
      <c r="BW60" s="238">
        <v>49</v>
      </c>
      <c r="BX60" s="239" t="s">
        <v>190</v>
      </c>
      <c r="BY60" s="204"/>
      <c r="BZ60" s="187"/>
      <c r="CA60" s="187"/>
      <c r="CB60" s="187"/>
      <c r="CC60" s="187"/>
      <c r="CD60" s="204"/>
      <c r="CE60" s="187"/>
      <c r="CF60" s="187"/>
      <c r="CG60" s="187"/>
      <c r="CH60" s="187"/>
      <c r="CI60" s="204"/>
      <c r="CJ60" s="187"/>
      <c r="CK60" s="187"/>
      <c r="CL60" s="187"/>
      <c r="CM60" s="187"/>
      <c r="CN60" s="205"/>
      <c r="CO60" s="240"/>
      <c r="CP60" s="240"/>
      <c r="CQ60" s="240"/>
      <c r="CR60" s="187"/>
      <c r="CS60" s="204"/>
      <c r="CT60" s="240"/>
      <c r="CU60" s="240"/>
      <c r="CV60" s="240"/>
      <c r="CW60" s="187"/>
      <c r="CX60" s="204"/>
      <c r="CY60" s="240"/>
      <c r="CZ60" s="240"/>
      <c r="DA60" s="240"/>
      <c r="DB60" s="187"/>
      <c r="DC60" s="204"/>
      <c r="DD60" s="240"/>
      <c r="DE60" s="240"/>
      <c r="DF60" s="240"/>
      <c r="DG60" s="187"/>
      <c r="DH60" s="204"/>
      <c r="DI60" s="240"/>
      <c r="DJ60" s="240"/>
      <c r="DK60" s="240"/>
      <c r="DL60" s="187"/>
      <c r="DM60" s="204"/>
      <c r="DN60" s="205"/>
      <c r="DO60" s="205"/>
      <c r="DQ60" s="206"/>
      <c r="DR60" s="188">
        <f t="shared" si="64"/>
        <v>0</v>
      </c>
      <c r="DS60" s="188"/>
      <c r="DT60" s="189">
        <f t="shared" si="65"/>
        <v>0</v>
      </c>
      <c r="DU60" s="189"/>
      <c r="DV60" s="188">
        <f t="shared" si="66"/>
        <v>49</v>
      </c>
      <c r="DW60" s="183" t="e">
        <f t="shared" ca="1" si="67"/>
        <v>#NAME?</v>
      </c>
      <c r="DX60" s="207"/>
      <c r="DY60" s="190" t="e">
        <f t="shared" ca="1" si="68"/>
        <v>#NAME?</v>
      </c>
      <c r="DZ60" s="191">
        <f t="shared" si="69"/>
        <v>1</v>
      </c>
      <c r="EA60" s="191" t="str">
        <f t="shared" si="70"/>
        <v/>
      </c>
      <c r="EB60" s="191" t="str">
        <f t="shared" si="71"/>
        <v/>
      </c>
      <c r="EC60" s="208" t="e">
        <f t="shared" ca="1" si="72"/>
        <v>#NAME?</v>
      </c>
      <c r="ED60" s="36" t="str">
        <f t="shared" si="73"/>
        <v>Convertible Note</v>
      </c>
      <c r="EE60" s="193">
        <f>COUNTIF($ED$2:$ED$92, ED60)/(COUNTIF($ED$2:$ED$92, "&lt;&gt;""") - COUNTIF($ED$2:$ED$92, ""))</f>
        <v>0.13333333333333333</v>
      </c>
      <c r="EF60" s="36" t="str">
        <f t="shared" si="74"/>
        <v>Early</v>
      </c>
      <c r="EG60" s="207"/>
      <c r="EH60" s="194" t="e">
        <f t="shared" ca="1" si="75"/>
        <v>#NAME?</v>
      </c>
      <c r="EI60" s="194" t="e">
        <f t="shared" ca="1" si="76"/>
        <v>#NAME?</v>
      </c>
      <c r="EJ60" s="209" t="e">
        <f t="shared" ca="1" si="77"/>
        <v>#NAME?</v>
      </c>
      <c r="EK60" s="208" t="e">
        <f t="shared" ca="1" si="78"/>
        <v>#NAME?</v>
      </c>
      <c r="EL60" s="36" t="str">
        <f t="shared" si="79"/>
        <v>No</v>
      </c>
      <c r="EM60" s="207"/>
      <c r="EN60" s="192">
        <f t="shared" si="80"/>
        <v>1</v>
      </c>
      <c r="EO60" s="192">
        <f t="shared" si="81"/>
        <v>1</v>
      </c>
      <c r="EP60" s="209">
        <f t="shared" si="82"/>
        <v>2</v>
      </c>
      <c r="EQ60" s="210">
        <f t="shared" si="83"/>
        <v>1</v>
      </c>
      <c r="ER60" s="36" t="e">
        <f t="shared" ca="1" si="84"/>
        <v>#NAME?</v>
      </c>
      <c r="ES60" s="40">
        <f ca="1">COUNTIF($ER$2:$ER$92, ER60)/(COUNTIF($ER$2:$ER$92, "&lt;&gt;""") - COUNTIF($ER$2:$ER$92, ""))</f>
        <v>1</v>
      </c>
      <c r="ET60" s="36">
        <f t="shared" si="85"/>
        <v>1</v>
      </c>
      <c r="EU60" s="40">
        <f>COUNTIF($ET$2:$ET$92, ET60)/(COUNTIF($ET$2:$ET$92, "&lt;&gt;""") - COUNTIF($ET$2:$ET$92, ""))</f>
        <v>0.45555555555555555</v>
      </c>
      <c r="EV60" s="36">
        <f t="shared" si="86"/>
        <v>1</v>
      </c>
      <c r="EW60" s="40">
        <f>COUNTIF($EV$2:$EV$92, EV60)/(COUNTIF($EV$2:$EV$92, "&lt;&gt;""") - COUNTIF($EV$2:$EV$92, ""))</f>
        <v>7.7777777777777779E-2</v>
      </c>
      <c r="EX60" s="36" t="str">
        <f t="shared" si="87"/>
        <v>No</v>
      </c>
      <c r="EY60" s="40">
        <f>COUNTIF($EX$2:$EX$92, EX60)/(COUNTIF($EX$2:$EX$92, "&lt;&gt;""") - COUNTIF($EX$2:$EX$92, ""))</f>
        <v>0.72222222222222221</v>
      </c>
      <c r="EZ60" s="36" t="str">
        <f t="shared" ref="EZ60:FB60" si="173">BM60</f>
        <v>No</v>
      </c>
      <c r="FA60" s="36" t="str">
        <f t="shared" si="173"/>
        <v>No</v>
      </c>
      <c r="FB60" s="36" t="str">
        <f t="shared" si="173"/>
        <v>Yes</v>
      </c>
      <c r="FC60" s="207"/>
      <c r="FD60" s="36" t="str">
        <f t="shared" si="89"/>
        <v>Recurring</v>
      </c>
      <c r="FE60" s="40">
        <f>COUNTIF($FD$2:$FD$92, FD60)/(COUNTIF($FD$2:$FD$92, "&lt;&gt;""") - COUNTIF($FD$2:$FD$92, ""))</f>
        <v>0.4</v>
      </c>
      <c r="FF60" s="36" t="str">
        <f t="shared" si="90"/>
        <v>B2B</v>
      </c>
      <c r="FG60" s="40">
        <f>COUNTIF($FF$2:$FF$92, FF60)/(COUNTIF($FF$2:$FF$92, "&lt;&gt;""") - COUNTIF($FF$2:$FF$92, ""))</f>
        <v>0.24444444444444444</v>
      </c>
      <c r="FH60" s="36" t="str">
        <f t="shared" si="91"/>
        <v>Low</v>
      </c>
      <c r="FI60" s="40">
        <f>COUNTIF($FH$2:$FH$92, FH60)/(COUNTIF($FH$2:$FH$92, "&lt;&gt;""") - COUNTIF($FH$2:$FH$92, ""))</f>
        <v>0.46666666666666667</v>
      </c>
      <c r="FJ60" s="36" t="str">
        <f t="shared" si="92"/>
        <v>High</v>
      </c>
      <c r="FK60" s="40">
        <f>COUNTIF($FJ$2:$FJ$92, FJ60)/(COUNTIF($FJ$2:$FJ$92, "&lt;&gt;""") - COUNTIF($FJ$2:$FJ$92, ""))</f>
        <v>0.58888888888888891</v>
      </c>
      <c r="FL60" s="207"/>
      <c r="FM60" s="192">
        <f t="shared" si="93"/>
        <v>1</v>
      </c>
      <c r="FN60" s="192" t="e">
        <f t="shared" ca="1" si="94"/>
        <v>#NAME?</v>
      </c>
      <c r="FO60" s="192" t="e">
        <f t="shared" ca="1" si="95"/>
        <v>#NAME?</v>
      </c>
      <c r="FP60" s="192" t="e">
        <f t="shared" ca="1" si="96"/>
        <v>#NAME?</v>
      </c>
      <c r="FQ60" s="209" t="e">
        <f t="shared" ca="1" si="97"/>
        <v>#NAME?</v>
      </c>
      <c r="FR60" s="208" t="e">
        <f t="shared" ca="1" si="98"/>
        <v>#NAME?</v>
      </c>
      <c r="FS60" s="36" t="str">
        <f t="shared" si="99"/>
        <v>Pre-Product</v>
      </c>
      <c r="FT60" s="196">
        <f>COUNTIF($FS$2:$FS$92, FS60)/(COUNTIF($FS$2:$FS$92, "&lt;&gt;""") - COUNTIF($FZ$2:$FZ$92, ""))</f>
        <v>0.22222222222222221</v>
      </c>
      <c r="FU60" s="207"/>
      <c r="FV60" s="192" t="e">
        <f t="shared" ca="1" si="100"/>
        <v>#NAME?</v>
      </c>
      <c r="FW60" s="197" t="e">
        <f t="shared" ca="1" si="101"/>
        <v>#NAME?</v>
      </c>
      <c r="FX60" s="209" t="e">
        <f t="shared" ca="1" si="102"/>
        <v>#NAME?</v>
      </c>
      <c r="FY60" s="211" t="e">
        <f t="shared" ca="1" si="103"/>
        <v>#NAME?</v>
      </c>
      <c r="FZ60" s="36" t="str">
        <f t="shared" si="104"/>
        <v>No</v>
      </c>
      <c r="GA60" s="196">
        <f>COUNTIF($FZ$2:$FZ$92, FZ60)/(COUNTIF($FZ$2:$FZ$92, "&lt;&gt;""") - COUNTIF($FZ$2:$FZ$92, ""))</f>
        <v>0.76666666666666672</v>
      </c>
      <c r="GB60" s="196" t="str">
        <f t="shared" si="105"/>
        <v>High</v>
      </c>
      <c r="GC60" s="196">
        <f>COUNTIF($GB$2:$GB$92, GB60)/(COUNTIF($GB$2:$GB$92, "&lt;&gt;""") - COUNTIF($GB$2:$GB$92, ""))</f>
        <v>0.43333333333333335</v>
      </c>
      <c r="GD60" s="196" t="str">
        <f t="shared" si="106"/>
        <v>Low</v>
      </c>
      <c r="GE60" s="196">
        <f>COUNTIF($GD$2:$GD$92, GD60)/(COUNTIF($GD$2:$GD$92, "&lt;&gt;""") - COUNTIF($GD$2:$GD$92, ""))</f>
        <v>0.18888888888888888</v>
      </c>
      <c r="GF60" s="207"/>
      <c r="GG60" s="36"/>
      <c r="GH60" s="209" t="e">
        <f t="shared" ca="1" si="107"/>
        <v>#NAME?</v>
      </c>
      <c r="GI60" s="212" t="e">
        <f t="shared" ca="1" si="108"/>
        <v>#NAME?</v>
      </c>
    </row>
    <row r="61" spans="1:191" ht="15.75" customHeight="1">
      <c r="A61" s="171"/>
      <c r="B61" s="171" t="s">
        <v>433</v>
      </c>
      <c r="C61" s="16">
        <v>1728036</v>
      </c>
      <c r="D61" s="233" t="s">
        <v>945</v>
      </c>
      <c r="E61" s="234">
        <v>43712.609722222223</v>
      </c>
      <c r="F61" s="16" t="s">
        <v>325</v>
      </c>
      <c r="G61" s="235" t="s">
        <v>946</v>
      </c>
      <c r="H61" s="235" t="s">
        <v>947</v>
      </c>
      <c r="I61" s="241">
        <v>43216</v>
      </c>
      <c r="J61" s="233" t="s">
        <v>945</v>
      </c>
      <c r="K61" s="233" t="s">
        <v>948</v>
      </c>
      <c r="M61" s="29" t="s">
        <v>243</v>
      </c>
      <c r="N61" s="16" t="s">
        <v>168</v>
      </c>
      <c r="O61" s="16" t="s">
        <v>173</v>
      </c>
      <c r="P61" s="16" t="s">
        <v>197</v>
      </c>
      <c r="Q61" s="16" t="s">
        <v>35</v>
      </c>
      <c r="S61" s="16" t="s">
        <v>34</v>
      </c>
      <c r="T61" s="237"/>
      <c r="U61" s="213"/>
      <c r="V61" s="54"/>
      <c r="W61" s="54">
        <v>1900000</v>
      </c>
      <c r="X61" s="226">
        <v>0</v>
      </c>
      <c r="Y61" s="55">
        <f t="shared" si="158"/>
        <v>1900000</v>
      </c>
      <c r="Z61" s="274">
        <f t="shared" si="159"/>
        <v>1900000</v>
      </c>
      <c r="AA61" s="183" t="e">
        <f t="shared" ca="1" si="160"/>
        <v>#NAME?</v>
      </c>
      <c r="AB61" s="16" t="s">
        <v>36</v>
      </c>
      <c r="AC61" s="16" t="s">
        <v>218</v>
      </c>
      <c r="AD61" s="16" t="s">
        <v>38</v>
      </c>
      <c r="AE61" s="16" t="s">
        <v>190</v>
      </c>
      <c r="AF61" s="16" t="s">
        <v>39</v>
      </c>
      <c r="AG61" s="16" t="s">
        <v>181</v>
      </c>
      <c r="AH61" s="16" t="s">
        <v>190</v>
      </c>
      <c r="AI61" s="54"/>
      <c r="AJ61" s="278">
        <v>12296000000</v>
      </c>
      <c r="AK61" s="224" t="e">
        <f t="shared" ca="1" si="161"/>
        <v>#NAME?</v>
      </c>
      <c r="AL61" s="278">
        <v>4303600000</v>
      </c>
      <c r="AM61" s="224" t="e">
        <f t="shared" ca="1" si="162"/>
        <v>#NAME?</v>
      </c>
      <c r="AN61" s="278">
        <v>7.0000000000000007E-2</v>
      </c>
      <c r="AO61" s="185" t="e">
        <f t="shared" ca="1" si="63"/>
        <v>#NAME?</v>
      </c>
      <c r="AP61" s="185" t="s">
        <v>264</v>
      </c>
      <c r="AQ61" s="16" t="s">
        <v>181</v>
      </c>
      <c r="AR61" s="16" t="s">
        <v>181</v>
      </c>
      <c r="AS61" s="16" t="s">
        <v>42</v>
      </c>
      <c r="AT61" s="159" t="s">
        <v>181</v>
      </c>
      <c r="AU61" s="159" t="s">
        <v>39</v>
      </c>
      <c r="AV61" s="16" t="s">
        <v>190</v>
      </c>
      <c r="AW61" s="16" t="s">
        <v>190</v>
      </c>
      <c r="AX61" s="16" t="s">
        <v>227</v>
      </c>
      <c r="AY61" s="16" t="s">
        <v>227</v>
      </c>
      <c r="AZ61" s="54">
        <v>286000</v>
      </c>
      <c r="BA61" s="55" t="e">
        <f t="shared" ca="1" si="163"/>
        <v>#NAME?</v>
      </c>
      <c r="BB61" s="278">
        <v>5250</v>
      </c>
      <c r="BC61" s="278">
        <v>0</v>
      </c>
      <c r="BD61" s="62" t="e">
        <f t="shared" ca="1" si="164"/>
        <v>#NAME?</v>
      </c>
      <c r="BE61" s="277">
        <f t="shared" si="165"/>
        <v>1</v>
      </c>
      <c r="BF61" s="62" t="e">
        <f t="shared" ca="1" si="166"/>
        <v>#NAME?</v>
      </c>
      <c r="BG61" s="16" t="s">
        <v>202</v>
      </c>
      <c r="BI61" s="16" t="s">
        <v>190</v>
      </c>
      <c r="BJ61" s="16">
        <v>0</v>
      </c>
      <c r="BK61" s="278">
        <v>2</v>
      </c>
      <c r="BL61" s="176" t="s">
        <v>190</v>
      </c>
      <c r="BM61" s="16" t="s">
        <v>227</v>
      </c>
      <c r="BN61" s="16" t="s">
        <v>190</v>
      </c>
      <c r="BO61" s="16" t="s">
        <v>190</v>
      </c>
      <c r="BP61" s="16">
        <v>0</v>
      </c>
      <c r="BQ61" s="16">
        <v>2</v>
      </c>
      <c r="BR61" s="16">
        <v>0</v>
      </c>
      <c r="BS61" s="16">
        <v>0</v>
      </c>
      <c r="BT61" s="204"/>
      <c r="BU61" s="238">
        <v>23</v>
      </c>
      <c r="BV61" s="238">
        <v>0</v>
      </c>
      <c r="BW61" s="238">
        <v>42</v>
      </c>
      <c r="BX61" s="239" t="s">
        <v>190</v>
      </c>
      <c r="BY61" s="204"/>
      <c r="BZ61" s="239">
        <v>23</v>
      </c>
      <c r="CA61" s="239">
        <v>0</v>
      </c>
      <c r="CB61" s="242"/>
      <c r="CC61" s="242"/>
      <c r="CD61" s="204"/>
      <c r="CE61" s="242"/>
      <c r="CF61" s="242"/>
      <c r="CG61" s="242"/>
      <c r="CH61" s="242"/>
      <c r="CI61" s="204"/>
      <c r="CJ61" s="242"/>
      <c r="CK61" s="242"/>
      <c r="CL61" s="242"/>
      <c r="CM61" s="242"/>
      <c r="CN61" s="205"/>
      <c r="CO61" s="187"/>
      <c r="CP61" s="187"/>
      <c r="CQ61" s="187"/>
      <c r="CR61" s="187"/>
      <c r="CS61" s="204"/>
      <c r="CT61" s="187"/>
      <c r="CU61" s="187"/>
      <c r="CV61" s="187"/>
      <c r="CW61" s="187"/>
      <c r="CX61" s="204"/>
      <c r="CY61" s="187"/>
      <c r="CZ61" s="187"/>
      <c r="DA61" s="187"/>
      <c r="DB61" s="187"/>
      <c r="DC61" s="204"/>
      <c r="DD61" s="187"/>
      <c r="DE61" s="187"/>
      <c r="DF61" s="187"/>
      <c r="DG61" s="187"/>
      <c r="DH61" s="204"/>
      <c r="DI61" s="187"/>
      <c r="DJ61" s="187"/>
      <c r="DK61" s="187"/>
      <c r="DL61" s="187"/>
      <c r="DM61" s="204"/>
      <c r="DN61" s="205"/>
      <c r="DO61" s="205"/>
      <c r="DQ61" s="206"/>
      <c r="DR61" s="188">
        <f t="shared" si="64"/>
        <v>23</v>
      </c>
      <c r="DS61" s="188"/>
      <c r="DT61" s="189">
        <f t="shared" si="65"/>
        <v>0</v>
      </c>
      <c r="DU61" s="189"/>
      <c r="DV61" s="188">
        <f t="shared" si="66"/>
        <v>42</v>
      </c>
      <c r="DW61" s="183" t="e">
        <f t="shared" ca="1" si="67"/>
        <v>#NAME?</v>
      </c>
      <c r="DX61" s="207"/>
      <c r="DY61" s="190" t="e">
        <f t="shared" ca="1" si="68"/>
        <v>#NAME?</v>
      </c>
      <c r="DZ61" s="191">
        <f t="shared" si="69"/>
        <v>1</v>
      </c>
      <c r="EA61" s="191" t="str">
        <f t="shared" si="70"/>
        <v/>
      </c>
      <c r="EB61" s="191" t="str">
        <f t="shared" si="71"/>
        <v/>
      </c>
      <c r="EC61" s="208" t="e">
        <f t="shared" ca="1" si="72"/>
        <v>#NAME?</v>
      </c>
      <c r="ED61" s="36" t="str">
        <f t="shared" si="73"/>
        <v>CAFES</v>
      </c>
      <c r="EE61" s="193">
        <f>COUNTIF($ED$2:$ED$92, ED61)/(COUNTIF($ED$2:$ED$92, "&lt;&gt;""") - COUNTIF($ED$2:$ED$92, ""))</f>
        <v>0.1</v>
      </c>
      <c r="EF61" s="36" t="str">
        <f t="shared" si="74"/>
        <v>Growth</v>
      </c>
      <c r="EG61" s="207"/>
      <c r="EH61" s="194" t="e">
        <f t="shared" ca="1" si="75"/>
        <v>#NAME?</v>
      </c>
      <c r="EI61" s="194" t="e">
        <f t="shared" ca="1" si="76"/>
        <v>#NAME?</v>
      </c>
      <c r="EJ61" s="209" t="e">
        <f t="shared" ca="1" si="77"/>
        <v>#NAME?</v>
      </c>
      <c r="EK61" s="208" t="e">
        <f t="shared" ca="1" si="78"/>
        <v>#NAME?</v>
      </c>
      <c r="EL61" s="36" t="str">
        <f t="shared" si="79"/>
        <v>No</v>
      </c>
      <c r="EM61" s="207"/>
      <c r="EN61" s="192">
        <f t="shared" si="80"/>
        <v>3.1904761904761907</v>
      </c>
      <c r="EO61" s="192">
        <f t="shared" si="81"/>
        <v>1</v>
      </c>
      <c r="EP61" s="209">
        <f t="shared" si="82"/>
        <v>4.1904761904761907</v>
      </c>
      <c r="EQ61" s="210">
        <f t="shared" si="83"/>
        <v>2.7196261682242993</v>
      </c>
      <c r="ER61" s="36" t="e">
        <f t="shared" ca="1" si="84"/>
        <v>#NAME?</v>
      </c>
      <c r="ES61" s="40">
        <f ca="1">COUNTIF($ER$2:$ER$92, ER61)/(COUNTIF($ER$2:$ER$92, "&lt;&gt;""") - COUNTIF($ER$2:$ER$92, ""))</f>
        <v>1</v>
      </c>
      <c r="ET61" s="36">
        <f t="shared" si="85"/>
        <v>2</v>
      </c>
      <c r="EU61" s="40">
        <f>COUNTIF($ET$2:$ET$92, ET61)/(COUNTIF($ET$2:$ET$92, "&lt;&gt;""") - COUNTIF($ET$2:$ET$92, ""))</f>
        <v>0.45555555555555555</v>
      </c>
      <c r="EV61" s="36">
        <f t="shared" si="86"/>
        <v>2</v>
      </c>
      <c r="EW61" s="40">
        <f>COUNTIF($EV$2:$EV$92, EV61)/(COUNTIF($EV$2:$EV$92, "&lt;&gt;""") - COUNTIF($EV$2:$EV$92, ""))</f>
        <v>0.15555555555555556</v>
      </c>
      <c r="EX61" s="36" t="str">
        <f t="shared" si="87"/>
        <v>No</v>
      </c>
      <c r="EY61" s="40">
        <f>COUNTIF($EX$2:$EX$92, EX61)/(COUNTIF($EX$2:$EX$92, "&lt;&gt;""") - COUNTIF($EX$2:$EX$92, ""))</f>
        <v>0.72222222222222221</v>
      </c>
      <c r="EZ61" s="36" t="str">
        <f t="shared" ref="EZ61:FB61" si="174">BM61</f>
        <v>Yes</v>
      </c>
      <c r="FA61" s="36" t="str">
        <f t="shared" si="174"/>
        <v>No</v>
      </c>
      <c r="FB61" s="36" t="str">
        <f t="shared" si="174"/>
        <v>No</v>
      </c>
      <c r="FC61" s="207"/>
      <c r="FD61" s="36" t="str">
        <f t="shared" si="89"/>
        <v>Transactional</v>
      </c>
      <c r="FE61" s="40">
        <f>COUNTIF($FD$2:$FD$92, FD61)/(COUNTIF($FD$2:$FD$92, "&lt;&gt;""") - COUNTIF($FD$2:$FD$92, ""))</f>
        <v>0.6</v>
      </c>
      <c r="FF61" s="36" t="str">
        <f t="shared" si="90"/>
        <v>B2B/B2C</v>
      </c>
      <c r="FG61" s="40">
        <f>COUNTIF($FF$2:$FF$92, FF61)/(COUNTIF($FF$2:$FF$92, "&lt;&gt;""") - COUNTIF($FF$2:$FF$92, ""))</f>
        <v>0.27777777777777779</v>
      </c>
      <c r="FH61" s="36" t="str">
        <f t="shared" si="91"/>
        <v>High</v>
      </c>
      <c r="FI61" s="40">
        <f>COUNTIF($FH$2:$FH$92, FH61)/(COUNTIF($FH$2:$FH$92, "&lt;&gt;""") - COUNTIF($FH$2:$FH$92, ""))</f>
        <v>0.53333333333333333</v>
      </c>
      <c r="FJ61" s="36" t="str">
        <f t="shared" si="92"/>
        <v>Low</v>
      </c>
      <c r="FK61" s="40">
        <f>COUNTIF($FJ$2:$FJ$92, FJ61)/(COUNTIF($FJ$2:$FJ$92, "&lt;&gt;""") - COUNTIF($FJ$2:$FJ$92, ""))</f>
        <v>0.41111111111111109</v>
      </c>
      <c r="FL61" s="207"/>
      <c r="FM61" s="192">
        <f t="shared" si="93"/>
        <v>5</v>
      </c>
      <c r="FN61" s="192" t="e">
        <f t="shared" ca="1" si="94"/>
        <v>#NAME?</v>
      </c>
      <c r="FO61" s="192" t="e">
        <f t="shared" ca="1" si="95"/>
        <v>#NAME?</v>
      </c>
      <c r="FP61" s="192" t="e">
        <f t="shared" ca="1" si="96"/>
        <v>#NAME?</v>
      </c>
      <c r="FQ61" s="209" t="e">
        <f t="shared" ca="1" si="97"/>
        <v>#NAME?</v>
      </c>
      <c r="FR61" s="208" t="e">
        <f t="shared" ca="1" si="98"/>
        <v>#NAME?</v>
      </c>
      <c r="FS61" s="36" t="str">
        <f t="shared" si="99"/>
        <v>Pre-Profit</v>
      </c>
      <c r="FT61" s="196">
        <f>COUNTIF($FS$2:$FS$92, FS61)/(COUNTIF($FS$2:$FS$92, "&lt;&gt;""") - COUNTIF($FZ$2:$FZ$92, ""))</f>
        <v>0.51111111111111107</v>
      </c>
      <c r="FU61" s="207"/>
      <c r="FV61" s="192" t="e">
        <f t="shared" ca="1" si="100"/>
        <v>#NAME?</v>
      </c>
      <c r="FW61" s="197" t="e">
        <f t="shared" ca="1" si="101"/>
        <v>#NAME?</v>
      </c>
      <c r="FX61" s="209" t="e">
        <f t="shared" ca="1" si="102"/>
        <v>#NAME?</v>
      </c>
      <c r="FY61" s="211" t="e">
        <f t="shared" ca="1" si="103"/>
        <v>#NAME?</v>
      </c>
      <c r="FZ61" s="36" t="str">
        <f t="shared" si="104"/>
        <v>No</v>
      </c>
      <c r="GA61" s="196">
        <f>COUNTIF($FZ$2:$FZ$92, FZ61)/(COUNTIF($FZ$2:$FZ$92, "&lt;&gt;""") - COUNTIF($FZ$2:$FZ$92, ""))</f>
        <v>0.76666666666666672</v>
      </c>
      <c r="GB61" s="196" t="str">
        <f t="shared" si="105"/>
        <v>Low</v>
      </c>
      <c r="GC61" s="196">
        <f>COUNTIF($GB$2:$GB$92, GB61)/(COUNTIF($GB$2:$GB$92, "&lt;&gt;""") - COUNTIF($GB$2:$GB$92, ""))</f>
        <v>0.55555555555555558</v>
      </c>
      <c r="GD61" s="196" t="str">
        <f t="shared" si="106"/>
        <v>High</v>
      </c>
      <c r="GE61" s="196">
        <f>COUNTIF($GD$2:$GD$92, GD61)/(COUNTIF($GD$2:$GD$92, "&lt;&gt;""") - COUNTIF($GD$2:$GD$92, ""))</f>
        <v>0.8</v>
      </c>
      <c r="GF61" s="207"/>
      <c r="GG61" s="36"/>
      <c r="GH61" s="209" t="e">
        <f t="shared" ca="1" si="107"/>
        <v>#NAME?</v>
      </c>
      <c r="GI61" s="212" t="e">
        <f t="shared" ca="1" si="108"/>
        <v>#NAME?</v>
      </c>
    </row>
    <row r="62" spans="1:191" ht="15.75" customHeight="1">
      <c r="A62" s="171"/>
      <c r="B62" s="171" t="s">
        <v>433</v>
      </c>
      <c r="C62" s="16">
        <v>1727652</v>
      </c>
      <c r="D62" s="233" t="s">
        <v>949</v>
      </c>
      <c r="E62" s="234">
        <v>43712.615972222222</v>
      </c>
      <c r="F62" s="16" t="s">
        <v>325</v>
      </c>
      <c r="G62" s="235" t="s">
        <v>950</v>
      </c>
      <c r="H62" s="235" t="s">
        <v>951</v>
      </c>
      <c r="I62" s="236">
        <v>43222</v>
      </c>
      <c r="J62" s="233" t="s">
        <v>952</v>
      </c>
      <c r="K62" s="233" t="s">
        <v>953</v>
      </c>
      <c r="M62" s="29" t="s">
        <v>253</v>
      </c>
      <c r="N62" s="16" t="s">
        <v>244</v>
      </c>
      <c r="O62" s="16" t="s">
        <v>30</v>
      </c>
      <c r="P62" s="16" t="s">
        <v>31</v>
      </c>
      <c r="Q62" s="16" t="s">
        <v>35</v>
      </c>
      <c r="S62" s="16" t="s">
        <v>34</v>
      </c>
      <c r="T62" s="237"/>
      <c r="U62" s="213"/>
      <c r="V62" s="54"/>
      <c r="W62" s="54">
        <v>1500000</v>
      </c>
      <c r="X62" s="226">
        <v>0</v>
      </c>
      <c r="Y62" s="55">
        <f t="shared" si="158"/>
        <v>1500000</v>
      </c>
      <c r="Z62" s="274">
        <f t="shared" si="159"/>
        <v>1500000</v>
      </c>
      <c r="AA62" s="183" t="e">
        <f t="shared" ca="1" si="160"/>
        <v>#NAME?</v>
      </c>
      <c r="AB62" s="16" t="s">
        <v>178</v>
      </c>
      <c r="AC62" s="16" t="s">
        <v>218</v>
      </c>
      <c r="AD62" s="16" t="s">
        <v>180</v>
      </c>
      <c r="AE62" s="16" t="s">
        <v>227</v>
      </c>
      <c r="AF62" s="16" t="s">
        <v>39</v>
      </c>
      <c r="AG62" s="16" t="s">
        <v>181</v>
      </c>
      <c r="AH62" s="16" t="s">
        <v>190</v>
      </c>
      <c r="AI62" s="54"/>
      <c r="AJ62" s="278">
        <v>4309637530</v>
      </c>
      <c r="AK62" s="224" t="e">
        <f t="shared" ca="1" si="161"/>
        <v>#NAME?</v>
      </c>
      <c r="AL62" s="278">
        <v>4309637530</v>
      </c>
      <c r="AM62" s="224" t="e">
        <f t="shared" ca="1" si="162"/>
        <v>#NAME?</v>
      </c>
      <c r="AN62" s="278">
        <v>0.152</v>
      </c>
      <c r="AO62" s="185" t="e">
        <f t="shared" ca="1" si="63"/>
        <v>#NAME?</v>
      </c>
      <c r="AP62" s="185" t="s">
        <v>264</v>
      </c>
      <c r="AQ62" s="16" t="s">
        <v>181</v>
      </c>
      <c r="AR62" s="16" t="s">
        <v>39</v>
      </c>
      <c r="AS62" s="16" t="s">
        <v>42</v>
      </c>
      <c r="AT62" s="159" t="s">
        <v>181</v>
      </c>
      <c r="AU62" s="159" t="s">
        <v>39</v>
      </c>
      <c r="AV62" s="16" t="s">
        <v>227</v>
      </c>
      <c r="AW62" s="16" t="s">
        <v>190</v>
      </c>
      <c r="AX62" s="16" t="s">
        <v>190</v>
      </c>
      <c r="AY62" s="16" t="s">
        <v>190</v>
      </c>
      <c r="AZ62" s="54">
        <v>0</v>
      </c>
      <c r="BA62" s="55" t="e">
        <f t="shared" ca="1" si="163"/>
        <v>#NAME?</v>
      </c>
      <c r="BB62" s="278">
        <v>7</v>
      </c>
      <c r="BC62" s="278">
        <v>0</v>
      </c>
      <c r="BD62" s="62" t="e">
        <f t="shared" ca="1" si="164"/>
        <v>#NAME?</v>
      </c>
      <c r="BE62" s="277">
        <f t="shared" si="165"/>
        <v>1</v>
      </c>
      <c r="BF62" s="62" t="e">
        <f t="shared" ca="1" si="166"/>
        <v>#NAME?</v>
      </c>
      <c r="BG62" s="16" t="s">
        <v>43</v>
      </c>
      <c r="BI62" s="16" t="s">
        <v>190</v>
      </c>
      <c r="BJ62" s="16">
        <v>0</v>
      </c>
      <c r="BK62" s="278">
        <v>4</v>
      </c>
      <c r="BL62" s="16" t="s">
        <v>227</v>
      </c>
      <c r="BM62" s="16" t="s">
        <v>227</v>
      </c>
      <c r="BN62" s="16" t="s">
        <v>190</v>
      </c>
      <c r="BO62" s="16" t="s">
        <v>190</v>
      </c>
      <c r="BP62" s="16">
        <v>8</v>
      </c>
      <c r="BQ62" s="16">
        <v>4</v>
      </c>
      <c r="BR62" s="16">
        <v>0</v>
      </c>
      <c r="BS62" s="16">
        <v>0</v>
      </c>
      <c r="BT62" s="204"/>
      <c r="BU62" s="239">
        <v>20</v>
      </c>
      <c r="BV62" s="239">
        <v>0</v>
      </c>
      <c r="BW62" s="239">
        <v>62</v>
      </c>
      <c r="BX62" s="243" t="s">
        <v>190</v>
      </c>
      <c r="BY62" s="204"/>
      <c r="BZ62" s="239">
        <v>30</v>
      </c>
      <c r="CA62" s="239">
        <v>0</v>
      </c>
      <c r="CB62" s="239">
        <v>65</v>
      </c>
      <c r="CC62" s="239" t="s">
        <v>227</v>
      </c>
      <c r="CD62" s="204"/>
      <c r="CE62" s="239">
        <v>12</v>
      </c>
      <c r="CF62" s="239">
        <v>0</v>
      </c>
      <c r="CG62" s="239">
        <v>63</v>
      </c>
      <c r="CH62" s="239" t="s">
        <v>190</v>
      </c>
      <c r="CI62" s="204"/>
      <c r="CJ62" s="239">
        <v>1</v>
      </c>
      <c r="CK62" s="239">
        <v>1</v>
      </c>
      <c r="CL62" s="239">
        <v>49</v>
      </c>
      <c r="CM62" s="239" t="s">
        <v>227</v>
      </c>
      <c r="CN62" s="205"/>
      <c r="CO62" s="242"/>
      <c r="CP62" s="242"/>
      <c r="CQ62" s="242"/>
      <c r="CR62" s="242"/>
      <c r="CS62" s="204"/>
      <c r="CT62" s="242"/>
      <c r="CU62" s="242"/>
      <c r="CV62" s="242"/>
      <c r="CW62" s="242"/>
      <c r="CX62" s="204"/>
      <c r="CY62" s="242"/>
      <c r="CZ62" s="242"/>
      <c r="DA62" s="242"/>
      <c r="DB62" s="242"/>
      <c r="DC62" s="204"/>
      <c r="DD62" s="242"/>
      <c r="DE62" s="242"/>
      <c r="DF62" s="242"/>
      <c r="DG62" s="242"/>
      <c r="DH62" s="204"/>
      <c r="DI62" s="242"/>
      <c r="DJ62" s="242"/>
      <c r="DK62" s="242"/>
      <c r="DL62" s="242"/>
      <c r="DM62" s="204"/>
      <c r="DN62" s="205"/>
      <c r="DO62" s="205"/>
      <c r="DQ62" s="206"/>
      <c r="DR62" s="188">
        <f t="shared" si="64"/>
        <v>15.75</v>
      </c>
      <c r="DS62" s="188"/>
      <c r="DT62" s="189">
        <f t="shared" si="65"/>
        <v>1</v>
      </c>
      <c r="DU62" s="189"/>
      <c r="DV62" s="188">
        <f t="shared" si="66"/>
        <v>59.75</v>
      </c>
      <c r="DW62" s="183" t="e">
        <f t="shared" ca="1" si="67"/>
        <v>#NAME?</v>
      </c>
      <c r="DX62" s="207"/>
      <c r="DY62" s="190" t="e">
        <f t="shared" ca="1" si="68"/>
        <v>#NAME?</v>
      </c>
      <c r="DZ62" s="191">
        <f t="shared" si="69"/>
        <v>1</v>
      </c>
      <c r="EA62" s="191" t="str">
        <f t="shared" si="70"/>
        <v/>
      </c>
      <c r="EB62" s="191" t="str">
        <f t="shared" si="71"/>
        <v/>
      </c>
      <c r="EC62" s="208" t="e">
        <f t="shared" ca="1" si="72"/>
        <v>#NAME?</v>
      </c>
      <c r="ED62" s="36" t="str">
        <f t="shared" si="73"/>
        <v>CAFES</v>
      </c>
      <c r="EE62" s="193">
        <f>COUNTIF($ED$2:$ED$92, ED62)/(COUNTIF($ED$2:$ED$92, "&lt;&gt;""") - COUNTIF($ED$2:$ED$92, ""))</f>
        <v>0.1</v>
      </c>
      <c r="EF62" s="36" t="str">
        <f t="shared" si="74"/>
        <v>Early</v>
      </c>
      <c r="EG62" s="207"/>
      <c r="EH62" s="194" t="e">
        <f t="shared" ca="1" si="75"/>
        <v>#NAME?</v>
      </c>
      <c r="EI62" s="194" t="e">
        <f t="shared" ca="1" si="76"/>
        <v>#NAME?</v>
      </c>
      <c r="EJ62" s="209" t="e">
        <f t="shared" ca="1" si="77"/>
        <v>#NAME?</v>
      </c>
      <c r="EK62" s="208" t="e">
        <f t="shared" ca="1" si="78"/>
        <v>#NAME?</v>
      </c>
      <c r="EL62" s="36" t="str">
        <f t="shared" si="79"/>
        <v>Yes</v>
      </c>
      <c r="EM62" s="207"/>
      <c r="EN62" s="192">
        <f t="shared" si="80"/>
        <v>2.5</v>
      </c>
      <c r="EO62" s="192">
        <f t="shared" si="81"/>
        <v>2</v>
      </c>
      <c r="EP62" s="209">
        <f t="shared" si="82"/>
        <v>4.5</v>
      </c>
      <c r="EQ62" s="210">
        <f t="shared" si="83"/>
        <v>2.962616822429907</v>
      </c>
      <c r="ER62" s="36" t="e">
        <f t="shared" ca="1" si="84"/>
        <v>#NAME?</v>
      </c>
      <c r="ES62" s="40">
        <f ca="1">COUNTIF($ER$2:$ER$92, ER62)/(COUNTIF($ER$2:$ER$92, "&lt;&gt;""") - COUNTIF($ER$2:$ER$92, ""))</f>
        <v>1</v>
      </c>
      <c r="ET62" s="36">
        <f t="shared" si="85"/>
        <v>4</v>
      </c>
      <c r="EU62" s="40">
        <f>COUNTIF($ET$2:$ET$92, ET62)/(COUNTIF($ET$2:$ET$92, "&lt;&gt;""") - COUNTIF($ET$2:$ET$92, ""))</f>
        <v>4.4444444444444446E-2</v>
      </c>
      <c r="EV62" s="36">
        <f t="shared" si="86"/>
        <v>4</v>
      </c>
      <c r="EW62" s="40">
        <f>COUNTIF($EV$2:$EV$92, EV62)/(COUNTIF($EV$2:$EV$92, "&lt;&gt;""") - COUNTIF($EV$2:$EV$92, ""))</f>
        <v>0.12222222222222222</v>
      </c>
      <c r="EX62" s="36" t="str">
        <f t="shared" si="87"/>
        <v>Yes</v>
      </c>
      <c r="EY62" s="40">
        <f>COUNTIF($EX$2:$EX$92, EX62)/(COUNTIF($EX$2:$EX$92, "&lt;&gt;""") - COUNTIF($EX$2:$EX$92, ""))</f>
        <v>0.27777777777777779</v>
      </c>
      <c r="EZ62" s="36" t="str">
        <f t="shared" ref="EZ62:FB62" si="175">BM62</f>
        <v>Yes</v>
      </c>
      <c r="FA62" s="36" t="str">
        <f t="shared" si="175"/>
        <v>No</v>
      </c>
      <c r="FB62" s="36" t="str">
        <f t="shared" si="175"/>
        <v>No</v>
      </c>
      <c r="FC62" s="207"/>
      <c r="FD62" s="36" t="str">
        <f t="shared" si="89"/>
        <v>Recurring</v>
      </c>
      <c r="FE62" s="40">
        <f>COUNTIF($FD$2:$FD$92, FD62)/(COUNTIF($FD$2:$FD$92, "&lt;&gt;""") - COUNTIF($FD$2:$FD$92, ""))</f>
        <v>0.4</v>
      </c>
      <c r="FF62" s="36" t="str">
        <f t="shared" si="90"/>
        <v>B2B/B2C</v>
      </c>
      <c r="FG62" s="40">
        <f>COUNTIF($FF$2:$FF$92, FF62)/(COUNTIF($FF$2:$FF$92, "&lt;&gt;""") - COUNTIF($FF$2:$FF$92, ""))</f>
        <v>0.27777777777777779</v>
      </c>
      <c r="FH62" s="36" t="str">
        <f t="shared" si="91"/>
        <v>High</v>
      </c>
      <c r="FI62" s="40">
        <f>COUNTIF($FH$2:$FH$92, FH62)/(COUNTIF($FH$2:$FH$92, "&lt;&gt;""") - COUNTIF($FH$2:$FH$92, ""))</f>
        <v>0.53333333333333333</v>
      </c>
      <c r="FJ62" s="36" t="str">
        <f t="shared" si="92"/>
        <v>Low</v>
      </c>
      <c r="FK62" s="40">
        <f>COUNTIF($FJ$2:$FJ$92, FJ62)/(COUNTIF($FJ$2:$FJ$92, "&lt;&gt;""") - COUNTIF($FJ$2:$FJ$92, ""))</f>
        <v>0.41111111111111109</v>
      </c>
      <c r="FL62" s="207"/>
      <c r="FM62" s="192">
        <f t="shared" si="93"/>
        <v>1</v>
      </c>
      <c r="FN62" s="192" t="e">
        <f t="shared" ca="1" si="94"/>
        <v>#NAME?</v>
      </c>
      <c r="FO62" s="192" t="e">
        <f t="shared" ca="1" si="95"/>
        <v>#NAME?</v>
      </c>
      <c r="FP62" s="192" t="e">
        <f t="shared" ca="1" si="96"/>
        <v>#NAME?</v>
      </c>
      <c r="FQ62" s="209" t="e">
        <f t="shared" ca="1" si="97"/>
        <v>#NAME?</v>
      </c>
      <c r="FR62" s="208" t="e">
        <f t="shared" ca="1" si="98"/>
        <v>#NAME?</v>
      </c>
      <c r="FS62" s="36" t="str">
        <f t="shared" si="99"/>
        <v>Pre-Product</v>
      </c>
      <c r="FT62" s="196">
        <f>COUNTIF($FS$2:$FS$92, FS62)/(COUNTIF($FS$2:$FS$92, "&lt;&gt;""") - COUNTIF($FZ$2:$FZ$92, ""))</f>
        <v>0.22222222222222221</v>
      </c>
      <c r="FU62" s="207"/>
      <c r="FV62" s="192">
        <f t="shared" si="100"/>
        <v>3</v>
      </c>
      <c r="FW62" s="197" t="e">
        <f t="shared" ca="1" si="101"/>
        <v>#NAME?</v>
      </c>
      <c r="FX62" s="209" t="e">
        <f t="shared" ca="1" si="102"/>
        <v>#NAME?</v>
      </c>
      <c r="FY62" s="211" t="e">
        <f t="shared" ca="1" si="103"/>
        <v>#NAME?</v>
      </c>
      <c r="FZ62" s="36" t="str">
        <f t="shared" si="104"/>
        <v>No</v>
      </c>
      <c r="GA62" s="196">
        <f>COUNTIF($FZ$2:$FZ$92, FZ62)/(COUNTIF($FZ$2:$FZ$92, "&lt;&gt;""") - COUNTIF($FZ$2:$FZ$92, ""))</f>
        <v>0.76666666666666672</v>
      </c>
      <c r="GB62" s="196" t="str">
        <f t="shared" si="105"/>
        <v>Low</v>
      </c>
      <c r="GC62" s="196">
        <f>COUNTIF($GB$2:$GB$92, GB62)/(COUNTIF($GB$2:$GB$92, "&lt;&gt;""") - COUNTIF($GB$2:$GB$92, ""))</f>
        <v>0.55555555555555558</v>
      </c>
      <c r="GD62" s="196" t="str">
        <f t="shared" si="106"/>
        <v>High</v>
      </c>
      <c r="GE62" s="196">
        <f>COUNTIF($GD$2:$GD$92, GD62)/(COUNTIF($GD$2:$GD$92, "&lt;&gt;""") - COUNTIF($GD$2:$GD$92, ""))</f>
        <v>0.8</v>
      </c>
      <c r="GF62" s="207"/>
      <c r="GG62" s="36"/>
      <c r="GH62" s="209" t="e">
        <f t="shared" ca="1" si="107"/>
        <v>#NAME?</v>
      </c>
      <c r="GI62" s="212" t="e">
        <f t="shared" ca="1" si="108"/>
        <v>#NAME?</v>
      </c>
    </row>
    <row r="63" spans="1:191" ht="15.75" customHeight="1">
      <c r="A63" s="174"/>
      <c r="B63" s="174" t="s">
        <v>433</v>
      </c>
      <c r="C63" s="238">
        <v>1738707</v>
      </c>
      <c r="D63" s="244" t="s">
        <v>954</v>
      </c>
      <c r="E63" s="245">
        <v>43712.618750000001</v>
      </c>
      <c r="F63" s="239" t="s">
        <v>325</v>
      </c>
      <c r="G63" s="32" t="s">
        <v>955</v>
      </c>
      <c r="H63" s="32" t="s">
        <v>956</v>
      </c>
      <c r="I63" s="246">
        <v>43220</v>
      </c>
      <c r="J63" s="247" t="s">
        <v>957</v>
      </c>
      <c r="K63" s="247" t="s">
        <v>958</v>
      </c>
      <c r="M63" s="239" t="s">
        <v>28</v>
      </c>
      <c r="N63" s="239" t="s">
        <v>168</v>
      </c>
      <c r="O63" s="239" t="s">
        <v>30</v>
      </c>
      <c r="P63" s="239" t="s">
        <v>174</v>
      </c>
      <c r="Q63" s="239" t="s">
        <v>35</v>
      </c>
      <c r="R63" s="187"/>
      <c r="S63" s="239" t="s">
        <v>34</v>
      </c>
      <c r="T63" s="248"/>
      <c r="U63" s="249"/>
      <c r="V63" s="250"/>
      <c r="W63" s="251">
        <v>8750000</v>
      </c>
      <c r="X63" s="252">
        <v>0</v>
      </c>
      <c r="Y63" s="55">
        <f t="shared" si="158"/>
        <v>8750000</v>
      </c>
      <c r="Z63" s="274">
        <f t="shared" si="159"/>
        <v>8750000</v>
      </c>
      <c r="AA63" s="183" t="e">
        <f t="shared" ca="1" si="160"/>
        <v>#NAME?</v>
      </c>
      <c r="AB63" s="239" t="s">
        <v>36</v>
      </c>
      <c r="AC63" s="239" t="s">
        <v>218</v>
      </c>
      <c r="AD63" s="239" t="s">
        <v>38</v>
      </c>
      <c r="AE63" s="239" t="s">
        <v>190</v>
      </c>
      <c r="AF63" s="239" t="s">
        <v>181</v>
      </c>
      <c r="AG63" s="239" t="s">
        <v>39</v>
      </c>
      <c r="AH63" s="239" t="s">
        <v>190</v>
      </c>
      <c r="AI63" s="251"/>
      <c r="AJ63" s="279">
        <v>114200000000</v>
      </c>
      <c r="AK63" s="224" t="e">
        <f t="shared" ca="1" si="161"/>
        <v>#NAME?</v>
      </c>
      <c r="AL63" s="279">
        <v>27600000000</v>
      </c>
      <c r="AM63" s="224" t="e">
        <f t="shared" ca="1" si="162"/>
        <v>#NAME?</v>
      </c>
      <c r="AN63" s="279">
        <v>7.0000000000000007E-2</v>
      </c>
      <c r="AO63" s="185" t="e">
        <f t="shared" ca="1" si="63"/>
        <v>#NAME?</v>
      </c>
      <c r="AP63" s="185" t="s">
        <v>264</v>
      </c>
      <c r="AQ63" s="239" t="s">
        <v>181</v>
      </c>
      <c r="AR63" s="239" t="s">
        <v>181</v>
      </c>
      <c r="AS63" s="239" t="s">
        <v>42</v>
      </c>
      <c r="AT63" s="29" t="s">
        <v>39</v>
      </c>
      <c r="AU63" s="29" t="s">
        <v>39</v>
      </c>
      <c r="AV63" s="239" t="s">
        <v>190</v>
      </c>
      <c r="AW63" s="239" t="s">
        <v>190</v>
      </c>
      <c r="AX63" s="239" t="s">
        <v>227</v>
      </c>
      <c r="AY63" s="239" t="s">
        <v>190</v>
      </c>
      <c r="AZ63" s="251">
        <v>0</v>
      </c>
      <c r="BA63" s="55" t="e">
        <f t="shared" ca="1" si="163"/>
        <v>#NAME?</v>
      </c>
      <c r="BB63" s="279">
        <v>0</v>
      </c>
      <c r="BC63" s="280">
        <v>0</v>
      </c>
      <c r="BD63" s="62" t="e">
        <f t="shared" ca="1" si="164"/>
        <v>#NAME?</v>
      </c>
      <c r="BE63" s="277">
        <f t="shared" si="165"/>
        <v>1</v>
      </c>
      <c r="BF63" s="62" t="e">
        <f t="shared" ca="1" si="166"/>
        <v>#NAME?</v>
      </c>
      <c r="BG63" s="239" t="s">
        <v>183</v>
      </c>
      <c r="BH63" s="187"/>
      <c r="BI63" s="239" t="s">
        <v>227</v>
      </c>
      <c r="BJ63" s="239">
        <v>7</v>
      </c>
      <c r="BK63" s="279">
        <v>1</v>
      </c>
      <c r="BL63" s="176" t="s">
        <v>190</v>
      </c>
      <c r="BM63" s="239" t="s">
        <v>190</v>
      </c>
      <c r="BN63" s="239" t="s">
        <v>190</v>
      </c>
      <c r="BO63" s="239" t="s">
        <v>190</v>
      </c>
      <c r="BP63" s="238">
        <v>0</v>
      </c>
      <c r="BQ63" s="238">
        <v>2</v>
      </c>
      <c r="BR63" s="238">
        <v>0</v>
      </c>
      <c r="BS63" s="238">
        <v>0</v>
      </c>
      <c r="BT63" s="204"/>
      <c r="BU63" s="238">
        <v>24</v>
      </c>
      <c r="BV63" s="238">
        <v>0</v>
      </c>
      <c r="BW63" s="238">
        <v>50</v>
      </c>
      <c r="BX63" s="239" t="s">
        <v>190</v>
      </c>
      <c r="BY63" s="204"/>
      <c r="BZ63" s="187"/>
      <c r="CA63" s="187"/>
      <c r="CB63" s="187"/>
      <c r="CC63" s="187"/>
      <c r="CD63" s="204"/>
      <c r="CE63" s="187"/>
      <c r="CF63" s="187"/>
      <c r="CG63" s="187"/>
      <c r="CH63" s="187"/>
      <c r="CI63" s="204"/>
      <c r="CJ63" s="187"/>
      <c r="CK63" s="187"/>
      <c r="CL63" s="187"/>
      <c r="CM63" s="187"/>
      <c r="CN63" s="205"/>
      <c r="CO63" s="187"/>
      <c r="CP63" s="187"/>
      <c r="CQ63" s="187"/>
      <c r="CR63" s="187"/>
      <c r="CS63" s="204"/>
      <c r="CT63" s="187"/>
      <c r="CU63" s="187"/>
      <c r="CV63" s="187"/>
      <c r="CW63" s="187"/>
      <c r="CX63" s="204"/>
      <c r="CY63" s="187"/>
      <c r="CZ63" s="187"/>
      <c r="DA63" s="187"/>
      <c r="DB63" s="187"/>
      <c r="DC63" s="204"/>
      <c r="DD63" s="187"/>
      <c r="DE63" s="187"/>
      <c r="DF63" s="187"/>
      <c r="DG63" s="187"/>
      <c r="DH63" s="204"/>
      <c r="DI63" s="187"/>
      <c r="DJ63" s="187"/>
      <c r="DK63" s="187"/>
      <c r="DL63" s="187"/>
      <c r="DM63" s="204"/>
      <c r="DN63" s="205"/>
      <c r="DO63" s="205"/>
      <c r="DQ63" s="206"/>
      <c r="DR63" s="188">
        <f t="shared" si="64"/>
        <v>24</v>
      </c>
      <c r="DS63" s="188"/>
      <c r="DT63" s="189">
        <f t="shared" si="65"/>
        <v>0</v>
      </c>
      <c r="DU63" s="189"/>
      <c r="DV63" s="188">
        <f t="shared" si="66"/>
        <v>50</v>
      </c>
      <c r="DW63" s="183" t="e">
        <f t="shared" ca="1" si="67"/>
        <v>#NAME?</v>
      </c>
      <c r="DX63" s="207"/>
      <c r="DY63" s="190" t="e">
        <f t="shared" ca="1" si="68"/>
        <v>#NAME?</v>
      </c>
      <c r="DZ63" s="191">
        <f t="shared" si="69"/>
        <v>1</v>
      </c>
      <c r="EA63" s="191" t="str">
        <f t="shared" si="70"/>
        <v/>
      </c>
      <c r="EB63" s="191" t="str">
        <f t="shared" si="71"/>
        <v/>
      </c>
      <c r="EC63" s="208" t="e">
        <f t="shared" ca="1" si="72"/>
        <v>#NAME?</v>
      </c>
      <c r="ED63" s="36" t="str">
        <f t="shared" si="73"/>
        <v>CAFES</v>
      </c>
      <c r="EE63" s="193">
        <f>COUNTIF($ED$2:$ED$92, ED63)/(COUNTIF($ED$2:$ED$92, "&lt;&gt;""") - COUNTIF($ED$2:$ED$92, ""))</f>
        <v>0.1</v>
      </c>
      <c r="EF63" s="36" t="str">
        <f t="shared" si="74"/>
        <v>Early</v>
      </c>
      <c r="EG63" s="207"/>
      <c r="EH63" s="194" t="e">
        <f t="shared" ca="1" si="75"/>
        <v>#NAME?</v>
      </c>
      <c r="EI63" s="194" t="e">
        <f t="shared" ca="1" si="76"/>
        <v>#NAME?</v>
      </c>
      <c r="EJ63" s="209" t="e">
        <f t="shared" ca="1" si="77"/>
        <v>#NAME?</v>
      </c>
      <c r="EK63" s="208" t="e">
        <f t="shared" ca="1" si="78"/>
        <v>#NAME?</v>
      </c>
      <c r="EL63" s="36" t="str">
        <f t="shared" si="79"/>
        <v>No</v>
      </c>
      <c r="EM63" s="207"/>
      <c r="EN63" s="192">
        <f t="shared" si="80"/>
        <v>3.2857142857142856</v>
      </c>
      <c r="EO63" s="192">
        <f t="shared" si="81"/>
        <v>1</v>
      </c>
      <c r="EP63" s="209">
        <f t="shared" si="82"/>
        <v>4.2857142857142856</v>
      </c>
      <c r="EQ63" s="210">
        <f t="shared" si="83"/>
        <v>2.7943925233644862</v>
      </c>
      <c r="ER63" s="36" t="e">
        <f t="shared" ca="1" si="84"/>
        <v>#NAME?</v>
      </c>
      <c r="ES63" s="40">
        <f ca="1">COUNTIF($ER$2:$ER$92, ER63)/(COUNTIF($ER$2:$ER$92, "&lt;&gt;""") - COUNTIF($ER$2:$ER$92, ""))</f>
        <v>1</v>
      </c>
      <c r="ET63" s="36">
        <f t="shared" si="85"/>
        <v>1</v>
      </c>
      <c r="EU63" s="40">
        <f>COUNTIF($ET$2:$ET$92, ET63)/(COUNTIF($ET$2:$ET$92, "&lt;&gt;""") - COUNTIF($ET$2:$ET$92, ""))</f>
        <v>0.45555555555555555</v>
      </c>
      <c r="EV63" s="36">
        <f t="shared" si="86"/>
        <v>2</v>
      </c>
      <c r="EW63" s="40">
        <f>COUNTIF($EV$2:$EV$92, EV63)/(COUNTIF($EV$2:$EV$92, "&lt;&gt;""") - COUNTIF($EV$2:$EV$92, ""))</f>
        <v>0.15555555555555556</v>
      </c>
      <c r="EX63" s="36" t="str">
        <f t="shared" si="87"/>
        <v>No</v>
      </c>
      <c r="EY63" s="40">
        <f>COUNTIF($EX$2:$EX$92, EX63)/(COUNTIF($EX$2:$EX$92, "&lt;&gt;""") - COUNTIF($EX$2:$EX$92, ""))</f>
        <v>0.72222222222222221</v>
      </c>
      <c r="EZ63" s="36" t="str">
        <f t="shared" ref="EZ63:FB63" si="176">BM63</f>
        <v>No</v>
      </c>
      <c r="FA63" s="36" t="str">
        <f t="shared" si="176"/>
        <v>No</v>
      </c>
      <c r="FB63" s="36" t="str">
        <f t="shared" si="176"/>
        <v>No</v>
      </c>
      <c r="FC63" s="207"/>
      <c r="FD63" s="36" t="str">
        <f t="shared" si="89"/>
        <v>Transactional</v>
      </c>
      <c r="FE63" s="40">
        <f>COUNTIF($FD$2:$FD$92, FD63)/(COUNTIF($FD$2:$FD$92, "&lt;&gt;""") - COUNTIF($FD$2:$FD$92, ""))</f>
        <v>0.6</v>
      </c>
      <c r="FF63" s="36" t="str">
        <f t="shared" si="90"/>
        <v>B2B/B2C</v>
      </c>
      <c r="FG63" s="40">
        <f>COUNTIF($FF$2:$FF$92, FF63)/(COUNTIF($FF$2:$FF$92, "&lt;&gt;""") - COUNTIF($FF$2:$FF$92, ""))</f>
        <v>0.27777777777777779</v>
      </c>
      <c r="FH63" s="36" t="str">
        <f t="shared" si="91"/>
        <v>Low</v>
      </c>
      <c r="FI63" s="40">
        <f>COUNTIF($FH$2:$FH$92, FH63)/(COUNTIF($FH$2:$FH$92, "&lt;&gt;""") - COUNTIF($FH$2:$FH$92, ""))</f>
        <v>0.46666666666666667</v>
      </c>
      <c r="FJ63" s="36" t="str">
        <f t="shared" si="92"/>
        <v>High</v>
      </c>
      <c r="FK63" s="40">
        <f>COUNTIF($FJ$2:$FJ$92, FJ63)/(COUNTIF($FJ$2:$FJ$92, "&lt;&gt;""") - COUNTIF($FJ$2:$FJ$92, ""))</f>
        <v>0.58888888888888891</v>
      </c>
      <c r="FL63" s="207"/>
      <c r="FM63" s="192">
        <f t="shared" si="93"/>
        <v>3</v>
      </c>
      <c r="FN63" s="192" t="e">
        <f t="shared" ca="1" si="94"/>
        <v>#NAME?</v>
      </c>
      <c r="FO63" s="192" t="e">
        <f t="shared" ca="1" si="95"/>
        <v>#NAME?</v>
      </c>
      <c r="FP63" s="192" t="e">
        <f t="shared" ca="1" si="96"/>
        <v>#NAME?</v>
      </c>
      <c r="FQ63" s="209" t="e">
        <f t="shared" ca="1" si="97"/>
        <v>#NAME?</v>
      </c>
      <c r="FR63" s="208" t="e">
        <f t="shared" ca="1" si="98"/>
        <v>#NAME?</v>
      </c>
      <c r="FS63" s="36" t="str">
        <f t="shared" si="99"/>
        <v>Pre-Revenue</v>
      </c>
      <c r="FT63" s="196">
        <f>COUNTIF($FS$2:$FS$92, FS63)/(COUNTIF($FS$2:$FS$92, "&lt;&gt;""") - COUNTIF($FZ$2:$FZ$92, ""))</f>
        <v>0.2</v>
      </c>
      <c r="FU63" s="207"/>
      <c r="FV63" s="192" t="e">
        <f t="shared" ca="1" si="100"/>
        <v>#NAME?</v>
      </c>
      <c r="FW63" s="197" t="e">
        <f t="shared" ca="1" si="101"/>
        <v>#NAME?</v>
      </c>
      <c r="FX63" s="209" t="e">
        <f t="shared" ca="1" si="102"/>
        <v>#NAME?</v>
      </c>
      <c r="FY63" s="211" t="e">
        <f t="shared" ca="1" si="103"/>
        <v>#NAME?</v>
      </c>
      <c r="FZ63" s="36" t="str">
        <f t="shared" si="104"/>
        <v>No</v>
      </c>
      <c r="GA63" s="196">
        <f>COUNTIF($FZ$2:$FZ$92, FZ63)/(COUNTIF($FZ$2:$FZ$92, "&lt;&gt;""") - COUNTIF($FZ$2:$FZ$92, ""))</f>
        <v>0.76666666666666672</v>
      </c>
      <c r="GB63" s="196" t="str">
        <f t="shared" si="105"/>
        <v>High</v>
      </c>
      <c r="GC63" s="196">
        <f>COUNTIF($GB$2:$GB$92, GB63)/(COUNTIF($GB$2:$GB$92, "&lt;&gt;""") - COUNTIF($GB$2:$GB$92, ""))</f>
        <v>0.43333333333333335</v>
      </c>
      <c r="GD63" s="196" t="str">
        <f t="shared" si="106"/>
        <v>High</v>
      </c>
      <c r="GE63" s="196">
        <f>COUNTIF($GD$2:$GD$92, GD63)/(COUNTIF($GD$2:$GD$92, "&lt;&gt;""") - COUNTIF($GD$2:$GD$92, ""))</f>
        <v>0.8</v>
      </c>
      <c r="GF63" s="207"/>
      <c r="GG63" s="36"/>
      <c r="GH63" s="209" t="e">
        <f t="shared" ca="1" si="107"/>
        <v>#NAME?</v>
      </c>
      <c r="GI63" s="212" t="e">
        <f t="shared" ca="1" si="108"/>
        <v>#NAME?</v>
      </c>
    </row>
    <row r="64" spans="1:191" ht="15.75" customHeight="1">
      <c r="A64" s="174"/>
      <c r="B64" s="174" t="s">
        <v>433</v>
      </c>
      <c r="C64" s="238">
        <v>1783015</v>
      </c>
      <c r="D64" s="244" t="s">
        <v>959</v>
      </c>
      <c r="E64" s="245">
        <v>43713.418055555558</v>
      </c>
      <c r="F64" s="239" t="s">
        <v>329</v>
      </c>
      <c r="G64" s="32" t="s">
        <v>960</v>
      </c>
      <c r="H64" s="32" t="s">
        <v>961</v>
      </c>
      <c r="I64" s="246">
        <v>43712</v>
      </c>
      <c r="J64" s="247" t="s">
        <v>962</v>
      </c>
      <c r="K64" s="247" t="s">
        <v>959</v>
      </c>
      <c r="M64" s="239" t="s">
        <v>963</v>
      </c>
      <c r="N64" s="239" t="s">
        <v>347</v>
      </c>
      <c r="O64" s="239" t="s">
        <v>30</v>
      </c>
      <c r="P64" s="239" t="s">
        <v>174</v>
      </c>
      <c r="Q64" s="239" t="s">
        <v>35</v>
      </c>
      <c r="R64" s="187"/>
      <c r="S64" s="239" t="s">
        <v>34</v>
      </c>
      <c r="T64" s="248"/>
      <c r="U64" s="249"/>
      <c r="V64" s="250"/>
      <c r="W64" s="253">
        <v>7000000</v>
      </c>
      <c r="X64" s="252">
        <v>0.2</v>
      </c>
      <c r="Y64" s="55">
        <f t="shared" si="158"/>
        <v>5600000</v>
      </c>
      <c r="Z64" s="274">
        <f t="shared" si="159"/>
        <v>5600000</v>
      </c>
      <c r="AA64" s="183" t="e">
        <f t="shared" ca="1" si="160"/>
        <v>#NAME?</v>
      </c>
      <c r="AB64" s="239" t="s">
        <v>178</v>
      </c>
      <c r="AC64" s="239" t="s">
        <v>37</v>
      </c>
      <c r="AD64" s="239" t="s">
        <v>180</v>
      </c>
      <c r="AE64" s="239" t="s">
        <v>227</v>
      </c>
      <c r="AF64" s="239" t="s">
        <v>39</v>
      </c>
      <c r="AG64" s="239" t="s">
        <v>39</v>
      </c>
      <c r="AH64" s="239" t="s">
        <v>227</v>
      </c>
      <c r="AI64" s="251"/>
      <c r="AJ64" s="279">
        <v>1786829694</v>
      </c>
      <c r="AK64" s="224" t="e">
        <f t="shared" ca="1" si="161"/>
        <v>#NAME?</v>
      </c>
      <c r="AL64" s="279">
        <v>1786829694</v>
      </c>
      <c r="AM64" s="224" t="e">
        <f t="shared" ca="1" si="162"/>
        <v>#NAME?</v>
      </c>
      <c r="AN64" s="279">
        <v>0.23400000000000001</v>
      </c>
      <c r="AO64" s="185" t="e">
        <f t="shared" ca="1" si="63"/>
        <v>#NAME?</v>
      </c>
      <c r="AP64" s="185" t="s">
        <v>211</v>
      </c>
      <c r="AQ64" s="239" t="s">
        <v>181</v>
      </c>
      <c r="AR64" s="239" t="s">
        <v>181</v>
      </c>
      <c r="AS64" s="239" t="s">
        <v>42</v>
      </c>
      <c r="AT64" s="29" t="s">
        <v>39</v>
      </c>
      <c r="AU64" s="29" t="s">
        <v>181</v>
      </c>
      <c r="AV64" s="239" t="s">
        <v>190</v>
      </c>
      <c r="AW64" s="239" t="s">
        <v>190</v>
      </c>
      <c r="AX64" s="239" t="s">
        <v>227</v>
      </c>
      <c r="AY64" s="239" t="s">
        <v>227</v>
      </c>
      <c r="AZ64" s="251">
        <v>0</v>
      </c>
      <c r="BA64" s="55" t="e">
        <f t="shared" ca="1" si="163"/>
        <v>#NAME?</v>
      </c>
      <c r="BB64" s="279">
        <v>0</v>
      </c>
      <c r="BC64" s="280">
        <v>0</v>
      </c>
      <c r="BD64" s="62" t="e">
        <f t="shared" ca="1" si="164"/>
        <v>#NAME?</v>
      </c>
      <c r="BE64" s="277">
        <f t="shared" si="165"/>
        <v>1</v>
      </c>
      <c r="BF64" s="62" t="e">
        <f t="shared" ca="1" si="166"/>
        <v>#NAME?</v>
      </c>
      <c r="BG64" s="239" t="s">
        <v>183</v>
      </c>
      <c r="BH64" s="187"/>
      <c r="BI64" s="239" t="s">
        <v>190</v>
      </c>
      <c r="BJ64" s="239">
        <v>0</v>
      </c>
      <c r="BK64" s="279">
        <v>2</v>
      </c>
      <c r="BL64" s="239" t="s">
        <v>227</v>
      </c>
      <c r="BM64" s="239" t="s">
        <v>190</v>
      </c>
      <c r="BN64" s="239" t="s">
        <v>227</v>
      </c>
      <c r="BO64" s="239" t="s">
        <v>190</v>
      </c>
      <c r="BP64" s="239">
        <v>3</v>
      </c>
      <c r="BQ64" s="238">
        <v>9</v>
      </c>
      <c r="BR64" s="238">
        <v>0</v>
      </c>
      <c r="BS64" s="238">
        <v>0</v>
      </c>
      <c r="BT64" s="204"/>
      <c r="BU64" s="239">
        <v>6</v>
      </c>
      <c r="BV64" s="239">
        <v>1</v>
      </c>
      <c r="BW64" s="239">
        <v>31</v>
      </c>
      <c r="BX64" s="243" t="s">
        <v>190</v>
      </c>
      <c r="BY64" s="204"/>
      <c r="BZ64" s="239">
        <v>1</v>
      </c>
      <c r="CA64" s="239">
        <v>1</v>
      </c>
      <c r="CB64" s="239">
        <v>37</v>
      </c>
      <c r="CC64" s="239" t="s">
        <v>190</v>
      </c>
      <c r="CD64" s="204"/>
      <c r="CE64" s="187"/>
      <c r="CF64" s="187"/>
      <c r="CG64" s="187"/>
      <c r="CH64" s="187"/>
      <c r="CI64" s="204"/>
      <c r="CJ64" s="187"/>
      <c r="CK64" s="187"/>
      <c r="CL64" s="187"/>
      <c r="CM64" s="187"/>
      <c r="CN64" s="205"/>
      <c r="CO64" s="187"/>
      <c r="CP64" s="187"/>
      <c r="CQ64" s="187"/>
      <c r="CR64" s="187"/>
      <c r="CS64" s="204"/>
      <c r="CT64" s="187"/>
      <c r="CU64" s="187"/>
      <c r="CV64" s="187"/>
      <c r="CW64" s="187"/>
      <c r="CX64" s="204"/>
      <c r="CY64" s="187"/>
      <c r="CZ64" s="187"/>
      <c r="DA64" s="187"/>
      <c r="DB64" s="187"/>
      <c r="DC64" s="204"/>
      <c r="DD64" s="187"/>
      <c r="DE64" s="187"/>
      <c r="DF64" s="187"/>
      <c r="DG64" s="187"/>
      <c r="DH64" s="204"/>
      <c r="DI64" s="187"/>
      <c r="DJ64" s="187"/>
      <c r="DK64" s="187"/>
      <c r="DL64" s="187"/>
      <c r="DM64" s="204"/>
      <c r="DN64" s="205"/>
      <c r="DO64" s="205"/>
      <c r="DQ64" s="206"/>
      <c r="DR64" s="188">
        <f t="shared" si="64"/>
        <v>3.5</v>
      </c>
      <c r="DS64" s="188"/>
      <c r="DT64" s="189">
        <f t="shared" si="65"/>
        <v>2</v>
      </c>
      <c r="DU64" s="189"/>
      <c r="DV64" s="188">
        <f t="shared" si="66"/>
        <v>34</v>
      </c>
      <c r="DW64" s="183" t="e">
        <f t="shared" ca="1" si="67"/>
        <v>#NAME?</v>
      </c>
      <c r="DX64" s="207"/>
      <c r="DY64" s="190" t="e">
        <f t="shared" ca="1" si="68"/>
        <v>#NAME?</v>
      </c>
      <c r="DZ64" s="191">
        <f t="shared" si="69"/>
        <v>3.1052631578947367</v>
      </c>
      <c r="EA64" s="191" t="str">
        <f t="shared" si="70"/>
        <v/>
      </c>
      <c r="EB64" s="191" t="str">
        <f t="shared" si="71"/>
        <v/>
      </c>
      <c r="EC64" s="208" t="e">
        <f t="shared" ca="1" si="72"/>
        <v>#NAME?</v>
      </c>
      <c r="ED64" s="36" t="str">
        <f t="shared" si="73"/>
        <v>CAFES</v>
      </c>
      <c r="EE64" s="193">
        <f>COUNTIF($ED$2:$ED$92, ED64)/(COUNTIF($ED$2:$ED$92, "&lt;&gt;""") - COUNTIF($ED$2:$ED$92, ""))</f>
        <v>0.1</v>
      </c>
      <c r="EF64" s="36" t="str">
        <f t="shared" si="74"/>
        <v>Early</v>
      </c>
      <c r="EG64" s="207"/>
      <c r="EH64" s="194" t="e">
        <f t="shared" ca="1" si="75"/>
        <v>#NAME?</v>
      </c>
      <c r="EI64" s="194" t="e">
        <f t="shared" ca="1" si="76"/>
        <v>#NAME?</v>
      </c>
      <c r="EJ64" s="209" t="e">
        <f t="shared" ca="1" si="77"/>
        <v>#NAME?</v>
      </c>
      <c r="EK64" s="208" t="e">
        <f t="shared" ca="1" si="78"/>
        <v>#NAME?</v>
      </c>
      <c r="EL64" s="36" t="str">
        <f t="shared" si="79"/>
        <v>No</v>
      </c>
      <c r="EM64" s="207"/>
      <c r="EN64" s="192">
        <f t="shared" si="80"/>
        <v>1.3333333333333333</v>
      </c>
      <c r="EO64" s="192">
        <f t="shared" si="81"/>
        <v>3</v>
      </c>
      <c r="EP64" s="209">
        <f t="shared" si="82"/>
        <v>4.333333333333333</v>
      </c>
      <c r="EQ64" s="210">
        <f t="shared" si="83"/>
        <v>2.8317757009345792</v>
      </c>
      <c r="ER64" s="36" t="e">
        <f t="shared" ca="1" si="84"/>
        <v>#NAME?</v>
      </c>
      <c r="ES64" s="40">
        <f ca="1">COUNTIF($ER$2:$ER$92, ER64)/(COUNTIF($ER$2:$ER$92, "&lt;&gt;""") - COUNTIF($ER$2:$ER$92, ""))</f>
        <v>1</v>
      </c>
      <c r="ET64" s="36">
        <f t="shared" si="85"/>
        <v>2</v>
      </c>
      <c r="EU64" s="40">
        <f>COUNTIF($ET$2:$ET$92, ET64)/(COUNTIF($ET$2:$ET$92, "&lt;&gt;""") - COUNTIF($ET$2:$ET$92, ""))</f>
        <v>0.45555555555555555</v>
      </c>
      <c r="EV64" s="36">
        <f t="shared" si="86"/>
        <v>9</v>
      </c>
      <c r="EW64" s="40">
        <f>COUNTIF($EV$2:$EV$92, EV64)/(COUNTIF($EV$2:$EV$92, "&lt;&gt;""") - COUNTIF($EV$2:$EV$92, ""))</f>
        <v>5.5555555555555552E-2</v>
      </c>
      <c r="EX64" s="36" t="str">
        <f t="shared" si="87"/>
        <v>Yes</v>
      </c>
      <c r="EY64" s="40">
        <f>COUNTIF($EX$2:$EX$92, EX64)/(COUNTIF($EX$2:$EX$92, "&lt;&gt;""") - COUNTIF($EX$2:$EX$92, ""))</f>
        <v>0.27777777777777779</v>
      </c>
      <c r="EZ64" s="36" t="str">
        <f t="shared" ref="EZ64:FB64" si="177">BM64</f>
        <v>No</v>
      </c>
      <c r="FA64" s="36" t="str">
        <f t="shared" si="177"/>
        <v>Yes</v>
      </c>
      <c r="FB64" s="36" t="str">
        <f t="shared" si="177"/>
        <v>No</v>
      </c>
      <c r="FC64" s="207"/>
      <c r="FD64" s="36" t="str">
        <f t="shared" si="89"/>
        <v>Recurring</v>
      </c>
      <c r="FE64" s="40">
        <f>COUNTIF($FD$2:$FD$92, FD64)/(COUNTIF($FD$2:$FD$92, "&lt;&gt;""") - COUNTIF($FD$2:$FD$92, ""))</f>
        <v>0.4</v>
      </c>
      <c r="FF64" s="36" t="str">
        <f t="shared" si="90"/>
        <v>B2B</v>
      </c>
      <c r="FG64" s="40">
        <f>COUNTIF($FF$2:$FF$92, FF64)/(COUNTIF($FF$2:$FF$92, "&lt;&gt;""") - COUNTIF($FF$2:$FF$92, ""))</f>
        <v>0.24444444444444444</v>
      </c>
      <c r="FH64" s="36" t="str">
        <f t="shared" si="91"/>
        <v>High</v>
      </c>
      <c r="FI64" s="40">
        <f>COUNTIF($FH$2:$FH$92, FH64)/(COUNTIF($FH$2:$FH$92, "&lt;&gt;""") - COUNTIF($FH$2:$FH$92, ""))</f>
        <v>0.53333333333333333</v>
      </c>
      <c r="FJ64" s="36" t="str">
        <f t="shared" si="92"/>
        <v>High</v>
      </c>
      <c r="FK64" s="40">
        <f>COUNTIF($FJ$2:$FJ$92, FJ64)/(COUNTIF($FJ$2:$FJ$92, "&lt;&gt;""") - COUNTIF($FJ$2:$FJ$92, ""))</f>
        <v>0.58888888888888891</v>
      </c>
      <c r="FL64" s="207"/>
      <c r="FM64" s="192">
        <f t="shared" si="93"/>
        <v>5</v>
      </c>
      <c r="FN64" s="192" t="e">
        <f t="shared" ca="1" si="94"/>
        <v>#NAME?</v>
      </c>
      <c r="FO64" s="192" t="e">
        <f t="shared" ca="1" si="95"/>
        <v>#NAME?</v>
      </c>
      <c r="FP64" s="192" t="e">
        <f t="shared" ca="1" si="96"/>
        <v>#NAME?</v>
      </c>
      <c r="FQ64" s="209" t="e">
        <f t="shared" ca="1" si="97"/>
        <v>#NAME?</v>
      </c>
      <c r="FR64" s="208" t="e">
        <f t="shared" ca="1" si="98"/>
        <v>#NAME?</v>
      </c>
      <c r="FS64" s="36" t="str">
        <f t="shared" si="99"/>
        <v>Pre-Revenue</v>
      </c>
      <c r="FT64" s="196">
        <f>COUNTIF($FS$2:$FS$92, FS64)/(COUNTIF($FS$2:$FS$92, "&lt;&gt;""") - COUNTIF($FZ$2:$FZ$92, ""))</f>
        <v>0.2</v>
      </c>
      <c r="FU64" s="207"/>
      <c r="FV64" s="192" t="e">
        <f t="shared" ca="1" si="100"/>
        <v>#NAME?</v>
      </c>
      <c r="FW64" s="197" t="e">
        <f t="shared" ca="1" si="101"/>
        <v>#NAME?</v>
      </c>
      <c r="FX64" s="209" t="e">
        <f t="shared" ca="1" si="102"/>
        <v>#NAME?</v>
      </c>
      <c r="FY64" s="211" t="e">
        <f t="shared" ca="1" si="103"/>
        <v>#NAME?</v>
      </c>
      <c r="FZ64" s="36" t="str">
        <f t="shared" si="104"/>
        <v>No</v>
      </c>
      <c r="GA64" s="196">
        <f>COUNTIF($FZ$2:$FZ$92, FZ64)/(COUNTIF($FZ$2:$FZ$92, "&lt;&gt;""") - COUNTIF($FZ$2:$FZ$92, ""))</f>
        <v>0.76666666666666672</v>
      </c>
      <c r="GB64" s="196" t="str">
        <f t="shared" si="105"/>
        <v>High</v>
      </c>
      <c r="GC64" s="196">
        <f>COUNTIF($GB$2:$GB$92, GB64)/(COUNTIF($GB$2:$GB$92, "&lt;&gt;""") - COUNTIF($GB$2:$GB$92, ""))</f>
        <v>0.43333333333333335</v>
      </c>
      <c r="GD64" s="196" t="str">
        <f t="shared" si="106"/>
        <v>Low</v>
      </c>
      <c r="GE64" s="196">
        <f>COUNTIF($GD$2:$GD$92, GD64)/(COUNTIF($GD$2:$GD$92, "&lt;&gt;""") - COUNTIF($GD$2:$GD$92, ""))</f>
        <v>0.18888888888888888</v>
      </c>
      <c r="GF64" s="207"/>
      <c r="GG64" s="36"/>
      <c r="GH64" s="209" t="e">
        <f t="shared" ca="1" si="107"/>
        <v>#NAME?</v>
      </c>
      <c r="GI64" s="212" t="e">
        <f t="shared" ca="1" si="108"/>
        <v>#NAME?</v>
      </c>
    </row>
    <row r="65" spans="1:191" ht="15.75" customHeight="1">
      <c r="A65" s="174"/>
      <c r="B65" s="174" t="s">
        <v>433</v>
      </c>
      <c r="C65" s="238">
        <v>1786413</v>
      </c>
      <c r="D65" s="244" t="s">
        <v>964</v>
      </c>
      <c r="E65" s="245">
        <v>43713.581944444442</v>
      </c>
      <c r="F65" s="239" t="s">
        <v>325</v>
      </c>
      <c r="G65" s="32" t="s">
        <v>965</v>
      </c>
      <c r="H65" s="32" t="s">
        <v>966</v>
      </c>
      <c r="I65" s="246">
        <v>43713</v>
      </c>
      <c r="J65" s="247" t="s">
        <v>967</v>
      </c>
      <c r="K65" s="247" t="s">
        <v>968</v>
      </c>
      <c r="M65" s="29" t="s">
        <v>747</v>
      </c>
      <c r="N65" s="239" t="s">
        <v>168</v>
      </c>
      <c r="O65" s="239" t="s">
        <v>173</v>
      </c>
      <c r="P65" s="239" t="s">
        <v>174</v>
      </c>
      <c r="Q65" s="239" t="s">
        <v>35</v>
      </c>
      <c r="R65" s="187"/>
      <c r="S65" s="239" t="s">
        <v>34</v>
      </c>
      <c r="T65" s="248"/>
      <c r="U65" s="249"/>
      <c r="V65" s="250"/>
      <c r="W65" s="251">
        <v>1600000</v>
      </c>
      <c r="X65" s="252">
        <v>0</v>
      </c>
      <c r="Y65" s="55">
        <f t="shared" si="158"/>
        <v>1600000</v>
      </c>
      <c r="Z65" s="274">
        <f t="shared" si="159"/>
        <v>1600000</v>
      </c>
      <c r="AA65" s="183" t="e">
        <f t="shared" ca="1" si="160"/>
        <v>#NAME?</v>
      </c>
      <c r="AB65" s="239" t="s">
        <v>36</v>
      </c>
      <c r="AC65" s="239" t="s">
        <v>218</v>
      </c>
      <c r="AD65" s="239" t="s">
        <v>38</v>
      </c>
      <c r="AE65" s="239" t="s">
        <v>190</v>
      </c>
      <c r="AF65" s="239" t="s">
        <v>39</v>
      </c>
      <c r="AG65" s="239" t="s">
        <v>39</v>
      </c>
      <c r="AH65" s="239" t="s">
        <v>227</v>
      </c>
      <c r="AI65" s="251"/>
      <c r="AJ65" s="279">
        <v>785000000</v>
      </c>
      <c r="AK65" s="224" t="e">
        <f t="shared" ca="1" si="161"/>
        <v>#NAME?</v>
      </c>
      <c r="AL65" s="279">
        <v>785000000</v>
      </c>
      <c r="AM65" s="224" t="e">
        <f t="shared" ca="1" si="162"/>
        <v>#NAME?</v>
      </c>
      <c r="AN65" s="279">
        <v>0.128</v>
      </c>
      <c r="AO65" s="185" t="e">
        <f t="shared" ca="1" si="63"/>
        <v>#NAME?</v>
      </c>
      <c r="AP65" s="185" t="s">
        <v>228</v>
      </c>
      <c r="AQ65" s="239" t="s">
        <v>181</v>
      </c>
      <c r="AR65" s="239" t="s">
        <v>181</v>
      </c>
      <c r="AS65" s="239" t="s">
        <v>42</v>
      </c>
      <c r="AT65" s="29" t="s">
        <v>181</v>
      </c>
      <c r="AU65" s="29" t="s">
        <v>39</v>
      </c>
      <c r="AV65" s="239" t="s">
        <v>190</v>
      </c>
      <c r="AW65" s="239" t="s">
        <v>190</v>
      </c>
      <c r="AX65" s="239" t="s">
        <v>227</v>
      </c>
      <c r="AY65" s="239" t="s">
        <v>227</v>
      </c>
      <c r="AZ65" s="251">
        <v>19606</v>
      </c>
      <c r="BA65" s="55" t="e">
        <f t="shared" ca="1" si="163"/>
        <v>#NAME?</v>
      </c>
      <c r="BB65" s="279">
        <v>8178</v>
      </c>
      <c r="BC65" s="280">
        <v>0</v>
      </c>
      <c r="BD65" s="62" t="e">
        <f t="shared" ca="1" si="164"/>
        <v>#NAME?</v>
      </c>
      <c r="BE65" s="277">
        <f t="shared" si="165"/>
        <v>1</v>
      </c>
      <c r="BF65" s="62" t="e">
        <f t="shared" ca="1" si="166"/>
        <v>#NAME?</v>
      </c>
      <c r="BG65" s="239" t="s">
        <v>202</v>
      </c>
      <c r="BH65" s="187"/>
      <c r="BI65" s="239" t="s">
        <v>190</v>
      </c>
      <c r="BJ65" s="238">
        <v>0</v>
      </c>
      <c r="BK65" s="279">
        <v>2</v>
      </c>
      <c r="BL65" s="239" t="s">
        <v>190</v>
      </c>
      <c r="BM65" s="239" t="s">
        <v>227</v>
      </c>
      <c r="BN65" s="239" t="s">
        <v>190</v>
      </c>
      <c r="BO65" s="239" t="s">
        <v>190</v>
      </c>
      <c r="BP65" s="238">
        <v>0</v>
      </c>
      <c r="BQ65" s="238">
        <v>2</v>
      </c>
      <c r="BR65" s="238">
        <v>0</v>
      </c>
      <c r="BS65" s="238">
        <v>0</v>
      </c>
      <c r="BT65" s="204"/>
      <c r="BU65" s="238">
        <v>6</v>
      </c>
      <c r="BV65" s="238">
        <v>0</v>
      </c>
      <c r="BW65" s="238">
        <v>42</v>
      </c>
      <c r="BX65" s="239" t="s">
        <v>190</v>
      </c>
      <c r="BY65" s="204"/>
      <c r="BZ65" s="187"/>
      <c r="CA65" s="187"/>
      <c r="CB65" s="187"/>
      <c r="CC65" s="187"/>
      <c r="CD65" s="204"/>
      <c r="CE65" s="187"/>
      <c r="CF65" s="187"/>
      <c r="CG65" s="187"/>
      <c r="CH65" s="187"/>
      <c r="CI65" s="204"/>
      <c r="CJ65" s="187"/>
      <c r="CK65" s="187"/>
      <c r="CL65" s="187"/>
      <c r="CM65" s="187"/>
      <c r="CN65" s="205"/>
      <c r="CO65" s="187"/>
      <c r="CP65" s="187"/>
      <c r="CQ65" s="187"/>
      <c r="CR65" s="187"/>
      <c r="CS65" s="204"/>
      <c r="CT65" s="187"/>
      <c r="CU65" s="187"/>
      <c r="CV65" s="187"/>
      <c r="CW65" s="187"/>
      <c r="CX65" s="204"/>
      <c r="CY65" s="187"/>
      <c r="CZ65" s="187"/>
      <c r="DA65" s="187"/>
      <c r="DB65" s="187"/>
      <c r="DC65" s="204"/>
      <c r="DD65" s="187"/>
      <c r="DE65" s="187"/>
      <c r="DF65" s="187"/>
      <c r="DG65" s="187"/>
      <c r="DH65" s="204"/>
      <c r="DI65" s="187"/>
      <c r="DJ65" s="187"/>
      <c r="DK65" s="187"/>
      <c r="DL65" s="187"/>
      <c r="DM65" s="204"/>
      <c r="DN65" s="205"/>
      <c r="DO65" s="205"/>
      <c r="DQ65" s="206"/>
      <c r="DR65" s="188">
        <f t="shared" si="64"/>
        <v>6</v>
      </c>
      <c r="DS65" s="188"/>
      <c r="DT65" s="189">
        <f t="shared" si="65"/>
        <v>0</v>
      </c>
      <c r="DU65" s="189"/>
      <c r="DV65" s="188">
        <f t="shared" si="66"/>
        <v>42</v>
      </c>
      <c r="DW65" s="183" t="e">
        <f t="shared" ca="1" si="67"/>
        <v>#NAME?</v>
      </c>
      <c r="DX65" s="207"/>
      <c r="DY65" s="190" t="e">
        <f t="shared" ca="1" si="68"/>
        <v>#NAME?</v>
      </c>
      <c r="DZ65" s="191">
        <f t="shared" si="69"/>
        <v>1</v>
      </c>
      <c r="EA65" s="191" t="str">
        <f t="shared" si="70"/>
        <v/>
      </c>
      <c r="EB65" s="191" t="str">
        <f t="shared" si="71"/>
        <v/>
      </c>
      <c r="EC65" s="208" t="e">
        <f t="shared" ca="1" si="72"/>
        <v>#NAME?</v>
      </c>
      <c r="ED65" s="36" t="str">
        <f t="shared" si="73"/>
        <v>CAFES</v>
      </c>
      <c r="EE65" s="193">
        <f>COUNTIF($ED$2:$ED$92, ED65)/(COUNTIF($ED$2:$ED$92, "&lt;&gt;""") - COUNTIF($ED$2:$ED$92, ""))</f>
        <v>0.1</v>
      </c>
      <c r="EF65" s="36" t="str">
        <f t="shared" si="74"/>
        <v>Growth</v>
      </c>
      <c r="EG65" s="207"/>
      <c r="EH65" s="194" t="e">
        <f t="shared" ca="1" si="75"/>
        <v>#NAME?</v>
      </c>
      <c r="EI65" s="194" t="e">
        <f t="shared" ca="1" si="76"/>
        <v>#NAME?</v>
      </c>
      <c r="EJ65" s="209" t="e">
        <f t="shared" ca="1" si="77"/>
        <v>#NAME?</v>
      </c>
      <c r="EK65" s="208" t="e">
        <f t="shared" ca="1" si="78"/>
        <v>#NAME?</v>
      </c>
      <c r="EL65" s="36" t="str">
        <f t="shared" si="79"/>
        <v>No</v>
      </c>
      <c r="EM65" s="207"/>
      <c r="EN65" s="192">
        <f t="shared" si="80"/>
        <v>1.5714285714285714</v>
      </c>
      <c r="EO65" s="192">
        <f t="shared" si="81"/>
        <v>1</v>
      </c>
      <c r="EP65" s="209">
        <f t="shared" si="82"/>
        <v>2.5714285714285712</v>
      </c>
      <c r="EQ65" s="210">
        <f t="shared" si="83"/>
        <v>1.4485981308411213</v>
      </c>
      <c r="ER65" s="36" t="e">
        <f t="shared" ca="1" si="84"/>
        <v>#NAME?</v>
      </c>
      <c r="ES65" s="40">
        <f ca="1">COUNTIF($ER$2:$ER$92, ER65)/(COUNTIF($ER$2:$ER$92, "&lt;&gt;""") - COUNTIF($ER$2:$ER$92, ""))</f>
        <v>1</v>
      </c>
      <c r="ET65" s="36">
        <f t="shared" si="85"/>
        <v>2</v>
      </c>
      <c r="EU65" s="40">
        <f>COUNTIF($ET$2:$ET$92, ET65)/(COUNTIF($ET$2:$ET$92, "&lt;&gt;""") - COUNTIF($ET$2:$ET$92, ""))</f>
        <v>0.45555555555555555</v>
      </c>
      <c r="EV65" s="36">
        <f t="shared" si="86"/>
        <v>2</v>
      </c>
      <c r="EW65" s="40">
        <f>COUNTIF($EV$2:$EV$92, EV65)/(COUNTIF($EV$2:$EV$92, "&lt;&gt;""") - COUNTIF($EV$2:$EV$92, ""))</f>
        <v>0.15555555555555556</v>
      </c>
      <c r="EX65" s="36" t="str">
        <f t="shared" si="87"/>
        <v>No</v>
      </c>
      <c r="EY65" s="40">
        <f>COUNTIF($EX$2:$EX$92, EX65)/(COUNTIF($EX$2:$EX$92, "&lt;&gt;""") - COUNTIF($EX$2:$EX$92, ""))</f>
        <v>0.72222222222222221</v>
      </c>
      <c r="EZ65" s="36" t="str">
        <f t="shared" ref="EZ65:FB65" si="178">BM65</f>
        <v>Yes</v>
      </c>
      <c r="FA65" s="36" t="str">
        <f t="shared" si="178"/>
        <v>No</v>
      </c>
      <c r="FB65" s="36" t="str">
        <f t="shared" si="178"/>
        <v>No</v>
      </c>
      <c r="FC65" s="207"/>
      <c r="FD65" s="36" t="str">
        <f t="shared" si="89"/>
        <v>Transactional</v>
      </c>
      <c r="FE65" s="40">
        <f>COUNTIF($FD$2:$FD$92, FD65)/(COUNTIF($FD$2:$FD$92, "&lt;&gt;""") - COUNTIF($FD$2:$FD$92, ""))</f>
        <v>0.6</v>
      </c>
      <c r="FF65" s="36" t="str">
        <f t="shared" si="90"/>
        <v>B2B/B2C</v>
      </c>
      <c r="FG65" s="40">
        <f>COUNTIF($FF$2:$FF$92, FF65)/(COUNTIF($FF$2:$FF$92, "&lt;&gt;""") - COUNTIF($FF$2:$FF$92, ""))</f>
        <v>0.27777777777777779</v>
      </c>
      <c r="FH65" s="36" t="str">
        <f t="shared" si="91"/>
        <v>High</v>
      </c>
      <c r="FI65" s="40">
        <f>COUNTIF($FH$2:$FH$92, FH65)/(COUNTIF($FH$2:$FH$92, "&lt;&gt;""") - COUNTIF($FH$2:$FH$92, ""))</f>
        <v>0.53333333333333333</v>
      </c>
      <c r="FJ65" s="36" t="str">
        <f t="shared" si="92"/>
        <v>High</v>
      </c>
      <c r="FK65" s="40">
        <f>COUNTIF($FJ$2:$FJ$92, FJ65)/(COUNTIF($FJ$2:$FJ$92, "&lt;&gt;""") - COUNTIF($FJ$2:$FJ$92, ""))</f>
        <v>0.58888888888888891</v>
      </c>
      <c r="FL65" s="207"/>
      <c r="FM65" s="192">
        <f t="shared" si="93"/>
        <v>5</v>
      </c>
      <c r="FN65" s="192" t="e">
        <f t="shared" ca="1" si="94"/>
        <v>#NAME?</v>
      </c>
      <c r="FO65" s="192" t="e">
        <f t="shared" ca="1" si="95"/>
        <v>#NAME?</v>
      </c>
      <c r="FP65" s="192" t="e">
        <f t="shared" ca="1" si="96"/>
        <v>#NAME?</v>
      </c>
      <c r="FQ65" s="209" t="e">
        <f t="shared" ca="1" si="97"/>
        <v>#NAME?</v>
      </c>
      <c r="FR65" s="208" t="e">
        <f t="shared" ca="1" si="98"/>
        <v>#NAME?</v>
      </c>
      <c r="FS65" s="36" t="str">
        <f t="shared" si="99"/>
        <v>Pre-Profit</v>
      </c>
      <c r="FT65" s="196">
        <f>COUNTIF($FS$2:$FS$92, FS65)/(COUNTIF($FS$2:$FS$92, "&lt;&gt;""") - COUNTIF($FZ$2:$FZ$92, ""))</f>
        <v>0.51111111111111107</v>
      </c>
      <c r="FU65" s="207"/>
      <c r="FV65" s="192" t="e">
        <f t="shared" ca="1" si="100"/>
        <v>#NAME?</v>
      </c>
      <c r="FW65" s="197" t="e">
        <f t="shared" ca="1" si="101"/>
        <v>#NAME?</v>
      </c>
      <c r="FX65" s="209" t="e">
        <f t="shared" ca="1" si="102"/>
        <v>#NAME?</v>
      </c>
      <c r="FY65" s="211" t="e">
        <f t="shared" ca="1" si="103"/>
        <v>#NAME?</v>
      </c>
      <c r="FZ65" s="36" t="str">
        <f t="shared" si="104"/>
        <v>No</v>
      </c>
      <c r="GA65" s="196">
        <f>COUNTIF($FZ$2:$FZ$92, FZ65)/(COUNTIF($FZ$2:$FZ$92, "&lt;&gt;""") - COUNTIF($FZ$2:$FZ$92, ""))</f>
        <v>0.76666666666666672</v>
      </c>
      <c r="GB65" s="196" t="str">
        <f t="shared" si="105"/>
        <v>Low</v>
      </c>
      <c r="GC65" s="196">
        <f>COUNTIF($GB$2:$GB$92, GB65)/(COUNTIF($GB$2:$GB$92, "&lt;&gt;""") - COUNTIF($GB$2:$GB$92, ""))</f>
        <v>0.55555555555555558</v>
      </c>
      <c r="GD65" s="196" t="str">
        <f t="shared" si="106"/>
        <v>High</v>
      </c>
      <c r="GE65" s="196">
        <f>COUNTIF($GD$2:$GD$92, GD65)/(COUNTIF($GD$2:$GD$92, "&lt;&gt;""") - COUNTIF($GD$2:$GD$92, ""))</f>
        <v>0.8</v>
      </c>
      <c r="GF65" s="207"/>
      <c r="GG65" s="36"/>
      <c r="GH65" s="209" t="e">
        <f t="shared" ca="1" si="107"/>
        <v>#NAME?</v>
      </c>
      <c r="GI65" s="212" t="e">
        <f t="shared" ca="1" si="108"/>
        <v>#NAME?</v>
      </c>
    </row>
    <row r="66" spans="1:191" ht="15.75" customHeight="1">
      <c r="A66" s="174"/>
      <c r="B66" s="174" t="s">
        <v>433</v>
      </c>
      <c r="C66" s="238">
        <v>1739088</v>
      </c>
      <c r="D66" s="244" t="s">
        <v>969</v>
      </c>
      <c r="E66" s="245">
        <v>43713.62222222222</v>
      </c>
      <c r="F66" s="239" t="s">
        <v>325</v>
      </c>
      <c r="G66" s="32" t="s">
        <v>970</v>
      </c>
      <c r="H66" s="32" t="s">
        <v>971</v>
      </c>
      <c r="I66" s="246">
        <v>43220</v>
      </c>
      <c r="J66" s="247" t="s">
        <v>969</v>
      </c>
      <c r="K66" s="247" t="s">
        <v>969</v>
      </c>
      <c r="M66" s="239" t="s">
        <v>972</v>
      </c>
      <c r="N66" s="239" t="s">
        <v>168</v>
      </c>
      <c r="O66" s="239" t="s">
        <v>30</v>
      </c>
      <c r="P66" s="239" t="s">
        <v>31</v>
      </c>
      <c r="Q66" s="239" t="s">
        <v>35</v>
      </c>
      <c r="R66" s="187"/>
      <c r="S66" s="239" t="s">
        <v>34</v>
      </c>
      <c r="T66" s="248"/>
      <c r="U66" s="249"/>
      <c r="V66" s="250"/>
      <c r="W66" s="251">
        <v>1500000</v>
      </c>
      <c r="X66" s="252">
        <v>0</v>
      </c>
      <c r="Y66" s="55">
        <f t="shared" si="158"/>
        <v>1500000</v>
      </c>
      <c r="Z66" s="274">
        <f t="shared" si="159"/>
        <v>1500000</v>
      </c>
      <c r="AA66" s="183" t="e">
        <f t="shared" ca="1" si="160"/>
        <v>#NAME?</v>
      </c>
      <c r="AB66" s="239" t="s">
        <v>36</v>
      </c>
      <c r="AC66" s="239" t="s">
        <v>218</v>
      </c>
      <c r="AD66" s="239" t="s">
        <v>38</v>
      </c>
      <c r="AE66" s="239" t="s">
        <v>190</v>
      </c>
      <c r="AF66" s="239" t="s">
        <v>181</v>
      </c>
      <c r="AG66" s="239" t="s">
        <v>181</v>
      </c>
      <c r="AH66" s="239" t="s">
        <v>190</v>
      </c>
      <c r="AI66" s="251"/>
      <c r="AJ66" s="279">
        <v>10000000</v>
      </c>
      <c r="AK66" s="224" t="e">
        <f t="shared" ca="1" si="161"/>
        <v>#NAME?</v>
      </c>
      <c r="AL66" s="279">
        <v>10000000</v>
      </c>
      <c r="AM66" s="224" t="e">
        <f t="shared" ca="1" si="162"/>
        <v>#NAME?</v>
      </c>
      <c r="AN66" s="280">
        <v>0.05</v>
      </c>
      <c r="AO66" s="185" t="e">
        <f t="shared" ca="1" si="63"/>
        <v>#NAME?</v>
      </c>
      <c r="AP66" s="185" t="s">
        <v>264</v>
      </c>
      <c r="AQ66" s="239" t="s">
        <v>181</v>
      </c>
      <c r="AR66" s="239" t="s">
        <v>181</v>
      </c>
      <c r="AS66" s="239" t="s">
        <v>42</v>
      </c>
      <c r="AT66" s="29" t="s">
        <v>181</v>
      </c>
      <c r="AU66" s="29" t="s">
        <v>39</v>
      </c>
      <c r="AV66" s="239" t="s">
        <v>227</v>
      </c>
      <c r="AW66" s="239" t="s">
        <v>190</v>
      </c>
      <c r="AX66" s="239" t="s">
        <v>227</v>
      </c>
      <c r="AY66" s="239" t="s">
        <v>190</v>
      </c>
      <c r="AZ66" s="251">
        <v>0</v>
      </c>
      <c r="BA66" s="55" t="e">
        <f t="shared" ca="1" si="163"/>
        <v>#NAME?</v>
      </c>
      <c r="BB66" s="279">
        <v>0</v>
      </c>
      <c r="BC66" s="280">
        <v>0</v>
      </c>
      <c r="BD66" s="62" t="e">
        <f t="shared" ca="1" si="164"/>
        <v>#NAME?</v>
      </c>
      <c r="BE66" s="277">
        <f t="shared" si="165"/>
        <v>1</v>
      </c>
      <c r="BF66" s="62" t="e">
        <f t="shared" ca="1" si="166"/>
        <v>#NAME?</v>
      </c>
      <c r="BG66" s="239" t="s">
        <v>183</v>
      </c>
      <c r="BH66" s="187"/>
      <c r="BI66" s="239" t="s">
        <v>190</v>
      </c>
      <c r="BJ66" s="239">
        <v>0</v>
      </c>
      <c r="BK66" s="279">
        <v>2</v>
      </c>
      <c r="BL66" s="239" t="s">
        <v>190</v>
      </c>
      <c r="BM66" s="239" t="s">
        <v>190</v>
      </c>
      <c r="BN66" s="239" t="s">
        <v>190</v>
      </c>
      <c r="BO66" s="239" t="s">
        <v>190</v>
      </c>
      <c r="BP66" s="238">
        <v>2</v>
      </c>
      <c r="BQ66" s="238">
        <v>2</v>
      </c>
      <c r="BR66" s="238">
        <v>0</v>
      </c>
      <c r="BS66" s="238">
        <v>0</v>
      </c>
      <c r="BT66" s="204"/>
      <c r="BU66" s="238">
        <v>30</v>
      </c>
      <c r="BV66" s="239">
        <v>0</v>
      </c>
      <c r="BW66" s="238">
        <v>42</v>
      </c>
      <c r="BX66" s="239" t="s">
        <v>190</v>
      </c>
      <c r="BY66" s="204"/>
      <c r="BZ66" s="239">
        <v>3</v>
      </c>
      <c r="CA66" s="239">
        <v>0</v>
      </c>
      <c r="CB66" s="239">
        <v>54</v>
      </c>
      <c r="CC66" s="239" t="s">
        <v>190</v>
      </c>
      <c r="CD66" s="204"/>
      <c r="CE66" s="187"/>
      <c r="CF66" s="187"/>
      <c r="CG66" s="187"/>
      <c r="CH66" s="187"/>
      <c r="CI66" s="204"/>
      <c r="CJ66" s="187"/>
      <c r="CK66" s="187"/>
      <c r="CL66" s="187"/>
      <c r="CM66" s="187"/>
      <c r="CN66" s="205"/>
      <c r="CO66" s="187"/>
      <c r="CP66" s="187"/>
      <c r="CQ66" s="187"/>
      <c r="CR66" s="187"/>
      <c r="CS66" s="204"/>
      <c r="CT66" s="187"/>
      <c r="CU66" s="187"/>
      <c r="CV66" s="187"/>
      <c r="CW66" s="187"/>
      <c r="CX66" s="204"/>
      <c r="CY66" s="187"/>
      <c r="CZ66" s="187"/>
      <c r="DA66" s="187"/>
      <c r="DB66" s="187"/>
      <c r="DC66" s="204"/>
      <c r="DD66" s="187"/>
      <c r="DE66" s="187"/>
      <c r="DF66" s="187"/>
      <c r="DG66" s="187"/>
      <c r="DH66" s="204"/>
      <c r="DI66" s="187"/>
      <c r="DJ66" s="187"/>
      <c r="DK66" s="187"/>
      <c r="DL66" s="187"/>
      <c r="DM66" s="204"/>
      <c r="DN66" s="205"/>
      <c r="DO66" s="205"/>
      <c r="DQ66" s="206"/>
      <c r="DR66" s="188">
        <f t="shared" si="64"/>
        <v>16.5</v>
      </c>
      <c r="DS66" s="188"/>
      <c r="DT66" s="189">
        <f t="shared" si="65"/>
        <v>0</v>
      </c>
      <c r="DU66" s="189"/>
      <c r="DV66" s="188">
        <f t="shared" si="66"/>
        <v>48</v>
      </c>
      <c r="DW66" s="183" t="e">
        <f t="shared" ca="1" si="67"/>
        <v>#NAME?</v>
      </c>
      <c r="DX66" s="207"/>
      <c r="DY66" s="190" t="e">
        <f t="shared" ca="1" si="68"/>
        <v>#NAME?</v>
      </c>
      <c r="DZ66" s="191">
        <f t="shared" si="69"/>
        <v>1</v>
      </c>
      <c r="EA66" s="191" t="str">
        <f t="shared" si="70"/>
        <v/>
      </c>
      <c r="EB66" s="191" t="str">
        <f t="shared" si="71"/>
        <v/>
      </c>
      <c r="EC66" s="208" t="e">
        <f t="shared" ca="1" si="72"/>
        <v>#NAME?</v>
      </c>
      <c r="ED66" s="36" t="str">
        <f t="shared" si="73"/>
        <v>CAFES</v>
      </c>
      <c r="EE66" s="193">
        <f>COUNTIF($ED$2:$ED$92, ED66)/(COUNTIF($ED$2:$ED$92, "&lt;&gt;""") - COUNTIF($ED$2:$ED$92, ""))</f>
        <v>0.1</v>
      </c>
      <c r="EF66" s="36" t="str">
        <f t="shared" si="74"/>
        <v>Early</v>
      </c>
      <c r="EG66" s="207"/>
      <c r="EH66" s="194" t="e">
        <f t="shared" ca="1" si="75"/>
        <v>#NAME?</v>
      </c>
      <c r="EI66" s="194" t="e">
        <f t="shared" ca="1" si="76"/>
        <v>#NAME?</v>
      </c>
      <c r="EJ66" s="209" t="e">
        <f t="shared" ca="1" si="77"/>
        <v>#NAME?</v>
      </c>
      <c r="EK66" s="208" t="e">
        <f t="shared" ca="1" si="78"/>
        <v>#NAME?</v>
      </c>
      <c r="EL66" s="36" t="str">
        <f t="shared" si="79"/>
        <v>Yes</v>
      </c>
      <c r="EM66" s="207"/>
      <c r="EN66" s="192">
        <f t="shared" si="80"/>
        <v>2.5714285714285712</v>
      </c>
      <c r="EO66" s="192">
        <f t="shared" si="81"/>
        <v>1</v>
      </c>
      <c r="EP66" s="209">
        <f t="shared" si="82"/>
        <v>3.5714285714285712</v>
      </c>
      <c r="EQ66" s="210">
        <f t="shared" si="83"/>
        <v>2.2336448598130838</v>
      </c>
      <c r="ER66" s="36" t="e">
        <f t="shared" ca="1" si="84"/>
        <v>#NAME?</v>
      </c>
      <c r="ES66" s="40">
        <f ca="1">COUNTIF($ER$2:$ER$92, ER66)/(COUNTIF($ER$2:$ER$92, "&lt;&gt;""") - COUNTIF($ER$2:$ER$92, ""))</f>
        <v>1</v>
      </c>
      <c r="ET66" s="36">
        <f t="shared" si="85"/>
        <v>2</v>
      </c>
      <c r="EU66" s="40">
        <f>COUNTIF($ET$2:$ET$92, ET66)/(COUNTIF($ET$2:$ET$92, "&lt;&gt;""") - COUNTIF($ET$2:$ET$92, ""))</f>
        <v>0.45555555555555555</v>
      </c>
      <c r="EV66" s="36">
        <f t="shared" si="86"/>
        <v>2</v>
      </c>
      <c r="EW66" s="40">
        <f>COUNTIF($EV$2:$EV$92, EV66)/(COUNTIF($EV$2:$EV$92, "&lt;&gt;""") - COUNTIF($EV$2:$EV$92, ""))</f>
        <v>0.15555555555555556</v>
      </c>
      <c r="EX66" s="36" t="str">
        <f t="shared" si="87"/>
        <v>No</v>
      </c>
      <c r="EY66" s="40">
        <f>COUNTIF($EX$2:$EX$92, EX66)/(COUNTIF($EX$2:$EX$92, "&lt;&gt;""") - COUNTIF($EX$2:$EX$92, ""))</f>
        <v>0.72222222222222221</v>
      </c>
      <c r="EZ66" s="36" t="str">
        <f t="shared" ref="EZ66:FB66" si="179">BM66</f>
        <v>No</v>
      </c>
      <c r="FA66" s="36" t="str">
        <f t="shared" si="179"/>
        <v>No</v>
      </c>
      <c r="FB66" s="36" t="str">
        <f t="shared" si="179"/>
        <v>No</v>
      </c>
      <c r="FC66" s="207"/>
      <c r="FD66" s="36" t="str">
        <f t="shared" si="89"/>
        <v>Transactional</v>
      </c>
      <c r="FE66" s="40">
        <f>COUNTIF($FD$2:$FD$92, FD66)/(COUNTIF($FD$2:$FD$92, "&lt;&gt;""") - COUNTIF($FD$2:$FD$92, ""))</f>
        <v>0.6</v>
      </c>
      <c r="FF66" s="36" t="str">
        <f t="shared" si="90"/>
        <v>B2B/B2C</v>
      </c>
      <c r="FG66" s="40">
        <f>COUNTIF($FF$2:$FF$92, FF66)/(COUNTIF($FF$2:$FF$92, "&lt;&gt;""") - COUNTIF($FF$2:$FF$92, ""))</f>
        <v>0.27777777777777779</v>
      </c>
      <c r="FH66" s="36" t="str">
        <f t="shared" si="91"/>
        <v>Low</v>
      </c>
      <c r="FI66" s="40">
        <f>COUNTIF($FH$2:$FH$92, FH66)/(COUNTIF($FH$2:$FH$92, "&lt;&gt;""") - COUNTIF($FH$2:$FH$92, ""))</f>
        <v>0.46666666666666667</v>
      </c>
      <c r="FJ66" s="36" t="str">
        <f t="shared" si="92"/>
        <v>Low</v>
      </c>
      <c r="FK66" s="40">
        <f>COUNTIF($FJ$2:$FJ$92, FJ66)/(COUNTIF($FJ$2:$FJ$92, "&lt;&gt;""") - COUNTIF($FJ$2:$FJ$92, ""))</f>
        <v>0.41111111111111109</v>
      </c>
      <c r="FL66" s="207"/>
      <c r="FM66" s="192">
        <f t="shared" si="93"/>
        <v>3</v>
      </c>
      <c r="FN66" s="192" t="e">
        <f t="shared" ca="1" si="94"/>
        <v>#NAME?</v>
      </c>
      <c r="FO66" s="192" t="e">
        <f t="shared" ca="1" si="95"/>
        <v>#NAME?</v>
      </c>
      <c r="FP66" s="192" t="e">
        <f t="shared" ca="1" si="96"/>
        <v>#NAME?</v>
      </c>
      <c r="FQ66" s="209" t="e">
        <f t="shared" ca="1" si="97"/>
        <v>#NAME?</v>
      </c>
      <c r="FR66" s="208" t="e">
        <f t="shared" ca="1" si="98"/>
        <v>#NAME?</v>
      </c>
      <c r="FS66" s="36" t="str">
        <f t="shared" si="99"/>
        <v>Pre-Revenue</v>
      </c>
      <c r="FT66" s="196">
        <f>COUNTIF($FS$2:$FS$92, FS66)/(COUNTIF($FS$2:$FS$92, "&lt;&gt;""") - COUNTIF($FZ$2:$FZ$92, ""))</f>
        <v>0.2</v>
      </c>
      <c r="FU66" s="207"/>
      <c r="FV66" s="192" t="e">
        <f t="shared" ca="1" si="100"/>
        <v>#NAME?</v>
      </c>
      <c r="FW66" s="197" t="e">
        <f t="shared" ca="1" si="101"/>
        <v>#NAME?</v>
      </c>
      <c r="FX66" s="209" t="e">
        <f t="shared" ca="1" si="102"/>
        <v>#NAME?</v>
      </c>
      <c r="FY66" s="211" t="e">
        <f t="shared" ca="1" si="103"/>
        <v>#NAME?</v>
      </c>
      <c r="FZ66" s="36" t="str">
        <f t="shared" si="104"/>
        <v>No</v>
      </c>
      <c r="GA66" s="196">
        <f>COUNTIF($FZ$2:$FZ$92, FZ66)/(COUNTIF($FZ$2:$FZ$92, "&lt;&gt;""") - COUNTIF($FZ$2:$FZ$92, ""))</f>
        <v>0.76666666666666672</v>
      </c>
      <c r="GB66" s="196" t="str">
        <f t="shared" si="105"/>
        <v>Low</v>
      </c>
      <c r="GC66" s="196">
        <f>COUNTIF($GB$2:$GB$92, GB66)/(COUNTIF($GB$2:$GB$92, "&lt;&gt;""") - COUNTIF($GB$2:$GB$92, ""))</f>
        <v>0.55555555555555558</v>
      </c>
      <c r="GD66" s="196" t="str">
        <f t="shared" si="106"/>
        <v>High</v>
      </c>
      <c r="GE66" s="196">
        <f>COUNTIF($GD$2:$GD$92, GD66)/(COUNTIF($GD$2:$GD$92, "&lt;&gt;""") - COUNTIF($GD$2:$GD$92, ""))</f>
        <v>0.8</v>
      </c>
      <c r="GF66" s="207"/>
      <c r="GG66" s="36"/>
      <c r="GH66" s="209" t="e">
        <f t="shared" ca="1" si="107"/>
        <v>#NAME?</v>
      </c>
      <c r="GI66" s="212" t="e">
        <f t="shared" ca="1" si="108"/>
        <v>#NAME?</v>
      </c>
    </row>
    <row r="67" spans="1:191" ht="15.75" customHeight="1">
      <c r="A67" s="174"/>
      <c r="B67" s="174" t="s">
        <v>433</v>
      </c>
      <c r="C67" s="238">
        <v>1685241</v>
      </c>
      <c r="D67" s="244" t="s">
        <v>973</v>
      </c>
      <c r="E67" s="245">
        <v>43714.443055555559</v>
      </c>
      <c r="F67" s="239" t="s">
        <v>344</v>
      </c>
      <c r="G67" s="32" t="s">
        <v>974</v>
      </c>
      <c r="H67" s="32" t="s">
        <v>975</v>
      </c>
      <c r="I67" s="246">
        <v>43685</v>
      </c>
      <c r="J67" s="247" t="s">
        <v>976</v>
      </c>
      <c r="K67" s="247" t="s">
        <v>973</v>
      </c>
      <c r="M67" s="35" t="s">
        <v>293</v>
      </c>
      <c r="N67" s="239" t="s">
        <v>287</v>
      </c>
      <c r="O67" s="239" t="s">
        <v>30</v>
      </c>
      <c r="P67" s="239" t="s">
        <v>174</v>
      </c>
      <c r="Q67" s="239" t="s">
        <v>35</v>
      </c>
      <c r="R67" s="187"/>
      <c r="S67" s="239" t="s">
        <v>269</v>
      </c>
      <c r="T67" s="248"/>
      <c r="U67" s="249"/>
      <c r="V67" s="250"/>
      <c r="W67" s="251">
        <v>2000000</v>
      </c>
      <c r="X67" s="252">
        <v>0</v>
      </c>
      <c r="Y67" s="55">
        <f t="shared" si="158"/>
        <v>2000000</v>
      </c>
      <c r="Z67" s="274">
        <f t="shared" si="159"/>
        <v>2000000</v>
      </c>
      <c r="AA67" s="183" t="e">
        <f t="shared" ca="1" si="160"/>
        <v>#NAME?</v>
      </c>
      <c r="AB67" s="239" t="s">
        <v>178</v>
      </c>
      <c r="AC67" s="239" t="s">
        <v>37</v>
      </c>
      <c r="AD67" s="239" t="s">
        <v>180</v>
      </c>
      <c r="AE67" s="239" t="s">
        <v>190</v>
      </c>
      <c r="AF67" s="239" t="s">
        <v>181</v>
      </c>
      <c r="AG67" s="239" t="s">
        <v>39</v>
      </c>
      <c r="AH67" s="239" t="s">
        <v>190</v>
      </c>
      <c r="AI67" s="251"/>
      <c r="AJ67" s="279">
        <v>30000000000</v>
      </c>
      <c r="AK67" s="224" t="e">
        <f t="shared" ca="1" si="161"/>
        <v>#NAME?</v>
      </c>
      <c r="AL67" s="279">
        <v>5000000000</v>
      </c>
      <c r="AM67" s="224" t="e">
        <f t="shared" ca="1" si="162"/>
        <v>#NAME?</v>
      </c>
      <c r="AN67" s="279">
        <v>0.14499999999999999</v>
      </c>
      <c r="AO67" s="185" t="e">
        <f t="shared" ca="1" si="63"/>
        <v>#NAME?</v>
      </c>
      <c r="AP67" s="185" t="s">
        <v>211</v>
      </c>
      <c r="AQ67" s="239" t="s">
        <v>39</v>
      </c>
      <c r="AR67" s="239" t="s">
        <v>181</v>
      </c>
      <c r="AS67" s="239" t="s">
        <v>42</v>
      </c>
      <c r="AT67" s="29" t="s">
        <v>39</v>
      </c>
      <c r="AU67" s="29" t="s">
        <v>39</v>
      </c>
      <c r="AV67" s="239" t="s">
        <v>190</v>
      </c>
      <c r="AW67" s="239" t="s">
        <v>190</v>
      </c>
      <c r="AX67" s="239" t="s">
        <v>227</v>
      </c>
      <c r="AY67" s="239" t="s">
        <v>227</v>
      </c>
      <c r="AZ67" s="251">
        <v>3953</v>
      </c>
      <c r="BA67" s="55" t="e">
        <f t="shared" ca="1" si="163"/>
        <v>#NAME?</v>
      </c>
      <c r="BB67" s="279">
        <v>14109</v>
      </c>
      <c r="BC67" s="279">
        <v>944500</v>
      </c>
      <c r="BD67" s="62" t="e">
        <f t="shared" ca="1" si="164"/>
        <v>#NAME?</v>
      </c>
      <c r="BE67" s="277">
        <f t="shared" si="165"/>
        <v>1.4938062466913711E-2</v>
      </c>
      <c r="BF67" s="62" t="e">
        <f t="shared" ca="1" si="166"/>
        <v>#NAME?</v>
      </c>
      <c r="BG67" s="239" t="s">
        <v>202</v>
      </c>
      <c r="BH67" s="187"/>
      <c r="BI67" s="239" t="s">
        <v>227</v>
      </c>
      <c r="BJ67" s="239">
        <v>1</v>
      </c>
      <c r="BK67" s="279">
        <v>2</v>
      </c>
      <c r="BL67" s="239" t="s">
        <v>227</v>
      </c>
      <c r="BM67" s="239" t="s">
        <v>190</v>
      </c>
      <c r="BN67" s="239" t="s">
        <v>190</v>
      </c>
      <c r="BO67" s="239" t="s">
        <v>190</v>
      </c>
      <c r="BP67" s="238">
        <v>4</v>
      </c>
      <c r="BQ67" s="238">
        <v>2</v>
      </c>
      <c r="BR67" s="238">
        <v>0</v>
      </c>
      <c r="BS67" s="238">
        <v>0</v>
      </c>
      <c r="BT67" s="204"/>
      <c r="BU67" s="238">
        <v>5</v>
      </c>
      <c r="BV67" s="239">
        <v>0</v>
      </c>
      <c r="BW67" s="238">
        <v>54</v>
      </c>
      <c r="BX67" s="239" t="s">
        <v>190</v>
      </c>
      <c r="BY67" s="204"/>
      <c r="BZ67" s="239">
        <v>5</v>
      </c>
      <c r="CA67" s="239">
        <v>0</v>
      </c>
      <c r="CB67" s="239">
        <v>46</v>
      </c>
      <c r="CC67" s="239" t="s">
        <v>190</v>
      </c>
      <c r="CD67" s="204"/>
      <c r="CE67" s="187"/>
      <c r="CF67" s="187"/>
      <c r="CG67" s="187"/>
      <c r="CH67" s="187"/>
      <c r="CI67" s="204"/>
      <c r="CJ67" s="187"/>
      <c r="CK67" s="187"/>
      <c r="CL67" s="187"/>
      <c r="CM67" s="187"/>
      <c r="CN67" s="205"/>
      <c r="CO67" s="187"/>
      <c r="CP67" s="187"/>
      <c r="CQ67" s="187"/>
      <c r="CR67" s="187"/>
      <c r="CS67" s="204"/>
      <c r="CT67" s="187"/>
      <c r="CU67" s="187"/>
      <c r="CV67" s="187"/>
      <c r="CW67" s="187"/>
      <c r="CX67" s="204"/>
      <c r="CY67" s="187"/>
      <c r="CZ67" s="187"/>
      <c r="DA67" s="187"/>
      <c r="DB67" s="187"/>
      <c r="DC67" s="204"/>
      <c r="DD67" s="187"/>
      <c r="DE67" s="187"/>
      <c r="DF67" s="187"/>
      <c r="DG67" s="187"/>
      <c r="DH67" s="204"/>
      <c r="DI67" s="187"/>
      <c r="DJ67" s="187"/>
      <c r="DK67" s="187"/>
      <c r="DL67" s="187"/>
      <c r="DM67" s="204"/>
      <c r="DN67" s="205"/>
      <c r="DO67" s="205"/>
      <c r="DQ67" s="206"/>
      <c r="DR67" s="188">
        <f t="shared" si="64"/>
        <v>5</v>
      </c>
      <c r="DS67" s="188"/>
      <c r="DT67" s="189">
        <f t="shared" si="65"/>
        <v>0</v>
      </c>
      <c r="DU67" s="189"/>
      <c r="DV67" s="188">
        <f t="shared" si="66"/>
        <v>50</v>
      </c>
      <c r="DW67" s="183" t="e">
        <f t="shared" ca="1" si="67"/>
        <v>#NAME?</v>
      </c>
      <c r="DX67" s="207"/>
      <c r="DY67" s="190" t="e">
        <f t="shared" ca="1" si="68"/>
        <v>#NAME?</v>
      </c>
      <c r="DZ67" s="191">
        <f t="shared" si="69"/>
        <v>1</v>
      </c>
      <c r="EA67" s="191" t="str">
        <f t="shared" si="70"/>
        <v/>
      </c>
      <c r="EB67" s="191" t="str">
        <f t="shared" si="71"/>
        <v/>
      </c>
      <c r="EC67" s="208" t="e">
        <f t="shared" ca="1" si="72"/>
        <v>#NAME?</v>
      </c>
      <c r="ED67" s="36" t="str">
        <f t="shared" si="73"/>
        <v>SAFE</v>
      </c>
      <c r="EE67" s="193">
        <f>COUNTIF($ED$2:$ED$92, ED67)/(COUNTIF($ED$2:$ED$92, "&lt;&gt;""") - COUNTIF($ED$2:$ED$92, ""))</f>
        <v>0.37777777777777777</v>
      </c>
      <c r="EF67" s="36" t="str">
        <f t="shared" si="74"/>
        <v>Early</v>
      </c>
      <c r="EG67" s="207"/>
      <c r="EH67" s="194" t="e">
        <f t="shared" ca="1" si="75"/>
        <v>#NAME?</v>
      </c>
      <c r="EI67" s="194" t="e">
        <f t="shared" ca="1" si="76"/>
        <v>#NAME?</v>
      </c>
      <c r="EJ67" s="209" t="e">
        <f t="shared" ca="1" si="77"/>
        <v>#NAME?</v>
      </c>
      <c r="EK67" s="208" t="e">
        <f t="shared" ca="1" si="78"/>
        <v>#NAME?</v>
      </c>
      <c r="EL67" s="36" t="str">
        <f t="shared" si="79"/>
        <v>No</v>
      </c>
      <c r="EM67" s="207"/>
      <c r="EN67" s="192">
        <f t="shared" si="80"/>
        <v>1.4761904761904763</v>
      </c>
      <c r="EO67" s="192">
        <f t="shared" si="81"/>
        <v>1</v>
      </c>
      <c r="EP67" s="209">
        <f t="shared" si="82"/>
        <v>2.4761904761904763</v>
      </c>
      <c r="EQ67" s="210">
        <f t="shared" si="83"/>
        <v>1.3738317757009346</v>
      </c>
      <c r="ER67" s="36" t="e">
        <f t="shared" ca="1" si="84"/>
        <v>#NAME?</v>
      </c>
      <c r="ES67" s="40">
        <f ca="1">COUNTIF($ER$2:$ER$92, ER67)/(COUNTIF($ER$2:$ER$92, "&lt;&gt;""") - COUNTIF($ER$2:$ER$92, ""))</f>
        <v>1</v>
      </c>
      <c r="ET67" s="36">
        <f t="shared" si="85"/>
        <v>2</v>
      </c>
      <c r="EU67" s="40">
        <f>COUNTIF($ET$2:$ET$92, ET67)/(COUNTIF($ET$2:$ET$92, "&lt;&gt;""") - COUNTIF($ET$2:$ET$92, ""))</f>
        <v>0.45555555555555555</v>
      </c>
      <c r="EV67" s="36">
        <f t="shared" si="86"/>
        <v>2</v>
      </c>
      <c r="EW67" s="40">
        <f>COUNTIF($EV$2:$EV$92, EV67)/(COUNTIF($EV$2:$EV$92, "&lt;&gt;""") - COUNTIF($EV$2:$EV$92, ""))</f>
        <v>0.15555555555555556</v>
      </c>
      <c r="EX67" s="36" t="str">
        <f t="shared" si="87"/>
        <v>Yes</v>
      </c>
      <c r="EY67" s="40">
        <f>COUNTIF($EX$2:$EX$92, EX67)/(COUNTIF($EX$2:$EX$92, "&lt;&gt;""") - COUNTIF($EX$2:$EX$92, ""))</f>
        <v>0.27777777777777779</v>
      </c>
      <c r="EZ67" s="36" t="str">
        <f t="shared" ref="EZ67:FB67" si="180">BM67</f>
        <v>No</v>
      </c>
      <c r="FA67" s="36" t="str">
        <f t="shared" si="180"/>
        <v>No</v>
      </c>
      <c r="FB67" s="36" t="str">
        <f t="shared" si="180"/>
        <v>No</v>
      </c>
      <c r="FC67" s="207"/>
      <c r="FD67" s="36" t="str">
        <f t="shared" si="89"/>
        <v>Recurring</v>
      </c>
      <c r="FE67" s="40">
        <f>COUNTIF($FD$2:$FD$92, FD67)/(COUNTIF($FD$2:$FD$92, "&lt;&gt;""") - COUNTIF($FD$2:$FD$92, ""))</f>
        <v>0.4</v>
      </c>
      <c r="FF67" s="36" t="str">
        <f t="shared" si="90"/>
        <v>B2B</v>
      </c>
      <c r="FG67" s="40">
        <f>COUNTIF($FF$2:$FF$92, FF67)/(COUNTIF($FF$2:$FF$92, "&lt;&gt;""") - COUNTIF($FF$2:$FF$92, ""))</f>
        <v>0.24444444444444444</v>
      </c>
      <c r="FH67" s="36" t="str">
        <f t="shared" si="91"/>
        <v>Low</v>
      </c>
      <c r="FI67" s="40">
        <f>COUNTIF($FH$2:$FH$92, FH67)/(COUNTIF($FH$2:$FH$92, "&lt;&gt;""") - COUNTIF($FH$2:$FH$92, ""))</f>
        <v>0.46666666666666667</v>
      </c>
      <c r="FJ67" s="36" t="str">
        <f t="shared" si="92"/>
        <v>High</v>
      </c>
      <c r="FK67" s="40">
        <f>COUNTIF($FJ$2:$FJ$92, FJ67)/(COUNTIF($FJ$2:$FJ$92, "&lt;&gt;""") - COUNTIF($FJ$2:$FJ$92, ""))</f>
        <v>0.58888888888888891</v>
      </c>
      <c r="FL67" s="207"/>
      <c r="FM67" s="192">
        <f t="shared" si="93"/>
        <v>5</v>
      </c>
      <c r="FN67" s="192" t="e">
        <f t="shared" ca="1" si="94"/>
        <v>#NAME?</v>
      </c>
      <c r="FO67" s="192" t="e">
        <f t="shared" ca="1" si="95"/>
        <v>#NAME?</v>
      </c>
      <c r="FP67" s="192" t="e">
        <f t="shared" ca="1" si="96"/>
        <v>#NAME?</v>
      </c>
      <c r="FQ67" s="209" t="e">
        <f t="shared" ca="1" si="97"/>
        <v>#NAME?</v>
      </c>
      <c r="FR67" s="208" t="e">
        <f t="shared" ca="1" si="98"/>
        <v>#NAME?</v>
      </c>
      <c r="FS67" s="36" t="str">
        <f t="shared" si="99"/>
        <v>Pre-Profit</v>
      </c>
      <c r="FT67" s="196">
        <f>COUNTIF($FS$2:$FS$92, FS67)/(COUNTIF($FS$2:$FS$92, "&lt;&gt;""") - COUNTIF($FZ$2:$FZ$92, ""))</f>
        <v>0.51111111111111107</v>
      </c>
      <c r="FU67" s="207"/>
      <c r="FV67" s="192">
        <f t="shared" si="100"/>
        <v>3</v>
      </c>
      <c r="FW67" s="197" t="e">
        <f t="shared" ca="1" si="101"/>
        <v>#NAME?</v>
      </c>
      <c r="FX67" s="209" t="e">
        <f t="shared" ca="1" si="102"/>
        <v>#NAME?</v>
      </c>
      <c r="FY67" s="211" t="e">
        <f t="shared" ca="1" si="103"/>
        <v>#NAME?</v>
      </c>
      <c r="FZ67" s="36" t="str">
        <f t="shared" si="104"/>
        <v>No</v>
      </c>
      <c r="GA67" s="196">
        <f>COUNTIF($FZ$2:$FZ$92, FZ67)/(COUNTIF($FZ$2:$FZ$92, "&lt;&gt;""") - COUNTIF($FZ$2:$FZ$92, ""))</f>
        <v>0.76666666666666672</v>
      </c>
      <c r="GB67" s="196" t="str">
        <f t="shared" si="105"/>
        <v>High</v>
      </c>
      <c r="GC67" s="196">
        <f>COUNTIF($GB$2:$GB$92, GB67)/(COUNTIF($GB$2:$GB$92, "&lt;&gt;""") - COUNTIF($GB$2:$GB$92, ""))</f>
        <v>0.43333333333333335</v>
      </c>
      <c r="GD67" s="196" t="str">
        <f t="shared" si="106"/>
        <v>High</v>
      </c>
      <c r="GE67" s="196">
        <f>COUNTIF($GD$2:$GD$92, GD67)/(COUNTIF($GD$2:$GD$92, "&lt;&gt;""") - COUNTIF($GD$2:$GD$92, ""))</f>
        <v>0.8</v>
      </c>
      <c r="GF67" s="207"/>
      <c r="GG67" s="36"/>
      <c r="GH67" s="209" t="e">
        <f t="shared" ca="1" si="107"/>
        <v>#NAME?</v>
      </c>
      <c r="GI67" s="212" t="e">
        <f t="shared" ca="1" si="108"/>
        <v>#NAME?</v>
      </c>
    </row>
    <row r="68" spans="1:191" ht="15.75" customHeight="1">
      <c r="A68" s="174"/>
      <c r="B68" s="174" t="s">
        <v>433</v>
      </c>
      <c r="C68" s="238">
        <v>1725162</v>
      </c>
      <c r="D68" s="244" t="s">
        <v>977</v>
      </c>
      <c r="E68" s="254">
        <v>43714.445138888892</v>
      </c>
      <c r="F68" s="239" t="s">
        <v>344</v>
      </c>
      <c r="G68" s="32" t="s">
        <v>978</v>
      </c>
      <c r="H68" s="32" t="s">
        <v>979</v>
      </c>
      <c r="I68" s="255">
        <v>43705</v>
      </c>
      <c r="J68" s="247" t="s">
        <v>980</v>
      </c>
      <c r="K68" s="247" t="s">
        <v>977</v>
      </c>
      <c r="M68" s="29" t="s">
        <v>747</v>
      </c>
      <c r="N68" s="239" t="s">
        <v>315</v>
      </c>
      <c r="O68" s="239" t="s">
        <v>30</v>
      </c>
      <c r="P68" s="239" t="s">
        <v>174</v>
      </c>
      <c r="Q68" s="239" t="s">
        <v>35</v>
      </c>
      <c r="R68" s="187"/>
      <c r="S68" s="239" t="s">
        <v>269</v>
      </c>
      <c r="T68" s="248"/>
      <c r="U68" s="249"/>
      <c r="V68" s="250"/>
      <c r="W68" s="251">
        <v>4000000</v>
      </c>
      <c r="X68" s="252">
        <v>0.38</v>
      </c>
      <c r="Y68" s="55">
        <f t="shared" si="158"/>
        <v>2480000</v>
      </c>
      <c r="Z68" s="274">
        <f t="shared" si="159"/>
        <v>2480000</v>
      </c>
      <c r="AA68" s="183" t="e">
        <f t="shared" ca="1" si="160"/>
        <v>#NAME?</v>
      </c>
      <c r="AB68" s="239" t="s">
        <v>178</v>
      </c>
      <c r="AC68" s="239" t="s">
        <v>218</v>
      </c>
      <c r="AD68" s="239" t="s">
        <v>180</v>
      </c>
      <c r="AE68" s="239" t="s">
        <v>227</v>
      </c>
      <c r="AF68" s="239" t="s">
        <v>39</v>
      </c>
      <c r="AG68" s="239" t="s">
        <v>181</v>
      </c>
      <c r="AH68" s="239" t="s">
        <v>190</v>
      </c>
      <c r="AI68" s="251"/>
      <c r="AJ68" s="279">
        <v>9000000000</v>
      </c>
      <c r="AK68" s="224" t="e">
        <f t="shared" ca="1" si="161"/>
        <v>#NAME?</v>
      </c>
      <c r="AL68" s="279">
        <v>9000000000</v>
      </c>
      <c r="AM68" s="224" t="e">
        <f t="shared" ca="1" si="162"/>
        <v>#NAME?</v>
      </c>
      <c r="AN68" s="279">
        <v>2.5000000000000001E-2</v>
      </c>
      <c r="AO68" s="185" t="e">
        <f t="shared" ca="1" si="63"/>
        <v>#NAME?</v>
      </c>
      <c r="AP68" s="185" t="s">
        <v>192</v>
      </c>
      <c r="AQ68" s="239" t="s">
        <v>39</v>
      </c>
      <c r="AR68" s="239" t="s">
        <v>39</v>
      </c>
      <c r="AS68" s="239" t="s">
        <v>182</v>
      </c>
      <c r="AT68" s="29" t="s">
        <v>181</v>
      </c>
      <c r="AU68" s="29" t="s">
        <v>39</v>
      </c>
      <c r="AV68" s="239" t="s">
        <v>190</v>
      </c>
      <c r="AW68" s="239" t="s">
        <v>190</v>
      </c>
      <c r="AX68" s="239" t="s">
        <v>227</v>
      </c>
      <c r="AY68" s="239" t="s">
        <v>190</v>
      </c>
      <c r="AZ68" s="251">
        <v>0</v>
      </c>
      <c r="BA68" s="55" t="e">
        <f t="shared" ca="1" si="163"/>
        <v>#NAME?</v>
      </c>
      <c r="BB68" s="279">
        <v>4073</v>
      </c>
      <c r="BC68" s="280">
        <v>85605</v>
      </c>
      <c r="BD68" s="62" t="e">
        <f t="shared" ca="1" si="164"/>
        <v>#NAME?</v>
      </c>
      <c r="BE68" s="277">
        <f t="shared" si="165"/>
        <v>4.7578996553939608E-2</v>
      </c>
      <c r="BF68" s="62" t="e">
        <f t="shared" ca="1" si="166"/>
        <v>#NAME?</v>
      </c>
      <c r="BG68" s="239" t="s">
        <v>183</v>
      </c>
      <c r="BH68" s="187"/>
      <c r="BI68" s="239" t="s">
        <v>190</v>
      </c>
      <c r="BJ68" s="239">
        <v>0</v>
      </c>
      <c r="BK68" s="279">
        <v>1</v>
      </c>
      <c r="BL68" s="176" t="s">
        <v>190</v>
      </c>
      <c r="BM68" s="239" t="s">
        <v>190</v>
      </c>
      <c r="BN68" s="239" t="s">
        <v>190</v>
      </c>
      <c r="BO68" s="239" t="s">
        <v>190</v>
      </c>
      <c r="BP68" s="238">
        <v>1</v>
      </c>
      <c r="BQ68" s="238">
        <v>9</v>
      </c>
      <c r="BR68" s="238">
        <v>0</v>
      </c>
      <c r="BS68" s="238">
        <v>0</v>
      </c>
      <c r="BT68" s="204"/>
      <c r="BU68" s="238">
        <v>4</v>
      </c>
      <c r="BV68" s="238">
        <v>0</v>
      </c>
      <c r="BW68" s="238">
        <v>27</v>
      </c>
      <c r="BX68" s="239" t="s">
        <v>190</v>
      </c>
      <c r="BY68" s="204"/>
      <c r="BZ68" s="238"/>
      <c r="CA68" s="238"/>
      <c r="CB68" s="238"/>
      <c r="CC68" s="239"/>
      <c r="CD68" s="204"/>
      <c r="CE68" s="187"/>
      <c r="CF68" s="187"/>
      <c r="CG68" s="187"/>
      <c r="CH68" s="187"/>
      <c r="CI68" s="204"/>
      <c r="CJ68" s="187"/>
      <c r="CK68" s="187"/>
      <c r="CL68" s="187"/>
      <c r="CM68" s="187"/>
      <c r="CN68" s="205"/>
      <c r="CO68" s="187"/>
      <c r="CP68" s="187"/>
      <c r="CQ68" s="187"/>
      <c r="CR68" s="187"/>
      <c r="CS68" s="204"/>
      <c r="CT68" s="187"/>
      <c r="CU68" s="187"/>
      <c r="CV68" s="187"/>
      <c r="CW68" s="187"/>
      <c r="CX68" s="204"/>
      <c r="CY68" s="187"/>
      <c r="CZ68" s="187"/>
      <c r="DA68" s="187"/>
      <c r="DB68" s="187"/>
      <c r="DC68" s="204"/>
      <c r="DD68" s="187"/>
      <c r="DE68" s="187"/>
      <c r="DF68" s="187"/>
      <c r="DG68" s="187"/>
      <c r="DH68" s="204"/>
      <c r="DI68" s="187"/>
      <c r="DJ68" s="187"/>
      <c r="DK68" s="187"/>
      <c r="DL68" s="187"/>
      <c r="DM68" s="204"/>
      <c r="DN68" s="205"/>
      <c r="DO68" s="205"/>
      <c r="DQ68" s="206"/>
      <c r="DR68" s="188">
        <f t="shared" si="64"/>
        <v>4</v>
      </c>
      <c r="DS68" s="188"/>
      <c r="DT68" s="189">
        <f t="shared" si="65"/>
        <v>0</v>
      </c>
      <c r="DU68" s="189"/>
      <c r="DV68" s="188">
        <f t="shared" si="66"/>
        <v>27</v>
      </c>
      <c r="DW68" s="183" t="e">
        <f t="shared" ca="1" si="67"/>
        <v>#NAME?</v>
      </c>
      <c r="DX68" s="207"/>
      <c r="DY68" s="190" t="e">
        <f t="shared" ca="1" si="68"/>
        <v>#NAME?</v>
      </c>
      <c r="DZ68" s="191">
        <f t="shared" si="69"/>
        <v>5</v>
      </c>
      <c r="EA68" s="191" t="str">
        <f t="shared" si="70"/>
        <v/>
      </c>
      <c r="EB68" s="191" t="str">
        <f t="shared" si="71"/>
        <v/>
      </c>
      <c r="EC68" s="208" t="e">
        <f t="shared" ca="1" si="72"/>
        <v>#NAME?</v>
      </c>
      <c r="ED68" s="36" t="str">
        <f t="shared" si="73"/>
        <v>SAFE</v>
      </c>
      <c r="EE68" s="193">
        <f>COUNTIF($ED$2:$ED$92, ED68)/(COUNTIF($ED$2:$ED$92, "&lt;&gt;""") - COUNTIF($ED$2:$ED$92, ""))</f>
        <v>0.37777777777777777</v>
      </c>
      <c r="EF68" s="36" t="str">
        <f t="shared" si="74"/>
        <v>Early</v>
      </c>
      <c r="EG68" s="207"/>
      <c r="EH68" s="194" t="e">
        <f t="shared" ca="1" si="75"/>
        <v>#NAME?</v>
      </c>
      <c r="EI68" s="194" t="e">
        <f t="shared" ca="1" si="76"/>
        <v>#NAME?</v>
      </c>
      <c r="EJ68" s="209" t="e">
        <f t="shared" ca="1" si="77"/>
        <v>#NAME?</v>
      </c>
      <c r="EK68" s="208" t="e">
        <f t="shared" ca="1" si="78"/>
        <v>#NAME?</v>
      </c>
      <c r="EL68" s="36" t="str">
        <f t="shared" si="79"/>
        <v>No</v>
      </c>
      <c r="EM68" s="207"/>
      <c r="EN68" s="192">
        <f t="shared" si="80"/>
        <v>1.3809523809523809</v>
      </c>
      <c r="EO68" s="192">
        <f t="shared" si="81"/>
        <v>1</v>
      </c>
      <c r="EP68" s="209">
        <f t="shared" si="82"/>
        <v>2.3809523809523809</v>
      </c>
      <c r="EQ68" s="210">
        <f t="shared" si="83"/>
        <v>1.2990654205607477</v>
      </c>
      <c r="ER68" s="36" t="e">
        <f t="shared" ca="1" si="84"/>
        <v>#NAME?</v>
      </c>
      <c r="ES68" s="40">
        <f ca="1">COUNTIF($ER$2:$ER$92, ER68)/(COUNTIF($ER$2:$ER$92, "&lt;&gt;""") - COUNTIF($ER$2:$ER$92, ""))</f>
        <v>1</v>
      </c>
      <c r="ET68" s="36">
        <f t="shared" si="85"/>
        <v>1</v>
      </c>
      <c r="EU68" s="40">
        <f>COUNTIF($ET$2:$ET$92, ET68)/(COUNTIF($ET$2:$ET$92, "&lt;&gt;""") - COUNTIF($ET$2:$ET$92, ""))</f>
        <v>0.45555555555555555</v>
      </c>
      <c r="EV68" s="36">
        <f t="shared" si="86"/>
        <v>9</v>
      </c>
      <c r="EW68" s="40">
        <f>COUNTIF($EV$2:$EV$92, EV68)/(COUNTIF($EV$2:$EV$92, "&lt;&gt;""") - COUNTIF($EV$2:$EV$92, ""))</f>
        <v>5.5555555555555552E-2</v>
      </c>
      <c r="EX68" s="36" t="str">
        <f t="shared" si="87"/>
        <v>No</v>
      </c>
      <c r="EY68" s="40">
        <f>COUNTIF($EX$2:$EX$92, EX68)/(COUNTIF($EX$2:$EX$92, "&lt;&gt;""") - COUNTIF($EX$2:$EX$92, ""))</f>
        <v>0.72222222222222221</v>
      </c>
      <c r="EZ68" s="36" t="str">
        <f t="shared" ref="EZ68:FB68" si="181">BM68</f>
        <v>No</v>
      </c>
      <c r="FA68" s="36" t="str">
        <f t="shared" si="181"/>
        <v>No</v>
      </c>
      <c r="FB68" s="36" t="str">
        <f t="shared" si="181"/>
        <v>No</v>
      </c>
      <c r="FC68" s="207"/>
      <c r="FD68" s="36" t="str">
        <f t="shared" si="89"/>
        <v>Recurring</v>
      </c>
      <c r="FE68" s="40">
        <f>COUNTIF($FD$2:$FD$92, FD68)/(COUNTIF($FD$2:$FD$92, "&lt;&gt;""") - COUNTIF($FD$2:$FD$92, ""))</f>
        <v>0.4</v>
      </c>
      <c r="FF68" s="36" t="str">
        <f t="shared" si="90"/>
        <v>B2B/B2C</v>
      </c>
      <c r="FG68" s="40">
        <f>COUNTIF($FF$2:$FF$92, FF68)/(COUNTIF($FF$2:$FF$92, "&lt;&gt;""") - COUNTIF($FF$2:$FF$92, ""))</f>
        <v>0.27777777777777779</v>
      </c>
      <c r="FH68" s="36" t="str">
        <f t="shared" si="91"/>
        <v>High</v>
      </c>
      <c r="FI68" s="40">
        <f>COUNTIF($FH$2:$FH$92, FH68)/(COUNTIF($FH$2:$FH$92, "&lt;&gt;""") - COUNTIF($FH$2:$FH$92, ""))</f>
        <v>0.53333333333333333</v>
      </c>
      <c r="FJ68" s="36" t="str">
        <f t="shared" si="92"/>
        <v>Low</v>
      </c>
      <c r="FK68" s="40">
        <f>COUNTIF($FJ$2:$FJ$92, FJ68)/(COUNTIF($FJ$2:$FJ$92, "&lt;&gt;""") - COUNTIF($FJ$2:$FJ$92, ""))</f>
        <v>0.41111111111111109</v>
      </c>
      <c r="FL68" s="207"/>
      <c r="FM68" s="192">
        <f t="shared" si="93"/>
        <v>3</v>
      </c>
      <c r="FN68" s="192" t="e">
        <f t="shared" ca="1" si="94"/>
        <v>#NAME?</v>
      </c>
      <c r="FO68" s="192" t="e">
        <f t="shared" ca="1" si="95"/>
        <v>#NAME?</v>
      </c>
      <c r="FP68" s="192" t="e">
        <f t="shared" ca="1" si="96"/>
        <v>#NAME?</v>
      </c>
      <c r="FQ68" s="209" t="e">
        <f t="shared" ca="1" si="97"/>
        <v>#NAME?</v>
      </c>
      <c r="FR68" s="208" t="e">
        <f t="shared" ca="1" si="98"/>
        <v>#NAME?</v>
      </c>
      <c r="FS68" s="36" t="str">
        <f t="shared" si="99"/>
        <v>Pre-Revenue</v>
      </c>
      <c r="FT68" s="196">
        <f>COUNTIF($FS$2:$FS$92, FS68)/(COUNTIF($FS$2:$FS$92, "&lt;&gt;""") - COUNTIF($FZ$2:$FZ$92, ""))</f>
        <v>0.2</v>
      </c>
      <c r="FU68" s="207"/>
      <c r="FV68" s="192" t="e">
        <f t="shared" ca="1" si="100"/>
        <v>#NAME?</v>
      </c>
      <c r="FW68" s="197" t="e">
        <f t="shared" ca="1" si="101"/>
        <v>#NAME?</v>
      </c>
      <c r="FX68" s="209" t="e">
        <f t="shared" ca="1" si="102"/>
        <v>#NAME?</v>
      </c>
      <c r="FY68" s="211" t="e">
        <f t="shared" ca="1" si="103"/>
        <v>#NAME?</v>
      </c>
      <c r="FZ68" s="36" t="str">
        <f t="shared" si="104"/>
        <v>No</v>
      </c>
      <c r="GA68" s="196">
        <f>COUNTIF($FZ$2:$FZ$92, FZ68)/(COUNTIF($FZ$2:$FZ$92, "&lt;&gt;""") - COUNTIF($FZ$2:$FZ$92, ""))</f>
        <v>0.76666666666666672</v>
      </c>
      <c r="GB68" s="196" t="str">
        <f t="shared" si="105"/>
        <v>Low</v>
      </c>
      <c r="GC68" s="196">
        <f>COUNTIF($GB$2:$GB$92, GB68)/(COUNTIF($GB$2:$GB$92, "&lt;&gt;""") - COUNTIF($GB$2:$GB$92, ""))</f>
        <v>0.55555555555555558</v>
      </c>
      <c r="GD68" s="196" t="str">
        <f t="shared" si="106"/>
        <v>High</v>
      </c>
      <c r="GE68" s="196">
        <f>COUNTIF($GD$2:$GD$92, GD68)/(COUNTIF($GD$2:$GD$92, "&lt;&gt;""") - COUNTIF($GD$2:$GD$92, ""))</f>
        <v>0.8</v>
      </c>
      <c r="GF68" s="207"/>
      <c r="GG68" s="36"/>
      <c r="GH68" s="209" t="e">
        <f t="shared" ca="1" si="107"/>
        <v>#NAME?</v>
      </c>
      <c r="GI68" s="212" t="e">
        <f t="shared" ca="1" si="108"/>
        <v>#NAME?</v>
      </c>
    </row>
    <row r="69" spans="1:191" ht="15.75" customHeight="1">
      <c r="A69" s="174"/>
      <c r="B69" s="174" t="s">
        <v>433</v>
      </c>
      <c r="C69" s="238">
        <v>1783629</v>
      </c>
      <c r="D69" s="244" t="s">
        <v>981</v>
      </c>
      <c r="E69" s="245">
        <v>43718.393750000003</v>
      </c>
      <c r="F69" s="239" t="s">
        <v>344</v>
      </c>
      <c r="G69" s="32" t="s">
        <v>982</v>
      </c>
      <c r="H69" s="32" t="s">
        <v>983</v>
      </c>
      <c r="I69" s="246">
        <v>43671</v>
      </c>
      <c r="J69" s="247" t="s">
        <v>984</v>
      </c>
      <c r="K69" s="247" t="s">
        <v>985</v>
      </c>
      <c r="M69" s="239" t="s">
        <v>986</v>
      </c>
      <c r="N69" s="239" t="s">
        <v>168</v>
      </c>
      <c r="O69" s="239" t="s">
        <v>30</v>
      </c>
      <c r="P69" s="239" t="s">
        <v>174</v>
      </c>
      <c r="Q69" s="239" t="s">
        <v>35</v>
      </c>
      <c r="R69" s="187"/>
      <c r="S69" s="239" t="s">
        <v>269</v>
      </c>
      <c r="T69" s="248"/>
      <c r="U69" s="249"/>
      <c r="V69" s="250"/>
      <c r="W69" s="251">
        <v>2000000</v>
      </c>
      <c r="X69" s="252">
        <v>0.25</v>
      </c>
      <c r="Y69" s="55">
        <f t="shared" si="158"/>
        <v>1500000</v>
      </c>
      <c r="Z69" s="274">
        <f t="shared" si="159"/>
        <v>1500000</v>
      </c>
      <c r="AA69" s="183" t="e">
        <f t="shared" ca="1" si="160"/>
        <v>#NAME?</v>
      </c>
      <c r="AB69" s="239" t="s">
        <v>36</v>
      </c>
      <c r="AC69" s="239" t="s">
        <v>179</v>
      </c>
      <c r="AD69" s="239" t="s">
        <v>38</v>
      </c>
      <c r="AE69" s="239" t="s">
        <v>190</v>
      </c>
      <c r="AF69" s="239" t="s">
        <v>181</v>
      </c>
      <c r="AG69" s="239" t="s">
        <v>39</v>
      </c>
      <c r="AH69" s="239" t="s">
        <v>190</v>
      </c>
      <c r="AI69" s="251"/>
      <c r="AJ69" s="279">
        <v>7100000000</v>
      </c>
      <c r="AK69" s="224" t="e">
        <f t="shared" ca="1" si="161"/>
        <v>#NAME?</v>
      </c>
      <c r="AL69" s="279">
        <v>2130000000</v>
      </c>
      <c r="AM69" s="224" t="e">
        <f t="shared" ca="1" si="162"/>
        <v>#NAME?</v>
      </c>
      <c r="AN69" s="279">
        <v>7.6999999999999999E-2</v>
      </c>
      <c r="AO69" s="185" t="e">
        <f t="shared" ca="1" si="63"/>
        <v>#NAME?</v>
      </c>
      <c r="AP69" s="185" t="s">
        <v>228</v>
      </c>
      <c r="AQ69" s="239" t="s">
        <v>181</v>
      </c>
      <c r="AR69" s="239" t="s">
        <v>181</v>
      </c>
      <c r="AS69" s="239" t="s">
        <v>42</v>
      </c>
      <c r="AT69" s="29" t="s">
        <v>181</v>
      </c>
      <c r="AU69" s="29" t="s">
        <v>39</v>
      </c>
      <c r="AV69" s="239" t="s">
        <v>227</v>
      </c>
      <c r="AW69" s="239" t="s">
        <v>190</v>
      </c>
      <c r="AX69" s="239" t="s">
        <v>190</v>
      </c>
      <c r="AY69" s="239" t="s">
        <v>190</v>
      </c>
      <c r="AZ69" s="251">
        <v>0</v>
      </c>
      <c r="BA69" s="55" t="e">
        <f t="shared" ca="1" si="163"/>
        <v>#NAME?</v>
      </c>
      <c r="BB69" s="279">
        <v>235</v>
      </c>
      <c r="BC69" s="280">
        <v>15000</v>
      </c>
      <c r="BD69" s="62" t="e">
        <f t="shared" ca="1" si="164"/>
        <v>#NAME?</v>
      </c>
      <c r="BE69" s="277">
        <f t="shared" si="165"/>
        <v>1.5666666666666666E-2</v>
      </c>
      <c r="BF69" s="62" t="e">
        <f t="shared" ca="1" si="166"/>
        <v>#NAME?</v>
      </c>
      <c r="BG69" s="239" t="s">
        <v>43</v>
      </c>
      <c r="BH69" s="187"/>
      <c r="BI69" s="239" t="s">
        <v>190</v>
      </c>
      <c r="BJ69" s="239">
        <v>0</v>
      </c>
      <c r="BK69" s="279">
        <v>1</v>
      </c>
      <c r="BL69" s="176" t="s">
        <v>190</v>
      </c>
      <c r="BM69" s="239" t="s">
        <v>190</v>
      </c>
      <c r="BN69" s="239" t="s">
        <v>190</v>
      </c>
      <c r="BO69" s="239" t="s">
        <v>190</v>
      </c>
      <c r="BP69" s="238">
        <v>2</v>
      </c>
      <c r="BQ69" s="238">
        <v>1</v>
      </c>
      <c r="BR69" s="238">
        <v>2</v>
      </c>
      <c r="BS69" s="238">
        <v>0</v>
      </c>
      <c r="BT69" s="204"/>
      <c r="BU69" s="256">
        <v>0</v>
      </c>
      <c r="BV69" s="256">
        <v>0</v>
      </c>
      <c r="BW69" s="256">
        <v>44</v>
      </c>
      <c r="BX69" s="243" t="s">
        <v>227</v>
      </c>
      <c r="BY69" s="204"/>
      <c r="BZ69" s="187"/>
      <c r="CA69" s="187"/>
      <c r="CB69" s="187"/>
      <c r="CC69" s="187"/>
      <c r="CD69" s="204"/>
      <c r="CE69" s="187"/>
      <c r="CF69" s="187"/>
      <c r="CG69" s="187"/>
      <c r="CH69" s="187"/>
      <c r="CI69" s="204"/>
      <c r="CJ69" s="187"/>
      <c r="CK69" s="187"/>
      <c r="CL69" s="187"/>
      <c r="CM69" s="187"/>
      <c r="CN69" s="205"/>
      <c r="CO69" s="240"/>
      <c r="CP69" s="240"/>
      <c r="CQ69" s="240"/>
      <c r="CR69" s="187"/>
      <c r="CS69" s="204"/>
      <c r="CT69" s="240"/>
      <c r="CU69" s="240"/>
      <c r="CV69" s="240"/>
      <c r="CW69" s="187"/>
      <c r="CX69" s="204"/>
      <c r="CY69" s="240"/>
      <c r="CZ69" s="240"/>
      <c r="DA69" s="240"/>
      <c r="DB69" s="187"/>
      <c r="DC69" s="204"/>
      <c r="DD69" s="240"/>
      <c r="DE69" s="240"/>
      <c r="DF69" s="240"/>
      <c r="DG69" s="187"/>
      <c r="DH69" s="204"/>
      <c r="DI69" s="240"/>
      <c r="DJ69" s="240"/>
      <c r="DK69" s="240"/>
      <c r="DL69" s="187"/>
      <c r="DM69" s="204"/>
      <c r="DN69" s="205"/>
      <c r="DO69" s="205"/>
      <c r="DQ69" s="206"/>
      <c r="DR69" s="188">
        <f t="shared" si="64"/>
        <v>0</v>
      </c>
      <c r="DS69" s="188"/>
      <c r="DT69" s="189">
        <f t="shared" si="65"/>
        <v>0</v>
      </c>
      <c r="DU69" s="189"/>
      <c r="DV69" s="188">
        <f t="shared" si="66"/>
        <v>44</v>
      </c>
      <c r="DW69" s="183" t="e">
        <f t="shared" ca="1" si="67"/>
        <v>#NAME?</v>
      </c>
      <c r="DX69" s="207"/>
      <c r="DY69" s="190" t="e">
        <f t="shared" ca="1" si="68"/>
        <v>#NAME?</v>
      </c>
      <c r="DZ69" s="191">
        <f t="shared" si="69"/>
        <v>3.6315789473684212</v>
      </c>
      <c r="EA69" s="191" t="str">
        <f t="shared" si="70"/>
        <v/>
      </c>
      <c r="EB69" s="191" t="str">
        <f t="shared" si="71"/>
        <v/>
      </c>
      <c r="EC69" s="208" t="e">
        <f t="shared" ca="1" si="72"/>
        <v>#NAME?</v>
      </c>
      <c r="ED69" s="36" t="str">
        <f t="shared" si="73"/>
        <v>SAFE</v>
      </c>
      <c r="EE69" s="193">
        <f>COUNTIF($ED$2:$ED$92, ED69)/(COUNTIF($ED$2:$ED$92, "&lt;&gt;""") - COUNTIF($ED$2:$ED$92, ""))</f>
        <v>0.37777777777777777</v>
      </c>
      <c r="EF69" s="36" t="str">
        <f t="shared" si="74"/>
        <v>Early</v>
      </c>
      <c r="EG69" s="207"/>
      <c r="EH69" s="194" t="e">
        <f t="shared" ca="1" si="75"/>
        <v>#NAME?</v>
      </c>
      <c r="EI69" s="194" t="e">
        <f t="shared" ca="1" si="76"/>
        <v>#NAME?</v>
      </c>
      <c r="EJ69" s="209" t="e">
        <f t="shared" ca="1" si="77"/>
        <v>#NAME?</v>
      </c>
      <c r="EK69" s="208" t="e">
        <f t="shared" ca="1" si="78"/>
        <v>#NAME?</v>
      </c>
      <c r="EL69" s="36" t="str">
        <f t="shared" si="79"/>
        <v>Yes</v>
      </c>
      <c r="EM69" s="207"/>
      <c r="EN69" s="192">
        <f t="shared" si="80"/>
        <v>1</v>
      </c>
      <c r="EO69" s="192">
        <f t="shared" si="81"/>
        <v>1</v>
      </c>
      <c r="EP69" s="209">
        <f t="shared" si="82"/>
        <v>2</v>
      </c>
      <c r="EQ69" s="210">
        <f t="shared" si="83"/>
        <v>1</v>
      </c>
      <c r="ER69" s="36" t="e">
        <f t="shared" ca="1" si="84"/>
        <v>#NAME?</v>
      </c>
      <c r="ES69" s="40">
        <f ca="1">COUNTIF($ER$2:$ER$92, ER69)/(COUNTIF($ER$2:$ER$92, "&lt;&gt;""") - COUNTIF($ER$2:$ER$92, ""))</f>
        <v>1</v>
      </c>
      <c r="ET69" s="36">
        <f t="shared" si="85"/>
        <v>1</v>
      </c>
      <c r="EU69" s="40">
        <f>COUNTIF($ET$2:$ET$92, ET69)/(COUNTIF($ET$2:$ET$92, "&lt;&gt;""") - COUNTIF($ET$2:$ET$92, ""))</f>
        <v>0.45555555555555555</v>
      </c>
      <c r="EV69" s="36">
        <f t="shared" si="86"/>
        <v>1</v>
      </c>
      <c r="EW69" s="40">
        <f>COUNTIF($EV$2:$EV$92, EV69)/(COUNTIF($EV$2:$EV$92, "&lt;&gt;""") - COUNTIF($EV$2:$EV$92, ""))</f>
        <v>7.7777777777777779E-2</v>
      </c>
      <c r="EX69" s="36" t="str">
        <f t="shared" si="87"/>
        <v>No</v>
      </c>
      <c r="EY69" s="40">
        <f>COUNTIF($EX$2:$EX$92, EX69)/(COUNTIF($EX$2:$EX$92, "&lt;&gt;""") - COUNTIF($EX$2:$EX$92, ""))</f>
        <v>0.72222222222222221</v>
      </c>
      <c r="EZ69" s="36" t="str">
        <f t="shared" ref="EZ69:FB69" si="182">BM69</f>
        <v>No</v>
      </c>
      <c r="FA69" s="36" t="str">
        <f t="shared" si="182"/>
        <v>No</v>
      </c>
      <c r="FB69" s="36" t="str">
        <f t="shared" si="182"/>
        <v>No</v>
      </c>
      <c r="FC69" s="207"/>
      <c r="FD69" s="36" t="str">
        <f t="shared" si="89"/>
        <v>Transactional</v>
      </c>
      <c r="FE69" s="40">
        <f>COUNTIF($FD$2:$FD$92, FD69)/(COUNTIF($FD$2:$FD$92, "&lt;&gt;""") - COUNTIF($FD$2:$FD$92, ""))</f>
        <v>0.6</v>
      </c>
      <c r="FF69" s="36" t="str">
        <f t="shared" si="90"/>
        <v>B2C</v>
      </c>
      <c r="FG69" s="40">
        <f>COUNTIF($FF$2:$FF$92, FF69)/(COUNTIF($FF$2:$FF$92, "&lt;&gt;""") - COUNTIF($FF$2:$FF$92, ""))</f>
        <v>0.41111111111111109</v>
      </c>
      <c r="FH69" s="36" t="str">
        <f t="shared" si="91"/>
        <v>Low</v>
      </c>
      <c r="FI69" s="40">
        <f>COUNTIF($FH$2:$FH$92, FH69)/(COUNTIF($FH$2:$FH$92, "&lt;&gt;""") - COUNTIF($FH$2:$FH$92, ""))</f>
        <v>0.46666666666666667</v>
      </c>
      <c r="FJ69" s="36" t="str">
        <f t="shared" si="92"/>
        <v>High</v>
      </c>
      <c r="FK69" s="40">
        <f>COUNTIF($FJ$2:$FJ$92, FJ69)/(COUNTIF($FJ$2:$FJ$92, "&lt;&gt;""") - COUNTIF($FJ$2:$FJ$92, ""))</f>
        <v>0.58888888888888891</v>
      </c>
      <c r="FL69" s="207"/>
      <c r="FM69" s="192">
        <f t="shared" si="93"/>
        <v>1</v>
      </c>
      <c r="FN69" s="192" t="e">
        <f t="shared" ca="1" si="94"/>
        <v>#NAME?</v>
      </c>
      <c r="FO69" s="192" t="e">
        <f t="shared" ca="1" si="95"/>
        <v>#NAME?</v>
      </c>
      <c r="FP69" s="192" t="e">
        <f t="shared" ca="1" si="96"/>
        <v>#NAME?</v>
      </c>
      <c r="FQ69" s="209" t="e">
        <f t="shared" ca="1" si="97"/>
        <v>#NAME?</v>
      </c>
      <c r="FR69" s="208" t="e">
        <f t="shared" ca="1" si="98"/>
        <v>#NAME?</v>
      </c>
      <c r="FS69" s="36" t="str">
        <f t="shared" si="99"/>
        <v>Pre-Product</v>
      </c>
      <c r="FT69" s="196">
        <f>COUNTIF($FS$2:$FS$92, FS69)/(COUNTIF($FS$2:$FS$92, "&lt;&gt;""") - COUNTIF($FZ$2:$FZ$92, ""))</f>
        <v>0.22222222222222221</v>
      </c>
      <c r="FU69" s="207"/>
      <c r="FV69" s="192" t="e">
        <f t="shared" ca="1" si="100"/>
        <v>#NAME?</v>
      </c>
      <c r="FW69" s="197" t="e">
        <f t="shared" ca="1" si="101"/>
        <v>#NAME?</v>
      </c>
      <c r="FX69" s="209" t="e">
        <f t="shared" ca="1" si="102"/>
        <v>#NAME?</v>
      </c>
      <c r="FY69" s="211" t="e">
        <f t="shared" ca="1" si="103"/>
        <v>#NAME?</v>
      </c>
      <c r="FZ69" s="36" t="str">
        <f t="shared" si="104"/>
        <v>No</v>
      </c>
      <c r="GA69" s="196">
        <f>COUNTIF($FZ$2:$FZ$92, FZ69)/(COUNTIF($FZ$2:$FZ$92, "&lt;&gt;""") - COUNTIF($FZ$2:$FZ$92, ""))</f>
        <v>0.76666666666666672</v>
      </c>
      <c r="GB69" s="196" t="str">
        <f t="shared" si="105"/>
        <v>Low</v>
      </c>
      <c r="GC69" s="196">
        <f>COUNTIF($GB$2:$GB$92, GB69)/(COUNTIF($GB$2:$GB$92, "&lt;&gt;""") - COUNTIF($GB$2:$GB$92, ""))</f>
        <v>0.55555555555555558</v>
      </c>
      <c r="GD69" s="196" t="str">
        <f t="shared" si="106"/>
        <v>High</v>
      </c>
      <c r="GE69" s="196">
        <f>COUNTIF($GD$2:$GD$92, GD69)/(COUNTIF($GD$2:$GD$92, "&lt;&gt;""") - COUNTIF($GD$2:$GD$92, ""))</f>
        <v>0.8</v>
      </c>
      <c r="GF69" s="207"/>
      <c r="GG69" s="36"/>
      <c r="GH69" s="209" t="e">
        <f t="shared" ca="1" si="107"/>
        <v>#NAME?</v>
      </c>
      <c r="GI69" s="212" t="e">
        <f t="shared" ca="1" si="108"/>
        <v>#NAME?</v>
      </c>
    </row>
    <row r="70" spans="1:191" ht="15.75" customHeight="1">
      <c r="A70" s="174"/>
      <c r="B70" s="174" t="s">
        <v>433</v>
      </c>
      <c r="C70" s="238">
        <v>1785480</v>
      </c>
      <c r="D70" s="244" t="s">
        <v>987</v>
      </c>
      <c r="E70" s="245">
        <v>43719.427083333336</v>
      </c>
      <c r="F70" s="239" t="s">
        <v>344</v>
      </c>
      <c r="G70" s="32" t="s">
        <v>988</v>
      </c>
      <c r="H70" s="32" t="s">
        <v>989</v>
      </c>
      <c r="I70" s="246">
        <v>43699</v>
      </c>
      <c r="J70" s="247" t="s">
        <v>990</v>
      </c>
      <c r="K70" s="247" t="s">
        <v>987</v>
      </c>
      <c r="M70" s="35" t="s">
        <v>293</v>
      </c>
      <c r="N70" s="239" t="s">
        <v>168</v>
      </c>
      <c r="O70" s="239" t="s">
        <v>173</v>
      </c>
      <c r="P70" s="239" t="s">
        <v>174</v>
      </c>
      <c r="Q70" s="239" t="s">
        <v>35</v>
      </c>
      <c r="R70" s="187"/>
      <c r="S70" s="239" t="s">
        <v>269</v>
      </c>
      <c r="T70" s="248"/>
      <c r="U70" s="249"/>
      <c r="V70" s="250"/>
      <c r="W70" s="251">
        <v>2500000</v>
      </c>
      <c r="X70" s="252">
        <v>0</v>
      </c>
      <c r="Y70" s="55">
        <f t="shared" si="158"/>
        <v>2500000</v>
      </c>
      <c r="Z70" s="274">
        <f t="shared" si="159"/>
        <v>2500000</v>
      </c>
      <c r="AA70" s="183" t="e">
        <f t="shared" ca="1" si="160"/>
        <v>#NAME?</v>
      </c>
      <c r="AB70" s="239" t="s">
        <v>36</v>
      </c>
      <c r="AC70" s="239" t="s">
        <v>218</v>
      </c>
      <c r="AD70" s="239" t="s">
        <v>38</v>
      </c>
      <c r="AE70" s="239" t="s">
        <v>190</v>
      </c>
      <c r="AF70" s="239" t="s">
        <v>39</v>
      </c>
      <c r="AG70" s="239" t="s">
        <v>39</v>
      </c>
      <c r="AH70" s="19" t="s">
        <v>190</v>
      </c>
      <c r="AI70" s="251"/>
      <c r="AJ70" s="279">
        <v>28503000000</v>
      </c>
      <c r="AK70" s="224" t="e">
        <f t="shared" ca="1" si="161"/>
        <v>#NAME?</v>
      </c>
      <c r="AL70" s="279">
        <v>70000000</v>
      </c>
      <c r="AM70" s="224" t="e">
        <f t="shared" ca="1" si="162"/>
        <v>#NAME?</v>
      </c>
      <c r="AN70" s="279">
        <v>1.9E-2</v>
      </c>
      <c r="AO70" s="185" t="e">
        <f t="shared" ca="1" si="63"/>
        <v>#NAME?</v>
      </c>
      <c r="AP70" s="185" t="s">
        <v>264</v>
      </c>
      <c r="AQ70" s="239" t="s">
        <v>181</v>
      </c>
      <c r="AR70" s="239" t="s">
        <v>181</v>
      </c>
      <c r="AS70" s="239" t="s">
        <v>42</v>
      </c>
      <c r="AT70" s="29" t="s">
        <v>181</v>
      </c>
      <c r="AU70" s="29" t="s">
        <v>39</v>
      </c>
      <c r="AV70" s="239" t="s">
        <v>190</v>
      </c>
      <c r="AW70" s="239" t="s">
        <v>190</v>
      </c>
      <c r="AX70" s="239" t="s">
        <v>227</v>
      </c>
      <c r="AY70" s="239" t="s">
        <v>227</v>
      </c>
      <c r="AZ70" s="251">
        <v>317558</v>
      </c>
      <c r="BA70" s="55" t="e">
        <f t="shared" ca="1" si="163"/>
        <v>#NAME?</v>
      </c>
      <c r="BB70" s="279">
        <v>2722</v>
      </c>
      <c r="BC70" s="280">
        <v>0</v>
      </c>
      <c r="BD70" s="62" t="e">
        <f t="shared" ca="1" si="164"/>
        <v>#NAME?</v>
      </c>
      <c r="BE70" s="277">
        <f t="shared" si="165"/>
        <v>1</v>
      </c>
      <c r="BF70" s="62" t="e">
        <f t="shared" ca="1" si="166"/>
        <v>#NAME?</v>
      </c>
      <c r="BG70" s="239" t="s">
        <v>202</v>
      </c>
      <c r="BH70" s="187"/>
      <c r="BI70" s="239" t="s">
        <v>190</v>
      </c>
      <c r="BJ70" s="239">
        <v>0</v>
      </c>
      <c r="BK70" s="279">
        <v>2</v>
      </c>
      <c r="BL70" s="239" t="s">
        <v>190</v>
      </c>
      <c r="BM70" s="239" t="s">
        <v>227</v>
      </c>
      <c r="BN70" s="239" t="s">
        <v>227</v>
      </c>
      <c r="BO70" s="239" t="s">
        <v>190</v>
      </c>
      <c r="BP70" s="239">
        <v>4</v>
      </c>
      <c r="BQ70" s="238">
        <v>3</v>
      </c>
      <c r="BR70" s="238">
        <v>0</v>
      </c>
      <c r="BS70" s="238">
        <v>0</v>
      </c>
      <c r="BT70" s="204"/>
      <c r="BU70" s="256">
        <v>6</v>
      </c>
      <c r="BV70" s="256">
        <v>0</v>
      </c>
      <c r="BW70" s="256">
        <v>41</v>
      </c>
      <c r="BX70" s="243" t="s">
        <v>190</v>
      </c>
      <c r="BY70" s="204"/>
      <c r="BZ70" s="256">
        <v>6</v>
      </c>
      <c r="CA70" s="256">
        <v>1</v>
      </c>
      <c r="CB70" s="256">
        <v>48</v>
      </c>
      <c r="CC70" s="243" t="s">
        <v>227</v>
      </c>
      <c r="CD70" s="204"/>
      <c r="CE70" s="256"/>
      <c r="CF70" s="256"/>
      <c r="CG70" s="256"/>
      <c r="CH70" s="243"/>
      <c r="CI70" s="204"/>
      <c r="CJ70" s="256"/>
      <c r="CK70" s="256"/>
      <c r="CL70" s="256"/>
      <c r="CM70" s="243"/>
      <c r="CN70" s="205"/>
      <c r="CO70" s="187"/>
      <c r="CP70" s="187"/>
      <c r="CQ70" s="187"/>
      <c r="CR70" s="187"/>
      <c r="CS70" s="204"/>
      <c r="CT70" s="187"/>
      <c r="CU70" s="187"/>
      <c r="CV70" s="187"/>
      <c r="CW70" s="187"/>
      <c r="CX70" s="204"/>
      <c r="CY70" s="187"/>
      <c r="CZ70" s="187"/>
      <c r="DA70" s="187"/>
      <c r="DB70" s="187"/>
      <c r="DC70" s="204"/>
      <c r="DD70" s="187"/>
      <c r="DE70" s="187"/>
      <c r="DF70" s="187"/>
      <c r="DG70" s="187"/>
      <c r="DH70" s="204"/>
      <c r="DI70" s="187"/>
      <c r="DJ70" s="187"/>
      <c r="DK70" s="187"/>
      <c r="DL70" s="187"/>
      <c r="DM70" s="204"/>
      <c r="DN70" s="205"/>
      <c r="DO70" s="205"/>
      <c r="DQ70" s="206"/>
      <c r="DR70" s="188">
        <f t="shared" si="64"/>
        <v>6</v>
      </c>
      <c r="DS70" s="188"/>
      <c r="DT70" s="189">
        <f t="shared" si="65"/>
        <v>1</v>
      </c>
      <c r="DU70" s="189"/>
      <c r="DV70" s="188">
        <f t="shared" si="66"/>
        <v>44.5</v>
      </c>
      <c r="DW70" s="183" t="e">
        <f t="shared" ca="1" si="67"/>
        <v>#NAME?</v>
      </c>
      <c r="DX70" s="207"/>
      <c r="DY70" s="190" t="e">
        <f t="shared" ca="1" si="68"/>
        <v>#NAME?</v>
      </c>
      <c r="DZ70" s="191">
        <f t="shared" si="69"/>
        <v>1</v>
      </c>
      <c r="EA70" s="191" t="str">
        <f t="shared" si="70"/>
        <v/>
      </c>
      <c r="EB70" s="191" t="str">
        <f t="shared" si="71"/>
        <v/>
      </c>
      <c r="EC70" s="208" t="e">
        <f t="shared" ca="1" si="72"/>
        <v>#NAME?</v>
      </c>
      <c r="ED70" s="36" t="str">
        <f t="shared" si="73"/>
        <v>SAFE</v>
      </c>
      <c r="EE70" s="193">
        <f>COUNTIF($ED$2:$ED$92, ED70)/(COUNTIF($ED$2:$ED$92, "&lt;&gt;""") - COUNTIF($ED$2:$ED$92, ""))</f>
        <v>0.37777777777777777</v>
      </c>
      <c r="EF70" s="36" t="str">
        <f t="shared" si="74"/>
        <v>Growth</v>
      </c>
      <c r="EG70" s="207"/>
      <c r="EH70" s="194" t="e">
        <f t="shared" ca="1" si="75"/>
        <v>#NAME?</v>
      </c>
      <c r="EI70" s="194" t="e">
        <f t="shared" ca="1" si="76"/>
        <v>#NAME?</v>
      </c>
      <c r="EJ70" s="209" t="e">
        <f t="shared" ca="1" si="77"/>
        <v>#NAME?</v>
      </c>
      <c r="EK70" s="208" t="e">
        <f t="shared" ca="1" si="78"/>
        <v>#NAME?</v>
      </c>
      <c r="EL70" s="36" t="str">
        <f t="shared" si="79"/>
        <v>No</v>
      </c>
      <c r="EM70" s="207"/>
      <c r="EN70" s="192">
        <f t="shared" si="80"/>
        <v>1.5714285714285714</v>
      </c>
      <c r="EO70" s="192">
        <f t="shared" si="81"/>
        <v>2</v>
      </c>
      <c r="EP70" s="209">
        <f t="shared" si="82"/>
        <v>3.5714285714285712</v>
      </c>
      <c r="EQ70" s="210">
        <f t="shared" si="83"/>
        <v>2.2336448598130838</v>
      </c>
      <c r="ER70" s="36" t="e">
        <f t="shared" ca="1" si="84"/>
        <v>#NAME?</v>
      </c>
      <c r="ES70" s="40">
        <f ca="1">COUNTIF($ER$2:$ER$92, ER70)/(COUNTIF($ER$2:$ER$92, "&lt;&gt;""") - COUNTIF($ER$2:$ER$92, ""))</f>
        <v>1</v>
      </c>
      <c r="ET70" s="36">
        <f t="shared" si="85"/>
        <v>2</v>
      </c>
      <c r="EU70" s="40">
        <f>COUNTIF($ET$2:$ET$92, ET70)/(COUNTIF($ET$2:$ET$92, "&lt;&gt;""") - COUNTIF($ET$2:$ET$92, ""))</f>
        <v>0.45555555555555555</v>
      </c>
      <c r="EV70" s="36">
        <f t="shared" si="86"/>
        <v>3</v>
      </c>
      <c r="EW70" s="40">
        <f>COUNTIF($EV$2:$EV$92, EV70)/(COUNTIF($EV$2:$EV$92, "&lt;&gt;""") - COUNTIF($EV$2:$EV$92, ""))</f>
        <v>8.8888888888888892E-2</v>
      </c>
      <c r="EX70" s="36" t="str">
        <f t="shared" si="87"/>
        <v>No</v>
      </c>
      <c r="EY70" s="40">
        <f>COUNTIF($EX$2:$EX$92, EX70)/(COUNTIF($EX$2:$EX$92, "&lt;&gt;""") - COUNTIF($EX$2:$EX$92, ""))</f>
        <v>0.72222222222222221</v>
      </c>
      <c r="EZ70" s="36" t="str">
        <f t="shared" ref="EZ70:FB70" si="183">BM70</f>
        <v>Yes</v>
      </c>
      <c r="FA70" s="36" t="str">
        <f t="shared" si="183"/>
        <v>Yes</v>
      </c>
      <c r="FB70" s="36" t="str">
        <f t="shared" si="183"/>
        <v>No</v>
      </c>
      <c r="FC70" s="207"/>
      <c r="FD70" s="36" t="str">
        <f t="shared" si="89"/>
        <v>Transactional</v>
      </c>
      <c r="FE70" s="40">
        <f>COUNTIF($FD$2:$FD$92, FD70)/(COUNTIF($FD$2:$FD$92, "&lt;&gt;""") - COUNTIF($FD$2:$FD$92, ""))</f>
        <v>0.6</v>
      </c>
      <c r="FF70" s="36" t="str">
        <f t="shared" si="90"/>
        <v>B2B/B2C</v>
      </c>
      <c r="FG70" s="40">
        <f>COUNTIF($FF$2:$FF$92, FF70)/(COUNTIF($FF$2:$FF$92, "&lt;&gt;""") - COUNTIF($FF$2:$FF$92, ""))</f>
        <v>0.27777777777777779</v>
      </c>
      <c r="FH70" s="36" t="str">
        <f t="shared" si="91"/>
        <v>High</v>
      </c>
      <c r="FI70" s="40">
        <f>COUNTIF($FH$2:$FH$92, FH70)/(COUNTIF($FH$2:$FH$92, "&lt;&gt;""") - COUNTIF($FH$2:$FH$92, ""))</f>
        <v>0.53333333333333333</v>
      </c>
      <c r="FJ70" s="36" t="str">
        <f t="shared" si="92"/>
        <v>High</v>
      </c>
      <c r="FK70" s="40">
        <f>COUNTIF($FJ$2:$FJ$92, FJ70)/(COUNTIF($FJ$2:$FJ$92, "&lt;&gt;""") - COUNTIF($FJ$2:$FJ$92, ""))</f>
        <v>0.58888888888888891</v>
      </c>
      <c r="FL70" s="207"/>
      <c r="FM70" s="192">
        <f t="shared" si="93"/>
        <v>5</v>
      </c>
      <c r="FN70" s="192" t="e">
        <f t="shared" ca="1" si="94"/>
        <v>#NAME?</v>
      </c>
      <c r="FO70" s="192" t="e">
        <f t="shared" ca="1" si="95"/>
        <v>#NAME?</v>
      </c>
      <c r="FP70" s="192" t="e">
        <f t="shared" ca="1" si="96"/>
        <v>#NAME?</v>
      </c>
      <c r="FQ70" s="209" t="e">
        <f t="shared" ca="1" si="97"/>
        <v>#NAME?</v>
      </c>
      <c r="FR70" s="208" t="e">
        <f t="shared" ca="1" si="98"/>
        <v>#NAME?</v>
      </c>
      <c r="FS70" s="36" t="str">
        <f t="shared" si="99"/>
        <v>Pre-Profit</v>
      </c>
      <c r="FT70" s="196">
        <f>COUNTIF($FS$2:$FS$92, FS70)/(COUNTIF($FS$2:$FS$92, "&lt;&gt;""") - COUNTIF($FZ$2:$FZ$92, ""))</f>
        <v>0.51111111111111107</v>
      </c>
      <c r="FU70" s="207"/>
      <c r="FV70" s="192" t="e">
        <f t="shared" ca="1" si="100"/>
        <v>#NAME?</v>
      </c>
      <c r="FW70" s="197" t="e">
        <f t="shared" ca="1" si="101"/>
        <v>#NAME?</v>
      </c>
      <c r="FX70" s="209" t="e">
        <f t="shared" ca="1" si="102"/>
        <v>#NAME?</v>
      </c>
      <c r="FY70" s="211" t="e">
        <f t="shared" ca="1" si="103"/>
        <v>#NAME?</v>
      </c>
      <c r="FZ70" s="36" t="str">
        <f t="shared" si="104"/>
        <v>No</v>
      </c>
      <c r="GA70" s="196">
        <f>COUNTIF($FZ$2:$FZ$92, FZ70)/(COUNTIF($FZ$2:$FZ$92, "&lt;&gt;""") - COUNTIF($FZ$2:$FZ$92, ""))</f>
        <v>0.76666666666666672</v>
      </c>
      <c r="GB70" s="196" t="str">
        <f t="shared" si="105"/>
        <v>Low</v>
      </c>
      <c r="GC70" s="196">
        <f>COUNTIF($GB$2:$GB$92, GB70)/(COUNTIF($GB$2:$GB$92, "&lt;&gt;""") - COUNTIF($GB$2:$GB$92, ""))</f>
        <v>0.55555555555555558</v>
      </c>
      <c r="GD70" s="196" t="str">
        <f t="shared" si="106"/>
        <v>High</v>
      </c>
      <c r="GE70" s="196">
        <f>COUNTIF($GD$2:$GD$92, GD70)/(COUNTIF($GD$2:$GD$92, "&lt;&gt;""") - COUNTIF($GD$2:$GD$92, ""))</f>
        <v>0.8</v>
      </c>
      <c r="GF70" s="207"/>
      <c r="GG70" s="36"/>
      <c r="GH70" s="209" t="e">
        <f t="shared" ca="1" si="107"/>
        <v>#NAME?</v>
      </c>
      <c r="GI70" s="212" t="e">
        <f t="shared" ca="1" si="108"/>
        <v>#NAME?</v>
      </c>
    </row>
    <row r="71" spans="1:191" ht="15.75" customHeight="1">
      <c r="A71" s="174"/>
      <c r="B71" s="174" t="s">
        <v>433</v>
      </c>
      <c r="C71" s="238">
        <v>1785479</v>
      </c>
      <c r="D71" s="244" t="s">
        <v>991</v>
      </c>
      <c r="E71" s="245">
        <v>43719.432638888888</v>
      </c>
      <c r="F71" s="243" t="s">
        <v>344</v>
      </c>
      <c r="G71" s="257" t="s">
        <v>992</v>
      </c>
      <c r="H71" s="257" t="s">
        <v>993</v>
      </c>
      <c r="I71" s="258">
        <v>43691</v>
      </c>
      <c r="J71" s="247" t="s">
        <v>994</v>
      </c>
      <c r="K71" s="247" t="s">
        <v>995</v>
      </c>
      <c r="M71" s="239" t="s">
        <v>996</v>
      </c>
      <c r="N71" s="239" t="s">
        <v>320</v>
      </c>
      <c r="O71" s="239" t="s">
        <v>30</v>
      </c>
      <c r="P71" s="239" t="s">
        <v>174</v>
      </c>
      <c r="Q71" s="239" t="s">
        <v>35</v>
      </c>
      <c r="R71" s="187"/>
      <c r="S71" s="239" t="s">
        <v>269</v>
      </c>
      <c r="T71" s="248"/>
      <c r="U71" s="249"/>
      <c r="V71" s="250"/>
      <c r="W71" s="69">
        <v>1000000</v>
      </c>
      <c r="X71" s="252">
        <v>0.1</v>
      </c>
      <c r="Y71" s="55">
        <f t="shared" si="158"/>
        <v>900000</v>
      </c>
      <c r="Z71" s="274">
        <f t="shared" si="159"/>
        <v>900000</v>
      </c>
      <c r="AA71" s="183" t="e">
        <f t="shared" ca="1" si="160"/>
        <v>#NAME?</v>
      </c>
      <c r="AB71" s="239" t="s">
        <v>178</v>
      </c>
      <c r="AC71" s="239" t="s">
        <v>218</v>
      </c>
      <c r="AD71" s="239" t="s">
        <v>180</v>
      </c>
      <c r="AE71" s="239" t="s">
        <v>227</v>
      </c>
      <c r="AF71" s="239" t="s">
        <v>39</v>
      </c>
      <c r="AG71" s="239" t="s">
        <v>181</v>
      </c>
      <c r="AH71" s="239" t="s">
        <v>190</v>
      </c>
      <c r="AI71" s="251"/>
      <c r="AJ71" s="279">
        <v>46000000000</v>
      </c>
      <c r="AK71" s="224" t="e">
        <f t="shared" ca="1" si="161"/>
        <v>#NAME?</v>
      </c>
      <c r="AL71" s="279">
        <v>3496000000</v>
      </c>
      <c r="AM71" s="224" t="e">
        <f t="shared" ca="1" si="162"/>
        <v>#NAME?</v>
      </c>
      <c r="AN71" s="279">
        <v>0.09</v>
      </c>
      <c r="AO71" s="185" t="e">
        <f t="shared" ca="1" si="63"/>
        <v>#NAME?</v>
      </c>
      <c r="AP71" s="185" t="s">
        <v>192</v>
      </c>
      <c r="AQ71" s="239" t="s">
        <v>181</v>
      </c>
      <c r="AR71" s="239" t="s">
        <v>181</v>
      </c>
      <c r="AS71" s="239" t="s">
        <v>42</v>
      </c>
      <c r="AT71" s="29" t="s">
        <v>39</v>
      </c>
      <c r="AU71" s="29" t="s">
        <v>39</v>
      </c>
      <c r="AV71" s="239" t="s">
        <v>227</v>
      </c>
      <c r="AW71" s="239" t="s">
        <v>190</v>
      </c>
      <c r="AX71" s="239" t="s">
        <v>227</v>
      </c>
      <c r="AY71" s="239" t="s">
        <v>227</v>
      </c>
      <c r="AZ71" s="251">
        <v>2175</v>
      </c>
      <c r="BA71" s="55" t="e">
        <f t="shared" ca="1" si="163"/>
        <v>#NAME?</v>
      </c>
      <c r="BB71" s="279">
        <v>431</v>
      </c>
      <c r="BC71" s="279">
        <v>0</v>
      </c>
      <c r="BD71" s="62" t="e">
        <f t="shared" ca="1" si="164"/>
        <v>#NAME?</v>
      </c>
      <c r="BE71" s="277">
        <f t="shared" si="165"/>
        <v>1</v>
      </c>
      <c r="BF71" s="62" t="e">
        <f t="shared" ca="1" si="166"/>
        <v>#NAME?</v>
      </c>
      <c r="BG71" s="239" t="s">
        <v>202</v>
      </c>
      <c r="BH71" s="187"/>
      <c r="BI71" s="239" t="s">
        <v>190</v>
      </c>
      <c r="BJ71" s="239">
        <v>0</v>
      </c>
      <c r="BK71" s="279">
        <v>1</v>
      </c>
      <c r="BL71" s="176" t="s">
        <v>190</v>
      </c>
      <c r="BM71" s="239" t="s">
        <v>190</v>
      </c>
      <c r="BN71" s="239" t="s">
        <v>190</v>
      </c>
      <c r="BO71" s="239" t="s">
        <v>190</v>
      </c>
      <c r="BP71" s="238">
        <v>3</v>
      </c>
      <c r="BQ71" s="238">
        <v>4</v>
      </c>
      <c r="BR71" s="238">
        <v>0</v>
      </c>
      <c r="BS71" s="238">
        <v>0</v>
      </c>
      <c r="BT71" s="204"/>
      <c r="BU71" s="256">
        <v>2</v>
      </c>
      <c r="BV71" s="256">
        <v>0</v>
      </c>
      <c r="BW71" s="256">
        <v>35</v>
      </c>
      <c r="BX71" s="243" t="s">
        <v>190</v>
      </c>
      <c r="BY71" s="204"/>
      <c r="BZ71" s="187"/>
      <c r="CA71" s="187"/>
      <c r="CB71" s="187"/>
      <c r="CC71" s="187"/>
      <c r="CD71" s="204"/>
      <c r="CE71" s="187"/>
      <c r="CF71" s="187"/>
      <c r="CG71" s="187"/>
      <c r="CH71" s="187"/>
      <c r="CI71" s="204"/>
      <c r="CJ71" s="187"/>
      <c r="CK71" s="187"/>
      <c r="CL71" s="187"/>
      <c r="CM71" s="187"/>
      <c r="CN71" s="205"/>
      <c r="CO71" s="89"/>
      <c r="CP71" s="89"/>
      <c r="CQ71" s="89"/>
      <c r="CR71" s="88"/>
      <c r="CS71" s="204"/>
      <c r="CT71" s="89"/>
      <c r="CU71" s="89"/>
      <c r="CV71" s="89"/>
      <c r="CW71" s="88"/>
      <c r="CX71" s="204"/>
      <c r="CY71" s="89"/>
      <c r="CZ71" s="89"/>
      <c r="DA71" s="89"/>
      <c r="DB71" s="88"/>
      <c r="DC71" s="204"/>
      <c r="DD71" s="89"/>
      <c r="DE71" s="89"/>
      <c r="DF71" s="89"/>
      <c r="DG71" s="88"/>
      <c r="DH71" s="204"/>
      <c r="DI71" s="89"/>
      <c r="DJ71" s="89"/>
      <c r="DK71" s="89"/>
      <c r="DL71" s="88"/>
      <c r="DM71" s="204"/>
      <c r="DN71" s="205"/>
      <c r="DO71" s="205"/>
      <c r="DQ71" s="206"/>
      <c r="DR71" s="188">
        <f t="shared" si="64"/>
        <v>2</v>
      </c>
      <c r="DS71" s="188"/>
      <c r="DT71" s="189">
        <f t="shared" si="65"/>
        <v>0</v>
      </c>
      <c r="DU71" s="189"/>
      <c r="DV71" s="188">
        <f t="shared" si="66"/>
        <v>35</v>
      </c>
      <c r="DW71" s="183" t="e">
        <f t="shared" ca="1" si="67"/>
        <v>#NAME?</v>
      </c>
      <c r="DX71" s="207"/>
      <c r="DY71" s="190" t="e">
        <f t="shared" ca="1" si="68"/>
        <v>#NAME?</v>
      </c>
      <c r="DZ71" s="191">
        <f t="shared" si="69"/>
        <v>2.0526315789473681</v>
      </c>
      <c r="EA71" s="191" t="str">
        <f t="shared" si="70"/>
        <v/>
      </c>
      <c r="EB71" s="191" t="str">
        <f t="shared" si="71"/>
        <v/>
      </c>
      <c r="EC71" s="208" t="e">
        <f t="shared" ca="1" si="72"/>
        <v>#NAME?</v>
      </c>
      <c r="ED71" s="36" t="str">
        <f t="shared" si="73"/>
        <v>SAFE</v>
      </c>
      <c r="EE71" s="193">
        <f>COUNTIF($ED$2:$ED$92, ED71)/(COUNTIF($ED$2:$ED$92, "&lt;&gt;""") - COUNTIF($ED$2:$ED$92, ""))</f>
        <v>0.37777777777777777</v>
      </c>
      <c r="EF71" s="36" t="str">
        <f t="shared" si="74"/>
        <v>Early</v>
      </c>
      <c r="EG71" s="207"/>
      <c r="EH71" s="194" t="e">
        <f t="shared" ca="1" si="75"/>
        <v>#NAME?</v>
      </c>
      <c r="EI71" s="194" t="e">
        <f t="shared" ca="1" si="76"/>
        <v>#NAME?</v>
      </c>
      <c r="EJ71" s="209" t="e">
        <f t="shared" ca="1" si="77"/>
        <v>#NAME?</v>
      </c>
      <c r="EK71" s="208" t="e">
        <f t="shared" ca="1" si="78"/>
        <v>#NAME?</v>
      </c>
      <c r="EL71" s="36" t="str">
        <f t="shared" si="79"/>
        <v>Yes</v>
      </c>
      <c r="EM71" s="207"/>
      <c r="EN71" s="192">
        <f t="shared" si="80"/>
        <v>1.1904761904761905</v>
      </c>
      <c r="EO71" s="192">
        <f t="shared" si="81"/>
        <v>1</v>
      </c>
      <c r="EP71" s="209">
        <f t="shared" si="82"/>
        <v>2.1904761904761907</v>
      </c>
      <c r="EQ71" s="210">
        <f t="shared" si="83"/>
        <v>1.1495327102803741</v>
      </c>
      <c r="ER71" s="36" t="e">
        <f t="shared" ca="1" si="84"/>
        <v>#NAME?</v>
      </c>
      <c r="ES71" s="40">
        <f ca="1">COUNTIF($ER$2:$ER$92, ER71)/(COUNTIF($ER$2:$ER$92, "&lt;&gt;""") - COUNTIF($ER$2:$ER$92, ""))</f>
        <v>1</v>
      </c>
      <c r="ET71" s="36">
        <f t="shared" si="85"/>
        <v>1</v>
      </c>
      <c r="EU71" s="40">
        <f>COUNTIF($ET$2:$ET$92, ET71)/(COUNTIF($ET$2:$ET$92, "&lt;&gt;""") - COUNTIF($ET$2:$ET$92, ""))</f>
        <v>0.45555555555555555</v>
      </c>
      <c r="EV71" s="36">
        <f t="shared" si="86"/>
        <v>4</v>
      </c>
      <c r="EW71" s="40">
        <f>COUNTIF($EV$2:$EV$92, EV71)/(COUNTIF($EV$2:$EV$92, "&lt;&gt;""") - COUNTIF($EV$2:$EV$92, ""))</f>
        <v>0.12222222222222222</v>
      </c>
      <c r="EX71" s="36" t="str">
        <f t="shared" si="87"/>
        <v>No</v>
      </c>
      <c r="EY71" s="40">
        <f>COUNTIF($EX$2:$EX$92, EX71)/(COUNTIF($EX$2:$EX$92, "&lt;&gt;""") - COUNTIF($EX$2:$EX$92, ""))</f>
        <v>0.72222222222222221</v>
      </c>
      <c r="EZ71" s="36" t="str">
        <f t="shared" ref="EZ71:FB71" si="184">BM71</f>
        <v>No</v>
      </c>
      <c r="FA71" s="36" t="str">
        <f t="shared" si="184"/>
        <v>No</v>
      </c>
      <c r="FB71" s="36" t="str">
        <f t="shared" si="184"/>
        <v>No</v>
      </c>
      <c r="FC71" s="207"/>
      <c r="FD71" s="36" t="str">
        <f t="shared" si="89"/>
        <v>Recurring</v>
      </c>
      <c r="FE71" s="40">
        <f>COUNTIF($FD$2:$FD$92, FD71)/(COUNTIF($FD$2:$FD$92, "&lt;&gt;""") - COUNTIF($FD$2:$FD$92, ""))</f>
        <v>0.4</v>
      </c>
      <c r="FF71" s="36" t="str">
        <f t="shared" si="90"/>
        <v>B2B/B2C</v>
      </c>
      <c r="FG71" s="40">
        <f>COUNTIF($FF$2:$FF$92, FF71)/(COUNTIF($FF$2:$FF$92, "&lt;&gt;""") - COUNTIF($FF$2:$FF$92, ""))</f>
        <v>0.27777777777777779</v>
      </c>
      <c r="FH71" s="36" t="str">
        <f t="shared" si="91"/>
        <v>High</v>
      </c>
      <c r="FI71" s="40">
        <f>COUNTIF($FH$2:$FH$92, FH71)/(COUNTIF($FH$2:$FH$92, "&lt;&gt;""") - COUNTIF($FH$2:$FH$92, ""))</f>
        <v>0.53333333333333333</v>
      </c>
      <c r="FJ71" s="36" t="str">
        <f t="shared" si="92"/>
        <v>Low</v>
      </c>
      <c r="FK71" s="40">
        <f>COUNTIF($FJ$2:$FJ$92, FJ71)/(COUNTIF($FJ$2:$FJ$92, "&lt;&gt;""") - COUNTIF($FJ$2:$FJ$92, ""))</f>
        <v>0.41111111111111109</v>
      </c>
      <c r="FL71" s="207"/>
      <c r="FM71" s="192">
        <f t="shared" si="93"/>
        <v>5</v>
      </c>
      <c r="FN71" s="192" t="e">
        <f t="shared" ca="1" si="94"/>
        <v>#NAME?</v>
      </c>
      <c r="FO71" s="192" t="e">
        <f t="shared" ca="1" si="95"/>
        <v>#NAME?</v>
      </c>
      <c r="FP71" s="192" t="e">
        <f t="shared" ca="1" si="96"/>
        <v>#NAME?</v>
      </c>
      <c r="FQ71" s="209" t="e">
        <f t="shared" ca="1" si="97"/>
        <v>#NAME?</v>
      </c>
      <c r="FR71" s="208" t="e">
        <f t="shared" ca="1" si="98"/>
        <v>#NAME?</v>
      </c>
      <c r="FS71" s="36" t="str">
        <f t="shared" si="99"/>
        <v>Pre-Profit</v>
      </c>
      <c r="FT71" s="196">
        <f>COUNTIF($FS$2:$FS$92, FS71)/(COUNTIF($FS$2:$FS$92, "&lt;&gt;""") - COUNTIF($FZ$2:$FZ$92, ""))</f>
        <v>0.51111111111111107</v>
      </c>
      <c r="FU71" s="207"/>
      <c r="FV71" s="192" t="e">
        <f t="shared" ca="1" si="100"/>
        <v>#NAME?</v>
      </c>
      <c r="FW71" s="197" t="e">
        <f t="shared" ca="1" si="101"/>
        <v>#NAME?</v>
      </c>
      <c r="FX71" s="209" t="e">
        <f t="shared" ca="1" si="102"/>
        <v>#NAME?</v>
      </c>
      <c r="FY71" s="211" t="e">
        <f t="shared" ca="1" si="103"/>
        <v>#NAME?</v>
      </c>
      <c r="FZ71" s="36" t="str">
        <f t="shared" si="104"/>
        <v>No</v>
      </c>
      <c r="GA71" s="196">
        <f>COUNTIF($FZ$2:$FZ$92, FZ71)/(COUNTIF($FZ$2:$FZ$92, "&lt;&gt;""") - COUNTIF($FZ$2:$FZ$92, ""))</f>
        <v>0.76666666666666672</v>
      </c>
      <c r="GB71" s="196" t="str">
        <f t="shared" si="105"/>
        <v>High</v>
      </c>
      <c r="GC71" s="196">
        <f>COUNTIF($GB$2:$GB$92, GB71)/(COUNTIF($GB$2:$GB$92, "&lt;&gt;""") - COUNTIF($GB$2:$GB$92, ""))</f>
        <v>0.43333333333333335</v>
      </c>
      <c r="GD71" s="196" t="str">
        <f t="shared" si="106"/>
        <v>High</v>
      </c>
      <c r="GE71" s="196">
        <f>COUNTIF($GD$2:$GD$92, GD71)/(COUNTIF($GD$2:$GD$92, "&lt;&gt;""") - COUNTIF($GD$2:$GD$92, ""))</f>
        <v>0.8</v>
      </c>
      <c r="GF71" s="207"/>
      <c r="GG71" s="36"/>
      <c r="GH71" s="209" t="e">
        <f t="shared" ca="1" si="107"/>
        <v>#NAME?</v>
      </c>
      <c r="GI71" s="212" t="e">
        <f t="shared" ca="1" si="108"/>
        <v>#NAME?</v>
      </c>
    </row>
    <row r="72" spans="1:191" ht="15.75" customHeight="1">
      <c r="A72" s="174"/>
      <c r="B72" s="174" t="s">
        <v>433</v>
      </c>
      <c r="C72" s="238">
        <v>1787347</v>
      </c>
      <c r="D72" s="244" t="s">
        <v>997</v>
      </c>
      <c r="E72" s="245">
        <v>43721.418055555558</v>
      </c>
      <c r="F72" s="239" t="s">
        <v>344</v>
      </c>
      <c r="G72" s="32" t="s">
        <v>998</v>
      </c>
      <c r="H72" s="32" t="s">
        <v>999</v>
      </c>
      <c r="I72" s="246">
        <v>43713</v>
      </c>
      <c r="J72" s="247" t="s">
        <v>1000</v>
      </c>
      <c r="K72" s="247" t="s">
        <v>997</v>
      </c>
      <c r="M72" s="239" t="s">
        <v>996</v>
      </c>
      <c r="N72" s="239" t="s">
        <v>315</v>
      </c>
      <c r="O72" s="239" t="s">
        <v>30</v>
      </c>
      <c r="P72" s="239" t="s">
        <v>174</v>
      </c>
      <c r="Q72" s="239" t="s">
        <v>35</v>
      </c>
      <c r="R72" s="187"/>
      <c r="S72" s="239" t="s">
        <v>269</v>
      </c>
      <c r="T72" s="248"/>
      <c r="U72" s="249"/>
      <c r="W72" s="251">
        <v>2000000</v>
      </c>
      <c r="X72" s="252">
        <v>0</v>
      </c>
      <c r="Y72" s="55">
        <f t="shared" si="158"/>
        <v>2000000</v>
      </c>
      <c r="Z72" s="274">
        <f t="shared" si="159"/>
        <v>2000000</v>
      </c>
      <c r="AA72" s="183" t="e">
        <f t="shared" ca="1" si="160"/>
        <v>#NAME?</v>
      </c>
      <c r="AB72" s="239" t="s">
        <v>178</v>
      </c>
      <c r="AC72" s="239" t="s">
        <v>218</v>
      </c>
      <c r="AD72" s="239" t="s">
        <v>180</v>
      </c>
      <c r="AE72" s="239" t="s">
        <v>227</v>
      </c>
      <c r="AF72" s="239" t="s">
        <v>39</v>
      </c>
      <c r="AG72" s="239" t="s">
        <v>181</v>
      </c>
      <c r="AH72" s="239" t="s">
        <v>190</v>
      </c>
      <c r="AI72" s="251"/>
      <c r="AJ72" s="279">
        <v>4000000000</v>
      </c>
      <c r="AK72" s="224" t="e">
        <f t="shared" ca="1" si="161"/>
        <v>#NAME?</v>
      </c>
      <c r="AL72" s="279">
        <v>4000000000</v>
      </c>
      <c r="AM72" s="224" t="e">
        <f t="shared" ca="1" si="162"/>
        <v>#NAME?</v>
      </c>
      <c r="AN72" s="279">
        <v>0.17499999999999999</v>
      </c>
      <c r="AO72" s="185" t="e">
        <f t="shared" ca="1" si="63"/>
        <v>#NAME?</v>
      </c>
      <c r="AP72" s="185" t="s">
        <v>169</v>
      </c>
      <c r="AQ72" s="239" t="s">
        <v>39</v>
      </c>
      <c r="AR72" s="239" t="s">
        <v>39</v>
      </c>
      <c r="AS72" s="239" t="s">
        <v>182</v>
      </c>
      <c r="AT72" s="29" t="s">
        <v>181</v>
      </c>
      <c r="AU72" s="29" t="s">
        <v>39</v>
      </c>
      <c r="AV72" s="239" t="s">
        <v>190</v>
      </c>
      <c r="AW72" s="239" t="s">
        <v>190</v>
      </c>
      <c r="AX72" s="239" t="s">
        <v>227</v>
      </c>
      <c r="AY72" s="239" t="s">
        <v>227</v>
      </c>
      <c r="AZ72" s="251">
        <v>0</v>
      </c>
      <c r="BA72" s="55" t="e">
        <f t="shared" ca="1" si="163"/>
        <v>#NAME?</v>
      </c>
      <c r="BB72" s="279">
        <v>192</v>
      </c>
      <c r="BC72" s="280">
        <v>5100</v>
      </c>
      <c r="BD72" s="62" t="e">
        <f t="shared" ca="1" si="164"/>
        <v>#NAME?</v>
      </c>
      <c r="BE72" s="277">
        <f t="shared" si="165"/>
        <v>3.7647058823529408E-2</v>
      </c>
      <c r="BF72" s="62" t="e">
        <f t="shared" ca="1" si="166"/>
        <v>#NAME?</v>
      </c>
      <c r="BG72" s="239" t="s">
        <v>202</v>
      </c>
      <c r="BH72" s="187"/>
      <c r="BI72" s="239" t="s">
        <v>190</v>
      </c>
      <c r="BJ72" s="239">
        <v>0</v>
      </c>
      <c r="BK72" s="279">
        <v>4</v>
      </c>
      <c r="BL72" s="239" t="s">
        <v>227</v>
      </c>
      <c r="BM72" s="239" t="s">
        <v>190</v>
      </c>
      <c r="BN72" s="239" t="s">
        <v>227</v>
      </c>
      <c r="BO72" s="239" t="s">
        <v>190</v>
      </c>
      <c r="BP72" s="238">
        <v>6</v>
      </c>
      <c r="BQ72" s="238">
        <v>4</v>
      </c>
      <c r="BR72" s="238">
        <v>0</v>
      </c>
      <c r="BS72" s="238">
        <v>0</v>
      </c>
      <c r="BT72" s="204"/>
      <c r="BU72" s="256">
        <v>7</v>
      </c>
      <c r="BV72" s="256">
        <v>0</v>
      </c>
      <c r="BW72" s="256">
        <v>38</v>
      </c>
      <c r="BX72" s="243" t="s">
        <v>190</v>
      </c>
      <c r="BY72" s="204"/>
      <c r="BZ72" s="239">
        <v>7</v>
      </c>
      <c r="CA72" s="239">
        <v>0</v>
      </c>
      <c r="CB72" s="239">
        <v>48</v>
      </c>
      <c r="CC72" s="239" t="s">
        <v>227</v>
      </c>
      <c r="CD72" s="204"/>
      <c r="CE72" s="239">
        <v>7</v>
      </c>
      <c r="CF72" s="239">
        <v>0</v>
      </c>
      <c r="CG72" s="239">
        <v>27</v>
      </c>
      <c r="CH72" s="239" t="s">
        <v>190</v>
      </c>
      <c r="CI72" s="204"/>
      <c r="CJ72" s="239">
        <v>7</v>
      </c>
      <c r="CK72" s="239">
        <v>0</v>
      </c>
      <c r="CL72" s="239">
        <v>35</v>
      </c>
      <c r="CM72" s="239" t="s">
        <v>190</v>
      </c>
      <c r="CN72" s="205"/>
      <c r="CO72" s="187"/>
      <c r="CP72" s="187"/>
      <c r="CQ72" s="187"/>
      <c r="CR72" s="187"/>
      <c r="CS72" s="204"/>
      <c r="CT72" s="187"/>
      <c r="CU72" s="187"/>
      <c r="CV72" s="187"/>
      <c r="CW72" s="187"/>
      <c r="CX72" s="204"/>
      <c r="CY72" s="187"/>
      <c r="CZ72" s="187"/>
      <c r="DA72" s="187"/>
      <c r="DB72" s="187"/>
      <c r="DC72" s="204"/>
      <c r="DD72" s="187"/>
      <c r="DE72" s="187"/>
      <c r="DF72" s="187"/>
      <c r="DG72" s="187"/>
      <c r="DH72" s="204"/>
      <c r="DI72" s="187"/>
      <c r="DJ72" s="187"/>
      <c r="DK72" s="187"/>
      <c r="DL72" s="187"/>
      <c r="DM72" s="204"/>
      <c r="DN72" s="205"/>
      <c r="DO72" s="205"/>
      <c r="DQ72" s="206"/>
      <c r="DR72" s="188">
        <f t="shared" si="64"/>
        <v>7</v>
      </c>
      <c r="DS72" s="188"/>
      <c r="DT72" s="189">
        <f t="shared" si="65"/>
        <v>0</v>
      </c>
      <c r="DU72" s="189"/>
      <c r="DV72" s="188">
        <f t="shared" si="66"/>
        <v>37</v>
      </c>
      <c r="DW72" s="183" t="e">
        <f t="shared" ca="1" si="67"/>
        <v>#NAME?</v>
      </c>
      <c r="DX72" s="207"/>
      <c r="DY72" s="190" t="e">
        <f t="shared" ca="1" si="68"/>
        <v>#NAME?</v>
      </c>
      <c r="DZ72" s="191">
        <f t="shared" si="69"/>
        <v>1</v>
      </c>
      <c r="EA72" s="191" t="str">
        <f t="shared" si="70"/>
        <v/>
      </c>
      <c r="EB72" s="191" t="str">
        <f t="shared" si="71"/>
        <v/>
      </c>
      <c r="EC72" s="208" t="e">
        <f t="shared" ca="1" si="72"/>
        <v>#NAME?</v>
      </c>
      <c r="ED72" s="36" t="str">
        <f t="shared" si="73"/>
        <v>SAFE</v>
      </c>
      <c r="EE72" s="193">
        <f>COUNTIF($ED$2:$ED$92, ED72)/(COUNTIF($ED$2:$ED$92, "&lt;&gt;""") - COUNTIF($ED$2:$ED$92, ""))</f>
        <v>0.37777777777777777</v>
      </c>
      <c r="EF72" s="36" t="str">
        <f t="shared" si="74"/>
        <v>Early</v>
      </c>
      <c r="EG72" s="207"/>
      <c r="EH72" s="194" t="e">
        <f t="shared" ca="1" si="75"/>
        <v>#NAME?</v>
      </c>
      <c r="EI72" s="194" t="e">
        <f t="shared" ca="1" si="76"/>
        <v>#NAME?</v>
      </c>
      <c r="EJ72" s="209" t="e">
        <f t="shared" ca="1" si="77"/>
        <v>#NAME?</v>
      </c>
      <c r="EK72" s="208" t="e">
        <f t="shared" ca="1" si="78"/>
        <v>#NAME?</v>
      </c>
      <c r="EL72" s="36" t="str">
        <f t="shared" si="79"/>
        <v>No</v>
      </c>
      <c r="EM72" s="207"/>
      <c r="EN72" s="192">
        <f t="shared" si="80"/>
        <v>1.6666666666666665</v>
      </c>
      <c r="EO72" s="192">
        <f t="shared" si="81"/>
        <v>1</v>
      </c>
      <c r="EP72" s="209">
        <f t="shared" si="82"/>
        <v>2.6666666666666665</v>
      </c>
      <c r="EQ72" s="210">
        <f t="shared" si="83"/>
        <v>1.5233644859813085</v>
      </c>
      <c r="ER72" s="36" t="e">
        <f t="shared" ca="1" si="84"/>
        <v>#NAME?</v>
      </c>
      <c r="ES72" s="40">
        <f ca="1">COUNTIF($ER$2:$ER$92, ER72)/(COUNTIF($ER$2:$ER$92, "&lt;&gt;""") - COUNTIF($ER$2:$ER$92, ""))</f>
        <v>1</v>
      </c>
      <c r="ET72" s="36">
        <f t="shared" si="85"/>
        <v>4</v>
      </c>
      <c r="EU72" s="40">
        <f>COUNTIF($ET$2:$ET$92, ET72)/(COUNTIF($ET$2:$ET$92, "&lt;&gt;""") - COUNTIF($ET$2:$ET$92, ""))</f>
        <v>4.4444444444444446E-2</v>
      </c>
      <c r="EV72" s="36">
        <f t="shared" si="86"/>
        <v>4</v>
      </c>
      <c r="EW72" s="40">
        <f>COUNTIF($EV$2:$EV$92, EV72)/(COUNTIF($EV$2:$EV$92, "&lt;&gt;""") - COUNTIF($EV$2:$EV$92, ""))</f>
        <v>0.12222222222222222</v>
      </c>
      <c r="EX72" s="36" t="str">
        <f t="shared" si="87"/>
        <v>Yes</v>
      </c>
      <c r="EY72" s="40">
        <f>COUNTIF($EX$2:$EX$92, EX72)/(COUNTIF($EX$2:$EX$92, "&lt;&gt;""") - COUNTIF($EX$2:$EX$92, ""))</f>
        <v>0.27777777777777779</v>
      </c>
      <c r="EZ72" s="36" t="str">
        <f t="shared" ref="EZ72:FB72" si="185">BM72</f>
        <v>No</v>
      </c>
      <c r="FA72" s="36" t="str">
        <f t="shared" si="185"/>
        <v>Yes</v>
      </c>
      <c r="FB72" s="36" t="str">
        <f t="shared" si="185"/>
        <v>No</v>
      </c>
      <c r="FC72" s="207"/>
      <c r="FD72" s="36" t="str">
        <f t="shared" si="89"/>
        <v>Recurring</v>
      </c>
      <c r="FE72" s="40">
        <f>COUNTIF($FD$2:$FD$92, FD72)/(COUNTIF($FD$2:$FD$92, "&lt;&gt;""") - COUNTIF($FD$2:$FD$92, ""))</f>
        <v>0.4</v>
      </c>
      <c r="FF72" s="36" t="str">
        <f t="shared" si="90"/>
        <v>B2B/B2C</v>
      </c>
      <c r="FG72" s="40">
        <f>COUNTIF($FF$2:$FF$92, FF72)/(COUNTIF($FF$2:$FF$92, "&lt;&gt;""") - COUNTIF($FF$2:$FF$92, ""))</f>
        <v>0.27777777777777779</v>
      </c>
      <c r="FH72" s="36" t="str">
        <f t="shared" si="91"/>
        <v>High</v>
      </c>
      <c r="FI72" s="40">
        <f>COUNTIF($FH$2:$FH$92, FH72)/(COUNTIF($FH$2:$FH$92, "&lt;&gt;""") - COUNTIF($FH$2:$FH$92, ""))</f>
        <v>0.53333333333333333</v>
      </c>
      <c r="FJ72" s="36" t="str">
        <f t="shared" si="92"/>
        <v>Low</v>
      </c>
      <c r="FK72" s="40">
        <f>COUNTIF($FJ$2:$FJ$92, FJ72)/(COUNTIF($FJ$2:$FJ$92, "&lt;&gt;""") - COUNTIF($FJ$2:$FJ$92, ""))</f>
        <v>0.41111111111111109</v>
      </c>
      <c r="FL72" s="207"/>
      <c r="FM72" s="192">
        <f t="shared" si="93"/>
        <v>5</v>
      </c>
      <c r="FN72" s="192" t="e">
        <f t="shared" ca="1" si="94"/>
        <v>#NAME?</v>
      </c>
      <c r="FO72" s="192" t="e">
        <f t="shared" ca="1" si="95"/>
        <v>#NAME?</v>
      </c>
      <c r="FP72" s="192" t="e">
        <f t="shared" ca="1" si="96"/>
        <v>#NAME?</v>
      </c>
      <c r="FQ72" s="209" t="e">
        <f t="shared" ca="1" si="97"/>
        <v>#NAME?</v>
      </c>
      <c r="FR72" s="208" t="e">
        <f t="shared" ca="1" si="98"/>
        <v>#NAME?</v>
      </c>
      <c r="FS72" s="36" t="str">
        <f t="shared" si="99"/>
        <v>Pre-Profit</v>
      </c>
      <c r="FT72" s="196">
        <f>COUNTIF($FS$2:$FS$92, FS72)/(COUNTIF($FS$2:$FS$92, "&lt;&gt;""") - COUNTIF($FZ$2:$FZ$92, ""))</f>
        <v>0.51111111111111107</v>
      </c>
      <c r="FU72" s="207"/>
      <c r="FV72" s="192" t="e">
        <f t="shared" ca="1" si="100"/>
        <v>#NAME?</v>
      </c>
      <c r="FW72" s="197" t="e">
        <f t="shared" ca="1" si="101"/>
        <v>#NAME?</v>
      </c>
      <c r="FX72" s="209" t="e">
        <f t="shared" ca="1" si="102"/>
        <v>#NAME?</v>
      </c>
      <c r="FY72" s="211" t="e">
        <f t="shared" ca="1" si="103"/>
        <v>#NAME?</v>
      </c>
      <c r="FZ72" s="36" t="str">
        <f t="shared" si="104"/>
        <v>No</v>
      </c>
      <c r="GA72" s="196">
        <f>COUNTIF($FZ$2:$FZ$92, FZ72)/(COUNTIF($FZ$2:$FZ$92, "&lt;&gt;""") - COUNTIF($FZ$2:$FZ$92, ""))</f>
        <v>0.76666666666666672</v>
      </c>
      <c r="GB72" s="196" t="str">
        <f t="shared" si="105"/>
        <v>Low</v>
      </c>
      <c r="GC72" s="196">
        <f>COUNTIF($GB$2:$GB$92, GB72)/(COUNTIF($GB$2:$GB$92, "&lt;&gt;""") - COUNTIF($GB$2:$GB$92, ""))</f>
        <v>0.55555555555555558</v>
      </c>
      <c r="GD72" s="196" t="str">
        <f t="shared" si="106"/>
        <v>High</v>
      </c>
      <c r="GE72" s="196">
        <f>COUNTIF($GD$2:$GD$92, GD72)/(COUNTIF($GD$2:$GD$92, "&lt;&gt;""") - COUNTIF($GD$2:$GD$92, ""))</f>
        <v>0.8</v>
      </c>
      <c r="GF72" s="207"/>
      <c r="GG72" s="36"/>
      <c r="GH72" s="209" t="e">
        <f t="shared" ca="1" si="107"/>
        <v>#NAME?</v>
      </c>
      <c r="GI72" s="212" t="e">
        <f t="shared" ca="1" si="108"/>
        <v>#NAME?</v>
      </c>
    </row>
    <row r="73" spans="1:191" ht="15.75" customHeight="1">
      <c r="A73" s="174"/>
      <c r="B73" s="174" t="s">
        <v>433</v>
      </c>
      <c r="C73" s="238">
        <v>1761058</v>
      </c>
      <c r="D73" s="244" t="s">
        <v>1001</v>
      </c>
      <c r="E73" s="254">
        <v>43794.559027777781</v>
      </c>
      <c r="F73" s="239" t="s">
        <v>325</v>
      </c>
      <c r="G73" s="32" t="s">
        <v>1002</v>
      </c>
      <c r="H73" s="32" t="s">
        <v>1003</v>
      </c>
      <c r="I73" s="246">
        <v>43794</v>
      </c>
      <c r="J73" s="247" t="s">
        <v>1004</v>
      </c>
      <c r="K73" s="247" t="s">
        <v>1005</v>
      </c>
      <c r="M73" s="239" t="s">
        <v>996</v>
      </c>
      <c r="N73" s="239" t="s">
        <v>320</v>
      </c>
      <c r="O73" s="239" t="s">
        <v>30</v>
      </c>
      <c r="P73" s="239" t="s">
        <v>174</v>
      </c>
      <c r="Q73" s="239" t="s">
        <v>35</v>
      </c>
      <c r="R73" s="187"/>
      <c r="S73" s="239" t="s">
        <v>34</v>
      </c>
      <c r="T73" s="248"/>
      <c r="U73" s="249"/>
      <c r="V73" s="250"/>
      <c r="W73" s="251">
        <v>5000000</v>
      </c>
      <c r="X73" s="252">
        <v>0</v>
      </c>
      <c r="Y73" s="55">
        <f t="shared" si="158"/>
        <v>5000000</v>
      </c>
      <c r="Z73" s="274">
        <f t="shared" si="159"/>
        <v>5000000</v>
      </c>
      <c r="AA73" s="183" t="e">
        <f t="shared" ca="1" si="160"/>
        <v>#NAME?</v>
      </c>
      <c r="AB73" s="239" t="s">
        <v>178</v>
      </c>
      <c r="AC73" s="239" t="s">
        <v>179</v>
      </c>
      <c r="AD73" s="239" t="s">
        <v>180</v>
      </c>
      <c r="AE73" s="239" t="s">
        <v>227</v>
      </c>
      <c r="AF73" s="239" t="s">
        <v>39</v>
      </c>
      <c r="AG73" s="239" t="s">
        <v>181</v>
      </c>
      <c r="AH73" s="239" t="s">
        <v>190</v>
      </c>
      <c r="AI73" s="251"/>
      <c r="AJ73" s="279">
        <v>42600000000</v>
      </c>
      <c r="AK73" s="224" t="e">
        <f t="shared" ca="1" si="161"/>
        <v>#NAME?</v>
      </c>
      <c r="AL73" s="279">
        <v>42600000000</v>
      </c>
      <c r="AM73" s="224" t="e">
        <f t="shared" ca="1" si="162"/>
        <v>#NAME?</v>
      </c>
      <c r="AN73" s="279">
        <v>0.20399999999999999</v>
      </c>
      <c r="AO73" s="185" t="e">
        <f t="shared" ca="1" si="63"/>
        <v>#NAME?</v>
      </c>
      <c r="AP73" s="185" t="s">
        <v>192</v>
      </c>
      <c r="AQ73" s="239" t="s">
        <v>181</v>
      </c>
      <c r="AR73" s="239" t="s">
        <v>181</v>
      </c>
      <c r="AS73" s="239" t="s">
        <v>42</v>
      </c>
      <c r="AT73" s="29" t="s">
        <v>181</v>
      </c>
      <c r="AU73" s="29" t="s">
        <v>39</v>
      </c>
      <c r="AV73" s="239" t="s">
        <v>190</v>
      </c>
      <c r="AW73" s="239" t="s">
        <v>227</v>
      </c>
      <c r="AX73" s="239" t="s">
        <v>190</v>
      </c>
      <c r="AY73" s="239" t="s">
        <v>190</v>
      </c>
      <c r="AZ73" s="251">
        <v>0</v>
      </c>
      <c r="BA73" s="55" t="e">
        <f t="shared" ca="1" si="163"/>
        <v>#NAME?</v>
      </c>
      <c r="BB73" s="279">
        <v>4039</v>
      </c>
      <c r="BC73" s="279">
        <v>0</v>
      </c>
      <c r="BD73" s="62" t="e">
        <f t="shared" ca="1" si="164"/>
        <v>#NAME?</v>
      </c>
      <c r="BE73" s="277">
        <f t="shared" si="165"/>
        <v>1</v>
      </c>
      <c r="BF73" s="62" t="e">
        <f t="shared" ca="1" si="166"/>
        <v>#NAME?</v>
      </c>
      <c r="BG73" s="239" t="s">
        <v>43</v>
      </c>
      <c r="BH73" s="187"/>
      <c r="BI73" s="239" t="s">
        <v>190</v>
      </c>
      <c r="BJ73" s="238">
        <v>0</v>
      </c>
      <c r="BK73" s="279">
        <v>1</v>
      </c>
      <c r="BL73" s="176" t="s">
        <v>190</v>
      </c>
      <c r="BM73" s="239" t="s">
        <v>190</v>
      </c>
      <c r="BN73" s="239" t="s">
        <v>190</v>
      </c>
      <c r="BO73" s="239" t="s">
        <v>190</v>
      </c>
      <c r="BP73" s="238">
        <v>0</v>
      </c>
      <c r="BQ73" s="238">
        <v>4</v>
      </c>
      <c r="BR73" s="238">
        <v>0</v>
      </c>
      <c r="BS73" s="238">
        <v>0</v>
      </c>
      <c r="BT73" s="204"/>
      <c r="BU73" s="256">
        <v>0</v>
      </c>
      <c r="BV73" s="256">
        <v>0</v>
      </c>
      <c r="BW73" s="256">
        <v>45</v>
      </c>
      <c r="BX73" s="243" t="s">
        <v>190</v>
      </c>
      <c r="BY73" s="204"/>
      <c r="BZ73" s="256"/>
      <c r="CA73" s="256"/>
      <c r="CB73" s="187"/>
      <c r="CC73" s="187"/>
      <c r="CD73" s="204"/>
      <c r="CE73" s="187"/>
      <c r="CF73" s="187"/>
      <c r="CG73" s="187"/>
      <c r="CH73" s="187"/>
      <c r="CI73" s="204"/>
      <c r="CJ73" s="187"/>
      <c r="CK73" s="187"/>
      <c r="CL73" s="187"/>
      <c r="CM73" s="187"/>
      <c r="CN73" s="205"/>
      <c r="CO73" s="187"/>
      <c r="CP73" s="187"/>
      <c r="CQ73" s="187"/>
      <c r="CR73" s="187"/>
      <c r="CS73" s="204"/>
      <c r="CT73" s="187"/>
      <c r="CU73" s="187"/>
      <c r="CV73" s="187"/>
      <c r="CW73" s="187"/>
      <c r="CX73" s="204"/>
      <c r="CY73" s="187"/>
      <c r="CZ73" s="187"/>
      <c r="DA73" s="187"/>
      <c r="DB73" s="187"/>
      <c r="DC73" s="204"/>
      <c r="DD73" s="187"/>
      <c r="DE73" s="187"/>
      <c r="DF73" s="187"/>
      <c r="DG73" s="187"/>
      <c r="DH73" s="204"/>
      <c r="DI73" s="187"/>
      <c r="DJ73" s="187"/>
      <c r="DK73" s="187"/>
      <c r="DL73" s="187"/>
      <c r="DM73" s="204"/>
      <c r="DN73" s="205"/>
      <c r="DO73" s="205"/>
      <c r="DQ73" s="206"/>
      <c r="DR73" s="188">
        <f t="shared" si="64"/>
        <v>0</v>
      </c>
      <c r="DS73" s="188"/>
      <c r="DT73" s="189">
        <f t="shared" si="65"/>
        <v>0</v>
      </c>
      <c r="DU73" s="189"/>
      <c r="DV73" s="188">
        <f t="shared" si="66"/>
        <v>45</v>
      </c>
      <c r="DW73" s="183" t="e">
        <f t="shared" ca="1" si="67"/>
        <v>#NAME?</v>
      </c>
      <c r="DX73" s="207"/>
      <c r="DY73" s="190" t="e">
        <f t="shared" ca="1" si="68"/>
        <v>#NAME?</v>
      </c>
      <c r="DZ73" s="191">
        <f t="shared" si="69"/>
        <v>1</v>
      </c>
      <c r="EA73" s="191" t="str">
        <f t="shared" si="70"/>
        <v/>
      </c>
      <c r="EB73" s="191" t="str">
        <f t="shared" si="71"/>
        <v/>
      </c>
      <c r="EC73" s="208" t="e">
        <f t="shared" ca="1" si="72"/>
        <v>#NAME?</v>
      </c>
      <c r="ED73" s="36" t="str">
        <f t="shared" si="73"/>
        <v>CAFES</v>
      </c>
      <c r="EE73" s="193">
        <f>COUNTIF($ED$2:$ED$92, ED73)/(COUNTIF($ED$2:$ED$92, "&lt;&gt;""") - COUNTIF($ED$2:$ED$92, ""))</f>
        <v>0.1</v>
      </c>
      <c r="EF73" s="36" t="str">
        <f t="shared" si="74"/>
        <v>Early</v>
      </c>
      <c r="EG73" s="207"/>
      <c r="EH73" s="194" t="e">
        <f t="shared" ca="1" si="75"/>
        <v>#NAME?</v>
      </c>
      <c r="EI73" s="194" t="e">
        <f t="shared" ca="1" si="76"/>
        <v>#NAME?</v>
      </c>
      <c r="EJ73" s="209" t="e">
        <f t="shared" ca="1" si="77"/>
        <v>#NAME?</v>
      </c>
      <c r="EK73" s="208" t="e">
        <f t="shared" ca="1" si="78"/>
        <v>#NAME?</v>
      </c>
      <c r="EL73" s="36" t="str">
        <f t="shared" si="79"/>
        <v>No</v>
      </c>
      <c r="EM73" s="207"/>
      <c r="EN73" s="192">
        <f t="shared" si="80"/>
        <v>1</v>
      </c>
      <c r="EO73" s="192">
        <f t="shared" si="81"/>
        <v>1</v>
      </c>
      <c r="EP73" s="209">
        <f t="shared" si="82"/>
        <v>2</v>
      </c>
      <c r="EQ73" s="210">
        <f t="shared" si="83"/>
        <v>1</v>
      </c>
      <c r="ER73" s="36" t="e">
        <f t="shared" ca="1" si="84"/>
        <v>#NAME?</v>
      </c>
      <c r="ES73" s="40">
        <f ca="1">COUNTIF($ER$2:$ER$92, ER73)/(COUNTIF($ER$2:$ER$92, "&lt;&gt;""") - COUNTIF($ER$2:$ER$92, ""))</f>
        <v>1</v>
      </c>
      <c r="ET73" s="36">
        <f t="shared" si="85"/>
        <v>1</v>
      </c>
      <c r="EU73" s="40">
        <f>COUNTIF($ET$2:$ET$92, ET73)/(COUNTIF($ET$2:$ET$92, "&lt;&gt;""") - COUNTIF($ET$2:$ET$92, ""))</f>
        <v>0.45555555555555555</v>
      </c>
      <c r="EV73" s="36">
        <f t="shared" si="86"/>
        <v>4</v>
      </c>
      <c r="EW73" s="40">
        <f>COUNTIF($EV$2:$EV$92, EV73)/(COUNTIF($EV$2:$EV$92, "&lt;&gt;""") - COUNTIF($EV$2:$EV$92, ""))</f>
        <v>0.12222222222222222</v>
      </c>
      <c r="EX73" s="36" t="str">
        <f t="shared" si="87"/>
        <v>No</v>
      </c>
      <c r="EY73" s="40">
        <f>COUNTIF($EX$2:$EX$92, EX73)/(COUNTIF($EX$2:$EX$92, "&lt;&gt;""") - COUNTIF($EX$2:$EX$92, ""))</f>
        <v>0.72222222222222221</v>
      </c>
      <c r="EZ73" s="36" t="str">
        <f t="shared" ref="EZ73:FB73" si="186">BM73</f>
        <v>No</v>
      </c>
      <c r="FA73" s="36" t="str">
        <f t="shared" si="186"/>
        <v>No</v>
      </c>
      <c r="FB73" s="36" t="str">
        <f t="shared" si="186"/>
        <v>No</v>
      </c>
      <c r="FC73" s="207"/>
      <c r="FD73" s="36" t="str">
        <f t="shared" si="89"/>
        <v>Recurring</v>
      </c>
      <c r="FE73" s="40">
        <f>COUNTIF($FD$2:$FD$92, FD73)/(COUNTIF($FD$2:$FD$92, "&lt;&gt;""") - COUNTIF($FD$2:$FD$92, ""))</f>
        <v>0.4</v>
      </c>
      <c r="FF73" s="36" t="str">
        <f t="shared" si="90"/>
        <v>B2C</v>
      </c>
      <c r="FG73" s="40">
        <f>COUNTIF($FF$2:$FF$92, FF73)/(COUNTIF($FF$2:$FF$92, "&lt;&gt;""") - COUNTIF($FF$2:$FF$92, ""))</f>
        <v>0.41111111111111109</v>
      </c>
      <c r="FH73" s="36" t="str">
        <f t="shared" si="91"/>
        <v>High</v>
      </c>
      <c r="FI73" s="40">
        <f>COUNTIF($FH$2:$FH$92, FH73)/(COUNTIF($FH$2:$FH$92, "&lt;&gt;""") - COUNTIF($FH$2:$FH$92, ""))</f>
        <v>0.53333333333333333</v>
      </c>
      <c r="FJ73" s="36" t="str">
        <f t="shared" si="92"/>
        <v>Low</v>
      </c>
      <c r="FK73" s="40">
        <f>COUNTIF($FJ$2:$FJ$92, FJ73)/(COUNTIF($FJ$2:$FJ$92, "&lt;&gt;""") - COUNTIF($FJ$2:$FJ$92, ""))</f>
        <v>0.41111111111111109</v>
      </c>
      <c r="FL73" s="207"/>
      <c r="FM73" s="192">
        <f t="shared" si="93"/>
        <v>1</v>
      </c>
      <c r="FN73" s="192" t="e">
        <f t="shared" ca="1" si="94"/>
        <v>#NAME?</v>
      </c>
      <c r="FO73" s="192" t="e">
        <f t="shared" ca="1" si="95"/>
        <v>#NAME?</v>
      </c>
      <c r="FP73" s="192" t="e">
        <f t="shared" ca="1" si="96"/>
        <v>#NAME?</v>
      </c>
      <c r="FQ73" s="209" t="e">
        <f t="shared" ca="1" si="97"/>
        <v>#NAME?</v>
      </c>
      <c r="FR73" s="208" t="e">
        <f t="shared" ca="1" si="98"/>
        <v>#NAME?</v>
      </c>
      <c r="FS73" s="36" t="str">
        <f t="shared" si="99"/>
        <v>Pre-Product</v>
      </c>
      <c r="FT73" s="196">
        <f>COUNTIF($FS$2:$FS$92, FS73)/(COUNTIF($FS$2:$FS$92, "&lt;&gt;""") - COUNTIF($FZ$2:$FZ$92, ""))</f>
        <v>0.22222222222222221</v>
      </c>
      <c r="FU73" s="207"/>
      <c r="FV73" s="192" t="e">
        <f t="shared" ca="1" si="100"/>
        <v>#NAME?</v>
      </c>
      <c r="FW73" s="197" t="e">
        <f t="shared" ca="1" si="101"/>
        <v>#NAME?</v>
      </c>
      <c r="FX73" s="209" t="e">
        <f t="shared" ca="1" si="102"/>
        <v>#NAME?</v>
      </c>
      <c r="FY73" s="211" t="e">
        <f t="shared" ca="1" si="103"/>
        <v>#NAME?</v>
      </c>
      <c r="FZ73" s="36" t="str">
        <f t="shared" si="104"/>
        <v>Yes</v>
      </c>
      <c r="GA73" s="196">
        <f>COUNTIF($FZ$2:$FZ$92, FZ73)/(COUNTIF($FZ$2:$FZ$92, "&lt;&gt;""") - COUNTIF($FZ$2:$FZ$92, ""))</f>
        <v>0.23333333333333334</v>
      </c>
      <c r="GB73" s="196" t="str">
        <f t="shared" si="105"/>
        <v>Low</v>
      </c>
      <c r="GC73" s="196">
        <f>COUNTIF($GB$2:$GB$92, GB73)/(COUNTIF($GB$2:$GB$92, "&lt;&gt;""") - COUNTIF($GB$2:$GB$92, ""))</f>
        <v>0.55555555555555558</v>
      </c>
      <c r="GD73" s="196" t="str">
        <f t="shared" si="106"/>
        <v>High</v>
      </c>
      <c r="GE73" s="196">
        <f>COUNTIF($GD$2:$GD$92, GD73)/(COUNTIF($GD$2:$GD$92, "&lt;&gt;""") - COUNTIF($GD$2:$GD$92, ""))</f>
        <v>0.8</v>
      </c>
      <c r="GF73" s="207"/>
      <c r="GG73" s="36"/>
      <c r="GH73" s="209" t="e">
        <f t="shared" ca="1" si="107"/>
        <v>#NAME?</v>
      </c>
      <c r="GI73" s="212" t="e">
        <f t="shared" ca="1" si="108"/>
        <v>#NAME?</v>
      </c>
    </row>
    <row r="74" spans="1:191" ht="15.75" customHeight="1">
      <c r="A74" s="174"/>
      <c r="B74" s="174" t="s">
        <v>433</v>
      </c>
      <c r="C74" s="256">
        <v>1722137</v>
      </c>
      <c r="D74" s="247" t="s">
        <v>1006</v>
      </c>
      <c r="E74" s="259">
        <v>43801.418055555558</v>
      </c>
      <c r="F74" s="243" t="s">
        <v>329</v>
      </c>
      <c r="G74" s="257" t="s">
        <v>1007</v>
      </c>
      <c r="H74" s="257" t="s">
        <v>1008</v>
      </c>
      <c r="I74" s="258">
        <v>43791</v>
      </c>
      <c r="J74" s="260" t="s">
        <v>1009</v>
      </c>
      <c r="K74" s="247" t="s">
        <v>1006</v>
      </c>
      <c r="M74" s="243" t="s">
        <v>929</v>
      </c>
      <c r="N74" s="243" t="s">
        <v>315</v>
      </c>
      <c r="O74" s="243" t="s">
        <v>30</v>
      </c>
      <c r="P74" s="243" t="s">
        <v>174</v>
      </c>
      <c r="Q74" s="243" t="s">
        <v>35</v>
      </c>
      <c r="R74" s="187"/>
      <c r="S74" s="243" t="s">
        <v>269</v>
      </c>
      <c r="T74" s="248"/>
      <c r="U74" s="249"/>
      <c r="V74" s="250"/>
      <c r="W74" s="64">
        <v>8000000</v>
      </c>
      <c r="X74" s="261">
        <v>0.2</v>
      </c>
      <c r="Y74" s="55">
        <f t="shared" si="158"/>
        <v>6400000</v>
      </c>
      <c r="Z74" s="274">
        <f t="shared" si="159"/>
        <v>6400000</v>
      </c>
      <c r="AA74" s="183" t="e">
        <f t="shared" ca="1" si="160"/>
        <v>#NAME?</v>
      </c>
      <c r="AB74" s="243" t="s">
        <v>178</v>
      </c>
      <c r="AC74" s="243" t="s">
        <v>179</v>
      </c>
      <c r="AD74" s="243" t="s">
        <v>180</v>
      </c>
      <c r="AE74" s="243" t="s">
        <v>227</v>
      </c>
      <c r="AF74" s="243" t="s">
        <v>39</v>
      </c>
      <c r="AG74" s="243" t="s">
        <v>39</v>
      </c>
      <c r="AH74" s="239" t="s">
        <v>227</v>
      </c>
      <c r="AI74" s="64"/>
      <c r="AJ74" s="279">
        <v>146000000000</v>
      </c>
      <c r="AK74" s="224" t="e">
        <f t="shared" ca="1" si="161"/>
        <v>#NAME?</v>
      </c>
      <c r="AL74" s="279">
        <v>26000000000</v>
      </c>
      <c r="AM74" s="224" t="e">
        <f t="shared" ca="1" si="162"/>
        <v>#NAME?</v>
      </c>
      <c r="AN74" s="279">
        <v>0.2</v>
      </c>
      <c r="AO74" s="185" t="e">
        <f t="shared" ca="1" si="63"/>
        <v>#NAME?</v>
      </c>
      <c r="AP74" s="185" t="s">
        <v>192</v>
      </c>
      <c r="AQ74" s="243" t="s">
        <v>39</v>
      </c>
      <c r="AR74" s="243" t="s">
        <v>181</v>
      </c>
      <c r="AS74" s="243" t="s">
        <v>182</v>
      </c>
      <c r="AT74" s="35" t="s">
        <v>39</v>
      </c>
      <c r="AU74" s="35" t="s">
        <v>39</v>
      </c>
      <c r="AV74" s="243" t="s">
        <v>227</v>
      </c>
      <c r="AW74" s="243" t="s">
        <v>190</v>
      </c>
      <c r="AX74" s="243" t="s">
        <v>227</v>
      </c>
      <c r="AY74" s="243" t="s">
        <v>227</v>
      </c>
      <c r="AZ74" s="64">
        <v>64847</v>
      </c>
      <c r="BA74" s="55" t="e">
        <f t="shared" ca="1" si="163"/>
        <v>#NAME?</v>
      </c>
      <c r="BB74" s="279">
        <v>19434</v>
      </c>
      <c r="BC74" s="280">
        <v>1150000</v>
      </c>
      <c r="BD74" s="62" t="e">
        <f t="shared" ca="1" si="164"/>
        <v>#NAME?</v>
      </c>
      <c r="BE74" s="277">
        <f t="shared" si="165"/>
        <v>1.6899130434782608E-2</v>
      </c>
      <c r="BF74" s="62" t="e">
        <f t="shared" ca="1" si="166"/>
        <v>#NAME?</v>
      </c>
      <c r="BG74" s="243" t="s">
        <v>202</v>
      </c>
      <c r="BH74" s="187"/>
      <c r="BI74" s="243" t="s">
        <v>227</v>
      </c>
      <c r="BJ74" s="256">
        <v>3</v>
      </c>
      <c r="BK74" s="279">
        <v>2</v>
      </c>
      <c r="BL74" s="239" t="s">
        <v>190</v>
      </c>
      <c r="BM74" s="243" t="s">
        <v>227</v>
      </c>
      <c r="BN74" s="243" t="s">
        <v>227</v>
      </c>
      <c r="BO74" s="243" t="s">
        <v>190</v>
      </c>
      <c r="BP74" s="256">
        <v>7</v>
      </c>
      <c r="BQ74" s="256">
        <v>7</v>
      </c>
      <c r="BR74" s="239">
        <v>8</v>
      </c>
      <c r="BS74" s="239">
        <v>3</v>
      </c>
      <c r="BT74" s="204"/>
      <c r="BU74" s="256">
        <v>9</v>
      </c>
      <c r="BV74" s="256">
        <v>0</v>
      </c>
      <c r="BW74" s="256">
        <v>39</v>
      </c>
      <c r="BX74" s="243" t="s">
        <v>227</v>
      </c>
      <c r="BY74" s="204"/>
      <c r="BZ74" s="239">
        <v>7</v>
      </c>
      <c r="CA74" s="239">
        <v>0</v>
      </c>
      <c r="CB74" s="239">
        <v>38</v>
      </c>
      <c r="CC74" s="239" t="s">
        <v>190</v>
      </c>
      <c r="CD74" s="204"/>
      <c r="CE74" s="187"/>
      <c r="CF74" s="187"/>
      <c r="CG74" s="187"/>
      <c r="CH74" s="187"/>
      <c r="CI74" s="204"/>
      <c r="CJ74" s="187"/>
      <c r="CK74" s="187"/>
      <c r="CL74" s="187"/>
      <c r="CM74" s="187"/>
      <c r="CN74" s="205"/>
      <c r="CO74" s="89"/>
      <c r="CP74" s="89"/>
      <c r="CQ74" s="187"/>
      <c r="CR74" s="187"/>
      <c r="CS74" s="204"/>
      <c r="CT74" s="89"/>
      <c r="CU74" s="89"/>
      <c r="CV74" s="187"/>
      <c r="CW74" s="187"/>
      <c r="CX74" s="204"/>
      <c r="CY74" s="89"/>
      <c r="CZ74" s="89"/>
      <c r="DA74" s="187"/>
      <c r="DB74" s="187"/>
      <c r="DC74" s="204"/>
      <c r="DD74" s="89"/>
      <c r="DE74" s="89"/>
      <c r="DF74" s="187"/>
      <c r="DG74" s="187"/>
      <c r="DH74" s="204"/>
      <c r="DI74" s="89"/>
      <c r="DJ74" s="89"/>
      <c r="DK74" s="187"/>
      <c r="DL74" s="187"/>
      <c r="DM74" s="204"/>
      <c r="DN74" s="205"/>
      <c r="DO74" s="205"/>
      <c r="DQ74" s="206"/>
      <c r="DR74" s="188">
        <f t="shared" si="64"/>
        <v>8</v>
      </c>
      <c r="DS74" s="188"/>
      <c r="DT74" s="189">
        <f t="shared" si="65"/>
        <v>0</v>
      </c>
      <c r="DU74" s="189"/>
      <c r="DV74" s="188">
        <f t="shared" si="66"/>
        <v>38.5</v>
      </c>
      <c r="DW74" s="183" t="e">
        <f t="shared" ca="1" si="67"/>
        <v>#NAME?</v>
      </c>
      <c r="DX74" s="207"/>
      <c r="DY74" s="190" t="e">
        <f t="shared" ca="1" si="68"/>
        <v>#NAME?</v>
      </c>
      <c r="DZ74" s="191">
        <f t="shared" si="69"/>
        <v>3.1052631578947367</v>
      </c>
      <c r="EA74" s="191" t="str">
        <f t="shared" si="70"/>
        <v/>
      </c>
      <c r="EB74" s="191" t="str">
        <f t="shared" si="71"/>
        <v/>
      </c>
      <c r="EC74" s="208" t="e">
        <f t="shared" ca="1" si="72"/>
        <v>#NAME?</v>
      </c>
      <c r="ED74" s="36" t="str">
        <f t="shared" si="73"/>
        <v>SAFE</v>
      </c>
      <c r="EE74" s="193">
        <f>COUNTIF($ED$2:$ED$92, ED74)/(COUNTIF($ED$2:$ED$92, "&lt;&gt;""") - COUNTIF($ED$2:$ED$92, ""))</f>
        <v>0.37777777777777777</v>
      </c>
      <c r="EF74" s="36" t="str">
        <f t="shared" si="74"/>
        <v>Early</v>
      </c>
      <c r="EG74" s="207"/>
      <c r="EH74" s="194" t="e">
        <f t="shared" ca="1" si="75"/>
        <v>#NAME?</v>
      </c>
      <c r="EI74" s="194" t="e">
        <f t="shared" ca="1" si="76"/>
        <v>#NAME?</v>
      </c>
      <c r="EJ74" s="209" t="e">
        <f t="shared" ca="1" si="77"/>
        <v>#NAME?</v>
      </c>
      <c r="EK74" s="208" t="e">
        <f t="shared" ca="1" si="78"/>
        <v>#NAME?</v>
      </c>
      <c r="EL74" s="36" t="str">
        <f t="shared" si="79"/>
        <v>Yes</v>
      </c>
      <c r="EM74" s="207"/>
      <c r="EN74" s="192">
        <f t="shared" si="80"/>
        <v>1.7619047619047619</v>
      </c>
      <c r="EO74" s="192">
        <f t="shared" si="81"/>
        <v>1</v>
      </c>
      <c r="EP74" s="209">
        <f t="shared" si="82"/>
        <v>2.7619047619047619</v>
      </c>
      <c r="EQ74" s="210">
        <f t="shared" si="83"/>
        <v>1.5981308411214954</v>
      </c>
      <c r="ER74" s="36" t="e">
        <f t="shared" ca="1" si="84"/>
        <v>#NAME?</v>
      </c>
      <c r="ES74" s="40">
        <f ca="1">COUNTIF($ER$2:$ER$92, ER74)/(COUNTIF($ER$2:$ER$92, "&lt;&gt;""") - COUNTIF($ER$2:$ER$92, ""))</f>
        <v>1</v>
      </c>
      <c r="ET74" s="36">
        <f t="shared" si="85"/>
        <v>2</v>
      </c>
      <c r="EU74" s="40">
        <f>COUNTIF($ET$2:$ET$92, ET74)/(COUNTIF($ET$2:$ET$92, "&lt;&gt;""") - COUNTIF($ET$2:$ET$92, ""))</f>
        <v>0.45555555555555555</v>
      </c>
      <c r="EV74" s="36">
        <f t="shared" si="86"/>
        <v>7</v>
      </c>
      <c r="EW74" s="40">
        <f>COUNTIF($EV$2:$EV$92, EV74)/(COUNTIF($EV$2:$EV$92, "&lt;&gt;""") - COUNTIF($EV$2:$EV$92, ""))</f>
        <v>4.4444444444444446E-2</v>
      </c>
      <c r="EX74" s="36" t="str">
        <f t="shared" si="87"/>
        <v>No</v>
      </c>
      <c r="EY74" s="40">
        <f>COUNTIF($EX$2:$EX$92, EX74)/(COUNTIF($EX$2:$EX$92, "&lt;&gt;""") - COUNTIF($EX$2:$EX$92, ""))</f>
        <v>0.72222222222222221</v>
      </c>
      <c r="EZ74" s="36" t="str">
        <f t="shared" ref="EZ74:FB74" si="187">BM74</f>
        <v>Yes</v>
      </c>
      <c r="FA74" s="36" t="str">
        <f t="shared" si="187"/>
        <v>Yes</v>
      </c>
      <c r="FB74" s="36" t="str">
        <f t="shared" si="187"/>
        <v>No</v>
      </c>
      <c r="FC74" s="207"/>
      <c r="FD74" s="36" t="str">
        <f t="shared" si="89"/>
        <v>Recurring</v>
      </c>
      <c r="FE74" s="40">
        <f>COUNTIF($FD$2:$FD$92, FD74)/(COUNTIF($FD$2:$FD$92, "&lt;&gt;""") - COUNTIF($FD$2:$FD$92, ""))</f>
        <v>0.4</v>
      </c>
      <c r="FF74" s="36" t="str">
        <f t="shared" si="90"/>
        <v>B2C</v>
      </c>
      <c r="FG74" s="40">
        <f>COUNTIF($FF$2:$FF$92, FF74)/(COUNTIF($FF$2:$FF$92, "&lt;&gt;""") - COUNTIF($FF$2:$FF$92, ""))</f>
        <v>0.41111111111111109</v>
      </c>
      <c r="FH74" s="36" t="str">
        <f t="shared" si="91"/>
        <v>High</v>
      </c>
      <c r="FI74" s="40">
        <f>COUNTIF($FH$2:$FH$92, FH74)/(COUNTIF($FH$2:$FH$92, "&lt;&gt;""") - COUNTIF($FH$2:$FH$92, ""))</f>
        <v>0.53333333333333333</v>
      </c>
      <c r="FJ74" s="36" t="str">
        <f t="shared" si="92"/>
        <v>High</v>
      </c>
      <c r="FK74" s="40">
        <f>COUNTIF($FJ$2:$FJ$92, FJ74)/(COUNTIF($FJ$2:$FJ$92, "&lt;&gt;""") - COUNTIF($FJ$2:$FJ$92, ""))</f>
        <v>0.58888888888888891</v>
      </c>
      <c r="FL74" s="207"/>
      <c r="FM74" s="192">
        <f t="shared" si="93"/>
        <v>5</v>
      </c>
      <c r="FN74" s="192" t="e">
        <f t="shared" ca="1" si="94"/>
        <v>#NAME?</v>
      </c>
      <c r="FO74" s="192" t="e">
        <f t="shared" ca="1" si="95"/>
        <v>#NAME?</v>
      </c>
      <c r="FP74" s="192" t="e">
        <f t="shared" ca="1" si="96"/>
        <v>#NAME?</v>
      </c>
      <c r="FQ74" s="209" t="e">
        <f t="shared" ca="1" si="97"/>
        <v>#NAME?</v>
      </c>
      <c r="FR74" s="208" t="e">
        <f t="shared" ca="1" si="98"/>
        <v>#NAME?</v>
      </c>
      <c r="FS74" s="36" t="str">
        <f t="shared" si="99"/>
        <v>Pre-Profit</v>
      </c>
      <c r="FT74" s="196">
        <f>COUNTIF($FS$2:$FS$92, FS74)/(COUNTIF($FS$2:$FS$92, "&lt;&gt;""") - COUNTIF($FZ$2:$FZ$92, ""))</f>
        <v>0.51111111111111107</v>
      </c>
      <c r="FU74" s="207"/>
      <c r="FV74" s="192">
        <f t="shared" si="100"/>
        <v>3</v>
      </c>
      <c r="FW74" s="197" t="e">
        <f t="shared" ca="1" si="101"/>
        <v>#NAME?</v>
      </c>
      <c r="FX74" s="209" t="e">
        <f t="shared" ca="1" si="102"/>
        <v>#NAME?</v>
      </c>
      <c r="FY74" s="211" t="e">
        <f t="shared" ca="1" si="103"/>
        <v>#NAME?</v>
      </c>
      <c r="FZ74" s="36" t="str">
        <f t="shared" si="104"/>
        <v>No</v>
      </c>
      <c r="GA74" s="196">
        <f>COUNTIF($FZ$2:$FZ$92, FZ74)/(COUNTIF($FZ$2:$FZ$92, "&lt;&gt;""") - COUNTIF($FZ$2:$FZ$92, ""))</f>
        <v>0.76666666666666672</v>
      </c>
      <c r="GB74" s="196" t="str">
        <f t="shared" si="105"/>
        <v>High</v>
      </c>
      <c r="GC74" s="196">
        <f>COUNTIF($GB$2:$GB$92, GB74)/(COUNTIF($GB$2:$GB$92, "&lt;&gt;""") - COUNTIF($GB$2:$GB$92, ""))</f>
        <v>0.43333333333333335</v>
      </c>
      <c r="GD74" s="196" t="str">
        <f t="shared" si="106"/>
        <v>High</v>
      </c>
      <c r="GE74" s="196">
        <f>COUNTIF($GD$2:$GD$92, GD74)/(COUNTIF($GD$2:$GD$92, "&lt;&gt;""") - COUNTIF($GD$2:$GD$92, ""))</f>
        <v>0.8</v>
      </c>
      <c r="GF74" s="207"/>
      <c r="GG74" s="36"/>
      <c r="GH74" s="209" t="e">
        <f t="shared" ca="1" si="107"/>
        <v>#NAME?</v>
      </c>
      <c r="GI74" s="212" t="e">
        <f t="shared" ca="1" si="108"/>
        <v>#NAME?</v>
      </c>
    </row>
    <row r="75" spans="1:191" ht="15.75" customHeight="1">
      <c r="A75" s="182"/>
      <c r="B75" s="182" t="s">
        <v>433</v>
      </c>
      <c r="C75" s="256">
        <v>1724320</v>
      </c>
      <c r="D75" s="247" t="s">
        <v>1010</v>
      </c>
      <c r="E75" s="259">
        <v>43801.420138888891</v>
      </c>
      <c r="F75" s="243" t="s">
        <v>329</v>
      </c>
      <c r="G75" s="257" t="s">
        <v>1011</v>
      </c>
      <c r="H75" s="257" t="s">
        <v>1012</v>
      </c>
      <c r="I75" s="258">
        <v>43794</v>
      </c>
      <c r="J75" s="260" t="s">
        <v>1013</v>
      </c>
      <c r="K75" s="260" t="s">
        <v>1010</v>
      </c>
      <c r="M75" s="35" t="s">
        <v>293</v>
      </c>
      <c r="N75" s="243" t="s">
        <v>168</v>
      </c>
      <c r="O75" s="243" t="s">
        <v>173</v>
      </c>
      <c r="P75" s="243" t="s">
        <v>197</v>
      </c>
      <c r="Q75" s="243" t="s">
        <v>35</v>
      </c>
      <c r="R75" s="187"/>
      <c r="S75" s="243" t="s">
        <v>269</v>
      </c>
      <c r="T75" s="262"/>
      <c r="U75" s="263"/>
      <c r="V75" s="250"/>
      <c r="W75" s="69">
        <v>8500000</v>
      </c>
      <c r="X75" s="264">
        <v>0.2</v>
      </c>
      <c r="Y75" s="55">
        <f t="shared" si="158"/>
        <v>6800000</v>
      </c>
      <c r="Z75" s="274">
        <f t="shared" si="159"/>
        <v>6800000</v>
      </c>
      <c r="AA75" s="183" t="e">
        <f t="shared" ca="1" si="160"/>
        <v>#NAME?</v>
      </c>
      <c r="AB75" s="243" t="s">
        <v>36</v>
      </c>
      <c r="AC75" s="243" t="s">
        <v>218</v>
      </c>
      <c r="AD75" s="243" t="s">
        <v>38</v>
      </c>
      <c r="AE75" s="243" t="s">
        <v>190</v>
      </c>
      <c r="AF75" s="243" t="s">
        <v>39</v>
      </c>
      <c r="AG75" s="243" t="s">
        <v>39</v>
      </c>
      <c r="AH75" s="239" t="s">
        <v>190</v>
      </c>
      <c r="AI75" s="64"/>
      <c r="AJ75" s="279">
        <v>700000000000</v>
      </c>
      <c r="AK75" s="224" t="e">
        <f t="shared" ca="1" si="161"/>
        <v>#NAME?</v>
      </c>
      <c r="AL75" s="279">
        <v>252000000000</v>
      </c>
      <c r="AM75" s="224" t="e">
        <f t="shared" ca="1" si="162"/>
        <v>#NAME?</v>
      </c>
      <c r="AN75" s="279">
        <v>0.06</v>
      </c>
      <c r="AO75" s="185" t="e">
        <f t="shared" ca="1" si="63"/>
        <v>#NAME?</v>
      </c>
      <c r="AP75" s="185" t="s">
        <v>228</v>
      </c>
      <c r="AQ75" s="243" t="s">
        <v>181</v>
      </c>
      <c r="AR75" s="243" t="s">
        <v>181</v>
      </c>
      <c r="AS75" s="243" t="s">
        <v>42</v>
      </c>
      <c r="AT75" s="35" t="s">
        <v>181</v>
      </c>
      <c r="AU75" s="35" t="s">
        <v>39</v>
      </c>
      <c r="AV75" s="243" t="s">
        <v>190</v>
      </c>
      <c r="AW75" s="243" t="s">
        <v>190</v>
      </c>
      <c r="AX75" s="243" t="s">
        <v>227</v>
      </c>
      <c r="AY75" s="243" t="s">
        <v>227</v>
      </c>
      <c r="AZ75" s="64">
        <v>2536240</v>
      </c>
      <c r="BA75" s="55" t="e">
        <f t="shared" ca="1" si="163"/>
        <v>#NAME?</v>
      </c>
      <c r="BB75" s="279">
        <v>96958</v>
      </c>
      <c r="BC75" s="280">
        <v>1000000</v>
      </c>
      <c r="BD75" s="62" t="e">
        <f t="shared" ca="1" si="164"/>
        <v>#NAME?</v>
      </c>
      <c r="BE75" s="277">
        <f t="shared" si="165"/>
        <v>9.6958000000000003E-2</v>
      </c>
      <c r="BF75" s="62" t="e">
        <f t="shared" ca="1" si="166"/>
        <v>#NAME?</v>
      </c>
      <c r="BG75" s="243" t="s">
        <v>202</v>
      </c>
      <c r="BH75" s="187"/>
      <c r="BI75" s="243" t="s">
        <v>227</v>
      </c>
      <c r="BJ75" s="239">
        <v>6</v>
      </c>
      <c r="BK75" s="279">
        <v>2</v>
      </c>
      <c r="BL75" s="239" t="s">
        <v>190</v>
      </c>
      <c r="BM75" s="243" t="s">
        <v>227</v>
      </c>
      <c r="BN75" s="243" t="s">
        <v>190</v>
      </c>
      <c r="BO75" s="243" t="s">
        <v>190</v>
      </c>
      <c r="BP75" s="256">
        <v>2</v>
      </c>
      <c r="BQ75" s="256">
        <v>6</v>
      </c>
      <c r="BR75" s="256">
        <v>1</v>
      </c>
      <c r="BS75" s="256">
        <v>3</v>
      </c>
      <c r="BT75" s="204"/>
      <c r="BU75" s="256">
        <v>5</v>
      </c>
      <c r="BV75" s="256">
        <v>0</v>
      </c>
      <c r="BW75" s="256">
        <v>38</v>
      </c>
      <c r="BX75" s="243" t="s">
        <v>190</v>
      </c>
      <c r="BY75" s="204"/>
      <c r="BZ75" s="239">
        <v>7</v>
      </c>
      <c r="CA75" s="239">
        <v>0</v>
      </c>
      <c r="CB75" s="239">
        <v>30</v>
      </c>
      <c r="CC75" s="239" t="s">
        <v>190</v>
      </c>
      <c r="CD75" s="204"/>
      <c r="CE75" s="187"/>
      <c r="CF75" s="187"/>
      <c r="CG75" s="187"/>
      <c r="CH75" s="187"/>
      <c r="CI75" s="204"/>
      <c r="CJ75" s="187"/>
      <c r="CK75" s="187"/>
      <c r="CL75" s="187"/>
      <c r="CM75" s="187"/>
      <c r="CN75" s="205"/>
      <c r="CO75" s="187"/>
      <c r="CP75" s="187"/>
      <c r="CQ75" s="187"/>
      <c r="CR75" s="187"/>
      <c r="CS75" s="204"/>
      <c r="CT75" s="187"/>
      <c r="CU75" s="187"/>
      <c r="CV75" s="187"/>
      <c r="CW75" s="187"/>
      <c r="CX75" s="204"/>
      <c r="CY75" s="187"/>
      <c r="CZ75" s="187"/>
      <c r="DA75" s="187"/>
      <c r="DB75" s="187"/>
      <c r="DC75" s="204"/>
      <c r="DD75" s="187"/>
      <c r="DE75" s="187"/>
      <c r="DF75" s="187"/>
      <c r="DG75" s="187"/>
      <c r="DH75" s="204"/>
      <c r="DI75" s="187"/>
      <c r="DJ75" s="187"/>
      <c r="DK75" s="187"/>
      <c r="DL75" s="187"/>
      <c r="DM75" s="204"/>
      <c r="DN75" s="205"/>
      <c r="DO75" s="205"/>
      <c r="DQ75" s="206"/>
      <c r="DR75" s="188">
        <f t="shared" si="64"/>
        <v>6</v>
      </c>
      <c r="DS75" s="188"/>
      <c r="DT75" s="189">
        <f t="shared" si="65"/>
        <v>0</v>
      </c>
      <c r="DU75" s="189"/>
      <c r="DV75" s="188">
        <f t="shared" si="66"/>
        <v>34</v>
      </c>
      <c r="DW75" s="183" t="e">
        <f t="shared" ca="1" si="67"/>
        <v>#NAME?</v>
      </c>
      <c r="DX75" s="207"/>
      <c r="DY75" s="190" t="e">
        <f t="shared" ca="1" si="68"/>
        <v>#NAME?</v>
      </c>
      <c r="DZ75" s="191">
        <f t="shared" si="69"/>
        <v>3.1052631578947367</v>
      </c>
      <c r="EA75" s="191" t="str">
        <f t="shared" si="70"/>
        <v/>
      </c>
      <c r="EB75" s="191" t="str">
        <f t="shared" si="71"/>
        <v/>
      </c>
      <c r="EC75" s="208" t="e">
        <f t="shared" ca="1" si="72"/>
        <v>#NAME?</v>
      </c>
      <c r="ED75" s="36" t="str">
        <f t="shared" si="73"/>
        <v>SAFE</v>
      </c>
      <c r="EE75" s="193">
        <f>COUNTIF($ED$2:$ED$92, ED75)/(COUNTIF($ED$2:$ED$92, "&lt;&gt;""") - COUNTIF($ED$2:$ED$92, ""))</f>
        <v>0.37777777777777777</v>
      </c>
      <c r="EF75" s="36" t="str">
        <f t="shared" si="74"/>
        <v>Growth</v>
      </c>
      <c r="EG75" s="207"/>
      <c r="EH75" s="194" t="e">
        <f t="shared" ca="1" si="75"/>
        <v>#NAME?</v>
      </c>
      <c r="EI75" s="194" t="e">
        <f t="shared" ca="1" si="76"/>
        <v>#NAME?</v>
      </c>
      <c r="EJ75" s="209" t="e">
        <f t="shared" ca="1" si="77"/>
        <v>#NAME?</v>
      </c>
      <c r="EK75" s="208" t="e">
        <f t="shared" ca="1" si="78"/>
        <v>#NAME?</v>
      </c>
      <c r="EL75" s="36" t="str">
        <f t="shared" si="79"/>
        <v>No</v>
      </c>
      <c r="EM75" s="207"/>
      <c r="EN75" s="192">
        <f t="shared" si="80"/>
        <v>1.5714285714285714</v>
      </c>
      <c r="EO75" s="192">
        <f t="shared" si="81"/>
        <v>1</v>
      </c>
      <c r="EP75" s="209">
        <f t="shared" si="82"/>
        <v>2.5714285714285712</v>
      </c>
      <c r="EQ75" s="210">
        <f t="shared" si="83"/>
        <v>1.4485981308411213</v>
      </c>
      <c r="ER75" s="36" t="e">
        <f t="shared" ca="1" si="84"/>
        <v>#NAME?</v>
      </c>
      <c r="ES75" s="40">
        <f ca="1">COUNTIF($ER$2:$ER$92, ER75)/(COUNTIF($ER$2:$ER$92, "&lt;&gt;""") - COUNTIF($ER$2:$ER$92, ""))</f>
        <v>1</v>
      </c>
      <c r="ET75" s="36">
        <f t="shared" si="85"/>
        <v>2</v>
      </c>
      <c r="EU75" s="40">
        <f>COUNTIF($ET$2:$ET$92, ET75)/(COUNTIF($ET$2:$ET$92, "&lt;&gt;""") - COUNTIF($ET$2:$ET$92, ""))</f>
        <v>0.45555555555555555</v>
      </c>
      <c r="EV75" s="36">
        <f t="shared" si="86"/>
        <v>6</v>
      </c>
      <c r="EW75" s="40">
        <f>COUNTIF($EV$2:$EV$92, EV75)/(COUNTIF($EV$2:$EV$92, "&lt;&gt;""") - COUNTIF($EV$2:$EV$92, ""))</f>
        <v>5.5555555555555552E-2</v>
      </c>
      <c r="EX75" s="36" t="str">
        <f t="shared" si="87"/>
        <v>No</v>
      </c>
      <c r="EY75" s="40">
        <f>COUNTIF($EX$2:$EX$92, EX75)/(COUNTIF($EX$2:$EX$92, "&lt;&gt;""") - COUNTIF($EX$2:$EX$92, ""))</f>
        <v>0.72222222222222221</v>
      </c>
      <c r="EZ75" s="36" t="str">
        <f t="shared" ref="EZ75:FB75" si="188">BM75</f>
        <v>Yes</v>
      </c>
      <c r="FA75" s="36" t="str">
        <f t="shared" si="188"/>
        <v>No</v>
      </c>
      <c r="FB75" s="36" t="str">
        <f t="shared" si="188"/>
        <v>No</v>
      </c>
      <c r="FC75" s="207"/>
      <c r="FD75" s="36" t="str">
        <f t="shared" si="89"/>
        <v>Transactional</v>
      </c>
      <c r="FE75" s="40">
        <f>COUNTIF($FD$2:$FD$92, FD75)/(COUNTIF($FD$2:$FD$92, "&lt;&gt;""") - COUNTIF($FD$2:$FD$92, ""))</f>
        <v>0.6</v>
      </c>
      <c r="FF75" s="36" t="str">
        <f t="shared" si="90"/>
        <v>B2B/B2C</v>
      </c>
      <c r="FG75" s="40">
        <f>COUNTIF($FF$2:$FF$92, FF75)/(COUNTIF($FF$2:$FF$92, "&lt;&gt;""") - COUNTIF($FF$2:$FF$92, ""))</f>
        <v>0.27777777777777779</v>
      </c>
      <c r="FH75" s="36" t="str">
        <f t="shared" si="91"/>
        <v>High</v>
      </c>
      <c r="FI75" s="40">
        <f>COUNTIF($FH$2:$FH$92, FH75)/(COUNTIF($FH$2:$FH$92, "&lt;&gt;""") - COUNTIF($FH$2:$FH$92, ""))</f>
        <v>0.53333333333333333</v>
      </c>
      <c r="FJ75" s="36" t="str">
        <f t="shared" si="92"/>
        <v>High</v>
      </c>
      <c r="FK75" s="40">
        <f>COUNTIF($FJ$2:$FJ$92, FJ75)/(COUNTIF($FJ$2:$FJ$92, "&lt;&gt;""") - COUNTIF($FJ$2:$FJ$92, ""))</f>
        <v>0.58888888888888891</v>
      </c>
      <c r="FL75" s="207"/>
      <c r="FM75" s="192">
        <f t="shared" si="93"/>
        <v>5</v>
      </c>
      <c r="FN75" s="192" t="e">
        <f t="shared" ca="1" si="94"/>
        <v>#NAME?</v>
      </c>
      <c r="FO75" s="192" t="e">
        <f t="shared" ca="1" si="95"/>
        <v>#NAME?</v>
      </c>
      <c r="FP75" s="192" t="e">
        <f t="shared" ca="1" si="96"/>
        <v>#NAME?</v>
      </c>
      <c r="FQ75" s="209" t="e">
        <f t="shared" ca="1" si="97"/>
        <v>#NAME?</v>
      </c>
      <c r="FR75" s="208" t="e">
        <f t="shared" ca="1" si="98"/>
        <v>#NAME?</v>
      </c>
      <c r="FS75" s="36" t="str">
        <f t="shared" si="99"/>
        <v>Pre-Profit</v>
      </c>
      <c r="FT75" s="196">
        <f>COUNTIF($FS$2:$FS$92, FS75)/(COUNTIF($FS$2:$FS$92, "&lt;&gt;""") - COUNTIF($FZ$2:$FZ$92, ""))</f>
        <v>0.51111111111111107</v>
      </c>
      <c r="FU75" s="207"/>
      <c r="FV75" s="192" t="e">
        <f t="shared" ca="1" si="100"/>
        <v>#NAME?</v>
      </c>
      <c r="FW75" s="197" t="e">
        <f t="shared" ca="1" si="101"/>
        <v>#NAME?</v>
      </c>
      <c r="FX75" s="209" t="e">
        <f t="shared" ca="1" si="102"/>
        <v>#NAME?</v>
      </c>
      <c r="FY75" s="211" t="e">
        <f t="shared" ca="1" si="103"/>
        <v>#NAME?</v>
      </c>
      <c r="FZ75" s="36" t="str">
        <f t="shared" si="104"/>
        <v>No</v>
      </c>
      <c r="GA75" s="196">
        <f>COUNTIF($FZ$2:$FZ$92, FZ75)/(COUNTIF($FZ$2:$FZ$92, "&lt;&gt;""") - COUNTIF($FZ$2:$FZ$92, ""))</f>
        <v>0.76666666666666672</v>
      </c>
      <c r="GB75" s="196" t="str">
        <f t="shared" si="105"/>
        <v>Low</v>
      </c>
      <c r="GC75" s="196">
        <f>COUNTIF($GB$2:$GB$92, GB75)/(COUNTIF($GB$2:$GB$92, "&lt;&gt;""") - COUNTIF($GB$2:$GB$92, ""))</f>
        <v>0.55555555555555558</v>
      </c>
      <c r="GD75" s="196" t="str">
        <f t="shared" si="106"/>
        <v>High</v>
      </c>
      <c r="GE75" s="196">
        <f>COUNTIF($GD$2:$GD$92, GD75)/(COUNTIF($GD$2:$GD$92, "&lt;&gt;""") - COUNTIF($GD$2:$GD$92, ""))</f>
        <v>0.8</v>
      </c>
      <c r="GF75" s="207"/>
      <c r="GG75" s="36"/>
      <c r="GH75" s="209" t="e">
        <f t="shared" ca="1" si="107"/>
        <v>#NAME?</v>
      </c>
      <c r="GI75" s="212" t="e">
        <f t="shared" ca="1" si="108"/>
        <v>#NAME?</v>
      </c>
    </row>
    <row r="76" spans="1:191" ht="15.75" customHeight="1">
      <c r="A76" s="182"/>
      <c r="B76" s="182" t="s">
        <v>433</v>
      </c>
      <c r="C76" s="256">
        <v>1687316</v>
      </c>
      <c r="D76" s="247" t="s">
        <v>1014</v>
      </c>
      <c r="E76" s="259">
        <v>43801.440972222219</v>
      </c>
      <c r="F76" s="243" t="s">
        <v>344</v>
      </c>
      <c r="G76" s="257" t="s">
        <v>1015</v>
      </c>
      <c r="H76" s="257" t="s">
        <v>1016</v>
      </c>
      <c r="I76" s="258">
        <v>44091</v>
      </c>
      <c r="J76" s="260" t="s">
        <v>1017</v>
      </c>
      <c r="K76" s="247" t="s">
        <v>1014</v>
      </c>
      <c r="M76" s="243" t="s">
        <v>1018</v>
      </c>
      <c r="N76" s="243" t="s">
        <v>168</v>
      </c>
      <c r="O76" s="243" t="s">
        <v>30</v>
      </c>
      <c r="P76" s="243" t="s">
        <v>174</v>
      </c>
      <c r="Q76" s="243" t="s">
        <v>35</v>
      </c>
      <c r="R76" s="239" t="s">
        <v>199</v>
      </c>
      <c r="S76" s="243" t="s">
        <v>216</v>
      </c>
      <c r="T76" s="262"/>
      <c r="U76" s="263"/>
      <c r="V76" s="69">
        <v>8030000</v>
      </c>
      <c r="W76" s="250"/>
      <c r="X76" s="264"/>
      <c r="Y76" s="55" t="str">
        <f t="shared" si="158"/>
        <v/>
      </c>
      <c r="Z76" s="274">
        <f t="shared" si="159"/>
        <v>8030000</v>
      </c>
      <c r="AA76" s="183" t="e">
        <f t="shared" ca="1" si="160"/>
        <v>#NAME?</v>
      </c>
      <c r="AB76" s="243" t="s">
        <v>36</v>
      </c>
      <c r="AC76" s="243" t="s">
        <v>37</v>
      </c>
      <c r="AD76" s="243" t="s">
        <v>38</v>
      </c>
      <c r="AE76" s="243" t="s">
        <v>190</v>
      </c>
      <c r="AF76" s="243" t="s">
        <v>181</v>
      </c>
      <c r="AG76" s="243" t="s">
        <v>39</v>
      </c>
      <c r="AH76" s="239" t="s">
        <v>190</v>
      </c>
      <c r="AI76" s="64"/>
      <c r="AJ76" s="279">
        <v>12840676670</v>
      </c>
      <c r="AK76" s="224" t="e">
        <f t="shared" ca="1" si="161"/>
        <v>#NAME?</v>
      </c>
      <c r="AL76" s="279">
        <v>12840676670</v>
      </c>
      <c r="AM76" s="224" t="e">
        <f t="shared" ca="1" si="162"/>
        <v>#NAME?</v>
      </c>
      <c r="AN76" s="279">
        <v>4.5999999999999999E-2</v>
      </c>
      <c r="AO76" s="185" t="e">
        <f t="shared" ca="1" si="63"/>
        <v>#NAME?</v>
      </c>
      <c r="AP76" s="185" t="s">
        <v>264</v>
      </c>
      <c r="AQ76" s="243" t="s">
        <v>181</v>
      </c>
      <c r="AR76" s="243" t="s">
        <v>181</v>
      </c>
      <c r="AS76" s="243" t="s">
        <v>42</v>
      </c>
      <c r="AT76" s="35" t="s">
        <v>39</v>
      </c>
      <c r="AU76" s="35" t="s">
        <v>39</v>
      </c>
      <c r="AV76" s="243" t="s">
        <v>227</v>
      </c>
      <c r="AW76" s="243" t="s">
        <v>190</v>
      </c>
      <c r="AX76" s="243" t="s">
        <v>227</v>
      </c>
      <c r="AY76" s="243" t="s">
        <v>227</v>
      </c>
      <c r="AZ76" s="64">
        <v>0</v>
      </c>
      <c r="BA76" s="55" t="e">
        <f t="shared" ca="1" si="163"/>
        <v>#NAME?</v>
      </c>
      <c r="BB76" s="279">
        <v>38259</v>
      </c>
      <c r="BC76" s="280">
        <v>3121096</v>
      </c>
      <c r="BD76" s="62" t="e">
        <f t="shared" ca="1" si="164"/>
        <v>#NAME?</v>
      </c>
      <c r="BE76" s="277">
        <f t="shared" si="165"/>
        <v>1.2258193916495999E-2</v>
      </c>
      <c r="BF76" s="62" t="e">
        <f t="shared" ca="1" si="166"/>
        <v>#NAME?</v>
      </c>
      <c r="BG76" s="243" t="s">
        <v>183</v>
      </c>
      <c r="BH76" s="187"/>
      <c r="BI76" s="243" t="s">
        <v>190</v>
      </c>
      <c r="BJ76" s="239">
        <v>0</v>
      </c>
      <c r="BK76" s="279">
        <v>1</v>
      </c>
      <c r="BL76" s="176" t="s">
        <v>190</v>
      </c>
      <c r="BM76" s="243" t="s">
        <v>227</v>
      </c>
      <c r="BN76" s="243" t="s">
        <v>190</v>
      </c>
      <c r="BO76" s="243" t="s">
        <v>190</v>
      </c>
      <c r="BP76" s="256">
        <v>1</v>
      </c>
      <c r="BQ76" s="256">
        <v>6</v>
      </c>
      <c r="BR76" s="256">
        <v>0</v>
      </c>
      <c r="BS76" s="256">
        <v>0</v>
      </c>
      <c r="BT76" s="204"/>
      <c r="BU76" s="256">
        <v>18</v>
      </c>
      <c r="BV76" s="256">
        <v>0</v>
      </c>
      <c r="BW76" s="256">
        <v>40</v>
      </c>
      <c r="BX76" s="243" t="s">
        <v>190</v>
      </c>
      <c r="BY76" s="204"/>
      <c r="BZ76" s="187"/>
      <c r="CA76" s="187"/>
      <c r="CB76" s="187"/>
      <c r="CC76" s="187"/>
      <c r="CD76" s="204"/>
      <c r="CE76" s="187"/>
      <c r="CF76" s="187"/>
      <c r="CG76" s="187"/>
      <c r="CH76" s="187"/>
      <c r="CI76" s="204"/>
      <c r="CJ76" s="187"/>
      <c r="CK76" s="187"/>
      <c r="CL76" s="187"/>
      <c r="CM76" s="187"/>
      <c r="CN76" s="205"/>
      <c r="CO76" s="89"/>
      <c r="CP76" s="89"/>
      <c r="CQ76" s="89"/>
      <c r="CR76" s="88"/>
      <c r="CS76" s="204"/>
      <c r="CT76" s="89"/>
      <c r="CU76" s="89"/>
      <c r="CV76" s="89"/>
      <c r="CW76" s="88"/>
      <c r="CX76" s="204"/>
      <c r="CY76" s="89"/>
      <c r="CZ76" s="89"/>
      <c r="DA76" s="89"/>
      <c r="DB76" s="88"/>
      <c r="DC76" s="204"/>
      <c r="DD76" s="89"/>
      <c r="DE76" s="89"/>
      <c r="DF76" s="89"/>
      <c r="DG76" s="88"/>
      <c r="DH76" s="204"/>
      <c r="DI76" s="89"/>
      <c r="DJ76" s="89"/>
      <c r="DK76" s="89"/>
      <c r="DL76" s="88"/>
      <c r="DM76" s="204"/>
      <c r="DN76" s="205"/>
      <c r="DO76" s="205"/>
      <c r="DQ76" s="206"/>
      <c r="DR76" s="188">
        <f t="shared" si="64"/>
        <v>18</v>
      </c>
      <c r="DS76" s="188"/>
      <c r="DT76" s="189">
        <f t="shared" si="65"/>
        <v>0</v>
      </c>
      <c r="DU76" s="189"/>
      <c r="DV76" s="188">
        <f t="shared" si="66"/>
        <v>40</v>
      </c>
      <c r="DW76" s="183" t="e">
        <f t="shared" ca="1" si="67"/>
        <v>#NAME?</v>
      </c>
      <c r="DX76" s="207"/>
      <c r="DY76" s="190" t="e">
        <f t="shared" ca="1" si="68"/>
        <v>#NAME?</v>
      </c>
      <c r="DZ76" s="191" t="str">
        <f t="shared" si="69"/>
        <v/>
      </c>
      <c r="EA76" s="191" t="str">
        <f t="shared" si="70"/>
        <v/>
      </c>
      <c r="EB76" s="191" t="str">
        <f t="shared" si="71"/>
        <v/>
      </c>
      <c r="EC76" s="208" t="e">
        <f t="shared" ca="1" si="72"/>
        <v>#NAME?</v>
      </c>
      <c r="ED76" s="36" t="str">
        <f t="shared" si="73"/>
        <v>Equity - Common</v>
      </c>
      <c r="EE76" s="193">
        <f>COUNTIF($ED$2:$ED$92, ED76)/(COUNTIF($ED$2:$ED$92, "&lt;&gt;""") - COUNTIF($ED$2:$ED$92, ""))</f>
        <v>0.32222222222222224</v>
      </c>
      <c r="EF76" s="36" t="str">
        <f t="shared" si="74"/>
        <v>Early</v>
      </c>
      <c r="EG76" s="207"/>
      <c r="EH76" s="194" t="e">
        <f t="shared" ca="1" si="75"/>
        <v>#NAME?</v>
      </c>
      <c r="EI76" s="194" t="e">
        <f t="shared" ca="1" si="76"/>
        <v>#NAME?</v>
      </c>
      <c r="EJ76" s="209" t="e">
        <f t="shared" ca="1" si="77"/>
        <v>#NAME?</v>
      </c>
      <c r="EK76" s="208" t="e">
        <f t="shared" ca="1" si="78"/>
        <v>#NAME?</v>
      </c>
      <c r="EL76" s="36" t="str">
        <f t="shared" si="79"/>
        <v>Yes</v>
      </c>
      <c r="EM76" s="207"/>
      <c r="EN76" s="192">
        <f t="shared" si="80"/>
        <v>2.7142857142857144</v>
      </c>
      <c r="EO76" s="192">
        <f t="shared" si="81"/>
        <v>1</v>
      </c>
      <c r="EP76" s="209">
        <f t="shared" si="82"/>
        <v>3.7142857142857144</v>
      </c>
      <c r="EQ76" s="210">
        <f t="shared" si="83"/>
        <v>2.3457943925233646</v>
      </c>
      <c r="ER76" s="36" t="e">
        <f t="shared" ca="1" si="84"/>
        <v>#NAME?</v>
      </c>
      <c r="ES76" s="40">
        <f ca="1">COUNTIF($ER$2:$ER$92, ER76)/(COUNTIF($ER$2:$ER$92, "&lt;&gt;""") - COUNTIF($ER$2:$ER$92, ""))</f>
        <v>1</v>
      </c>
      <c r="ET76" s="36">
        <f t="shared" si="85"/>
        <v>1</v>
      </c>
      <c r="EU76" s="40">
        <f>COUNTIF($ET$2:$ET$92, ET76)/(COUNTIF($ET$2:$ET$92, "&lt;&gt;""") - COUNTIF($ET$2:$ET$92, ""))</f>
        <v>0.45555555555555555</v>
      </c>
      <c r="EV76" s="36">
        <f t="shared" si="86"/>
        <v>6</v>
      </c>
      <c r="EW76" s="40">
        <f>COUNTIF($EV$2:$EV$92, EV76)/(COUNTIF($EV$2:$EV$92, "&lt;&gt;""") - COUNTIF($EV$2:$EV$92, ""))</f>
        <v>5.5555555555555552E-2</v>
      </c>
      <c r="EX76" s="36" t="str">
        <f t="shared" si="87"/>
        <v>No</v>
      </c>
      <c r="EY76" s="40">
        <f>COUNTIF($EX$2:$EX$92, EX76)/(COUNTIF($EX$2:$EX$92, "&lt;&gt;""") - COUNTIF($EX$2:$EX$92, ""))</f>
        <v>0.72222222222222221</v>
      </c>
      <c r="EZ76" s="36" t="str">
        <f t="shared" ref="EZ76:FB76" si="189">BM76</f>
        <v>Yes</v>
      </c>
      <c r="FA76" s="36" t="str">
        <f t="shared" si="189"/>
        <v>No</v>
      </c>
      <c r="FB76" s="36" t="str">
        <f t="shared" si="189"/>
        <v>No</v>
      </c>
      <c r="FC76" s="207"/>
      <c r="FD76" s="36" t="str">
        <f t="shared" si="89"/>
        <v>Transactional</v>
      </c>
      <c r="FE76" s="40">
        <f>COUNTIF($FD$2:$FD$92, FD76)/(COUNTIF($FD$2:$FD$92, "&lt;&gt;""") - COUNTIF($FD$2:$FD$92, ""))</f>
        <v>0.6</v>
      </c>
      <c r="FF76" s="36" t="str">
        <f t="shared" si="90"/>
        <v>B2B</v>
      </c>
      <c r="FG76" s="40">
        <f>COUNTIF($FF$2:$FF$92, FF76)/(COUNTIF($FF$2:$FF$92, "&lt;&gt;""") - COUNTIF($FF$2:$FF$92, ""))</f>
        <v>0.24444444444444444</v>
      </c>
      <c r="FH76" s="36" t="str">
        <f t="shared" si="91"/>
        <v>Low</v>
      </c>
      <c r="FI76" s="40">
        <f>COUNTIF($FH$2:$FH$92, FH76)/(COUNTIF($FH$2:$FH$92, "&lt;&gt;""") - COUNTIF($FH$2:$FH$92, ""))</f>
        <v>0.46666666666666667</v>
      </c>
      <c r="FJ76" s="36" t="str">
        <f t="shared" si="92"/>
        <v>High</v>
      </c>
      <c r="FK76" s="40">
        <f>COUNTIF($FJ$2:$FJ$92, FJ76)/(COUNTIF($FJ$2:$FJ$92, "&lt;&gt;""") - COUNTIF($FJ$2:$FJ$92, ""))</f>
        <v>0.58888888888888891</v>
      </c>
      <c r="FL76" s="207"/>
      <c r="FM76" s="192">
        <f t="shared" si="93"/>
        <v>5</v>
      </c>
      <c r="FN76" s="192" t="e">
        <f t="shared" ca="1" si="94"/>
        <v>#NAME?</v>
      </c>
      <c r="FO76" s="192" t="e">
        <f t="shared" ca="1" si="95"/>
        <v>#NAME?</v>
      </c>
      <c r="FP76" s="192" t="e">
        <f t="shared" ca="1" si="96"/>
        <v>#NAME?</v>
      </c>
      <c r="FQ76" s="209" t="e">
        <f t="shared" ca="1" si="97"/>
        <v>#NAME?</v>
      </c>
      <c r="FR76" s="208" t="e">
        <f t="shared" ca="1" si="98"/>
        <v>#NAME?</v>
      </c>
      <c r="FS76" s="36" t="str">
        <f t="shared" si="99"/>
        <v>Pre-Revenue</v>
      </c>
      <c r="FT76" s="196">
        <f>COUNTIF($FS$2:$FS$92, FS76)/(COUNTIF($FS$2:$FS$92, "&lt;&gt;""") - COUNTIF($FZ$2:$FZ$92, ""))</f>
        <v>0.2</v>
      </c>
      <c r="FU76" s="207"/>
      <c r="FV76" s="192" t="e">
        <f t="shared" ca="1" si="100"/>
        <v>#NAME?</v>
      </c>
      <c r="FW76" s="197" t="e">
        <f t="shared" ca="1" si="101"/>
        <v>#NAME?</v>
      </c>
      <c r="FX76" s="209" t="e">
        <f t="shared" ca="1" si="102"/>
        <v>#NAME?</v>
      </c>
      <c r="FY76" s="211" t="e">
        <f t="shared" ca="1" si="103"/>
        <v>#NAME?</v>
      </c>
      <c r="FZ76" s="36" t="str">
        <f t="shared" si="104"/>
        <v>No</v>
      </c>
      <c r="GA76" s="196">
        <f>COUNTIF($FZ$2:$FZ$92, FZ76)/(COUNTIF($FZ$2:$FZ$92, "&lt;&gt;""") - COUNTIF($FZ$2:$FZ$92, ""))</f>
        <v>0.76666666666666672</v>
      </c>
      <c r="GB76" s="196" t="str">
        <f t="shared" si="105"/>
        <v>High</v>
      </c>
      <c r="GC76" s="196">
        <f>COUNTIF($GB$2:$GB$92, GB76)/(COUNTIF($GB$2:$GB$92, "&lt;&gt;""") - COUNTIF($GB$2:$GB$92, ""))</f>
        <v>0.43333333333333335</v>
      </c>
      <c r="GD76" s="196" t="str">
        <f t="shared" si="106"/>
        <v>High</v>
      </c>
      <c r="GE76" s="196">
        <f>COUNTIF($GD$2:$GD$92, GD76)/(COUNTIF($GD$2:$GD$92, "&lt;&gt;""") - COUNTIF($GD$2:$GD$92, ""))</f>
        <v>0.8</v>
      </c>
      <c r="GF76" s="207"/>
      <c r="GG76" s="36"/>
      <c r="GH76" s="209" t="e">
        <f t="shared" ca="1" si="107"/>
        <v>#NAME?</v>
      </c>
      <c r="GI76" s="212" t="e">
        <f t="shared" ca="1" si="108"/>
        <v>#NAME?</v>
      </c>
    </row>
    <row r="77" spans="1:191" ht="15.75" customHeight="1">
      <c r="A77" s="174"/>
      <c r="B77" s="174" t="s">
        <v>433</v>
      </c>
      <c r="C77" s="238">
        <v>1791397</v>
      </c>
      <c r="D77" s="244" t="s">
        <v>1019</v>
      </c>
      <c r="E77" s="245">
        <v>43801.447222222225</v>
      </c>
      <c r="F77" s="239" t="s">
        <v>344</v>
      </c>
      <c r="G77" s="32" t="s">
        <v>1020</v>
      </c>
      <c r="H77" s="32" t="s">
        <v>1021</v>
      </c>
      <c r="I77" s="246">
        <v>43782</v>
      </c>
      <c r="J77" s="247" t="s">
        <v>1022</v>
      </c>
      <c r="K77" s="247" t="s">
        <v>1023</v>
      </c>
      <c r="M77" s="29" t="s">
        <v>243</v>
      </c>
      <c r="N77" s="239" t="s">
        <v>336</v>
      </c>
      <c r="O77" s="239" t="s">
        <v>173</v>
      </c>
      <c r="P77" s="239" t="s">
        <v>174</v>
      </c>
      <c r="Q77" s="239" t="s">
        <v>35</v>
      </c>
      <c r="R77" s="187"/>
      <c r="S77" s="239" t="s">
        <v>232</v>
      </c>
      <c r="T77" s="248"/>
      <c r="U77" s="249"/>
      <c r="V77" s="251">
        <v>4490000</v>
      </c>
      <c r="W77" s="250"/>
      <c r="X77" s="252"/>
      <c r="Y77" s="55" t="str">
        <f t="shared" si="158"/>
        <v/>
      </c>
      <c r="Z77" s="274">
        <f t="shared" si="159"/>
        <v>4490000</v>
      </c>
      <c r="AA77" s="183" t="e">
        <f t="shared" ca="1" si="160"/>
        <v>#NAME?</v>
      </c>
      <c r="AB77" s="239" t="s">
        <v>178</v>
      </c>
      <c r="AC77" s="239" t="s">
        <v>179</v>
      </c>
      <c r="AD77" s="239" t="s">
        <v>180</v>
      </c>
      <c r="AE77" s="239" t="s">
        <v>227</v>
      </c>
      <c r="AF77" s="239" t="s">
        <v>181</v>
      </c>
      <c r="AG77" s="239" t="s">
        <v>39</v>
      </c>
      <c r="AH77" s="239" t="s">
        <v>190</v>
      </c>
      <c r="AI77" s="251"/>
      <c r="AJ77" s="279">
        <v>13300000000</v>
      </c>
      <c r="AK77" s="224" t="e">
        <f t="shared" ca="1" si="161"/>
        <v>#NAME?</v>
      </c>
      <c r="AL77" s="279">
        <v>4000000000</v>
      </c>
      <c r="AM77" s="224" t="e">
        <f t="shared" ca="1" si="162"/>
        <v>#NAME?</v>
      </c>
      <c r="AN77" s="279">
        <v>3.5000000000000003E-2</v>
      </c>
      <c r="AO77" s="185" t="e">
        <f t="shared" ca="1" si="63"/>
        <v>#NAME?</v>
      </c>
      <c r="AP77" s="185" t="s">
        <v>228</v>
      </c>
      <c r="AQ77" s="239" t="s">
        <v>39</v>
      </c>
      <c r="AR77" s="239" t="s">
        <v>181</v>
      </c>
      <c r="AS77" s="239" t="s">
        <v>42</v>
      </c>
      <c r="AT77" s="29" t="s">
        <v>39</v>
      </c>
      <c r="AU77" s="29" t="s">
        <v>39</v>
      </c>
      <c r="AV77" s="239" t="s">
        <v>190</v>
      </c>
      <c r="AW77" s="239" t="s">
        <v>190</v>
      </c>
      <c r="AX77" s="239" t="s">
        <v>227</v>
      </c>
      <c r="AY77" s="239" t="s">
        <v>227</v>
      </c>
      <c r="AZ77" s="251">
        <v>61265</v>
      </c>
      <c r="BA77" s="55" t="e">
        <f t="shared" ca="1" si="163"/>
        <v>#NAME?</v>
      </c>
      <c r="BB77" s="279">
        <v>1030</v>
      </c>
      <c r="BC77" s="279">
        <v>234790</v>
      </c>
      <c r="BD77" s="62" t="e">
        <f t="shared" ca="1" si="164"/>
        <v>#NAME?</v>
      </c>
      <c r="BE77" s="277">
        <f t="shared" si="165"/>
        <v>4.3868989309595813E-3</v>
      </c>
      <c r="BF77" s="62" t="e">
        <f t="shared" ca="1" si="166"/>
        <v>#NAME?</v>
      </c>
      <c r="BG77" s="239" t="s">
        <v>202</v>
      </c>
      <c r="BH77" s="187"/>
      <c r="BI77" s="239" t="s">
        <v>190</v>
      </c>
      <c r="BJ77" s="239">
        <v>0</v>
      </c>
      <c r="BK77" s="279">
        <v>2</v>
      </c>
      <c r="BL77" s="176" t="s">
        <v>190</v>
      </c>
      <c r="BM77" s="239" t="s">
        <v>227</v>
      </c>
      <c r="BN77" s="239" t="s">
        <v>190</v>
      </c>
      <c r="BO77" s="239" t="s">
        <v>190</v>
      </c>
      <c r="BP77" s="238">
        <v>2</v>
      </c>
      <c r="BQ77" s="238">
        <v>4</v>
      </c>
      <c r="BR77" s="238">
        <v>0</v>
      </c>
      <c r="BS77" s="238">
        <v>0</v>
      </c>
      <c r="BT77" s="204"/>
      <c r="BU77" s="256">
        <v>5</v>
      </c>
      <c r="BV77" s="256">
        <v>0</v>
      </c>
      <c r="BW77" s="256">
        <v>38</v>
      </c>
      <c r="BX77" s="243" t="s">
        <v>190</v>
      </c>
      <c r="BY77" s="204"/>
      <c r="BZ77" s="239">
        <v>5</v>
      </c>
      <c r="CA77" s="239">
        <v>0</v>
      </c>
      <c r="CB77" s="239">
        <v>38</v>
      </c>
      <c r="CC77" s="239" t="s">
        <v>190</v>
      </c>
      <c r="CD77" s="204"/>
      <c r="CE77" s="187"/>
      <c r="CF77" s="187"/>
      <c r="CG77" s="187"/>
      <c r="CH77" s="187"/>
      <c r="CI77" s="204"/>
      <c r="CJ77" s="187"/>
      <c r="CK77" s="187"/>
      <c r="CL77" s="187"/>
      <c r="CM77" s="187"/>
      <c r="CN77" s="205"/>
      <c r="CO77" s="187"/>
      <c r="CP77" s="187"/>
      <c r="CQ77" s="187"/>
      <c r="CR77" s="187"/>
      <c r="CS77" s="204"/>
      <c r="CT77" s="187"/>
      <c r="CU77" s="187"/>
      <c r="CV77" s="187"/>
      <c r="CW77" s="187"/>
      <c r="CX77" s="204"/>
      <c r="CY77" s="187"/>
      <c r="CZ77" s="187"/>
      <c r="DA77" s="187"/>
      <c r="DB77" s="187"/>
      <c r="DC77" s="204"/>
      <c r="DD77" s="187"/>
      <c r="DE77" s="187"/>
      <c r="DF77" s="187"/>
      <c r="DG77" s="187"/>
      <c r="DH77" s="204"/>
      <c r="DI77" s="187"/>
      <c r="DJ77" s="187"/>
      <c r="DK77" s="187"/>
      <c r="DL77" s="187"/>
      <c r="DM77" s="204"/>
      <c r="DN77" s="205"/>
      <c r="DO77" s="205"/>
      <c r="DQ77" s="206"/>
      <c r="DR77" s="188">
        <f t="shared" si="64"/>
        <v>5</v>
      </c>
      <c r="DS77" s="188"/>
      <c r="DT77" s="189">
        <f t="shared" si="65"/>
        <v>0</v>
      </c>
      <c r="DU77" s="189"/>
      <c r="DV77" s="188">
        <f t="shared" si="66"/>
        <v>38</v>
      </c>
      <c r="DW77" s="183" t="e">
        <f t="shared" ca="1" si="67"/>
        <v>#NAME?</v>
      </c>
      <c r="DX77" s="207"/>
      <c r="DY77" s="190" t="e">
        <f t="shared" ca="1" si="68"/>
        <v>#NAME?</v>
      </c>
      <c r="DZ77" s="191" t="str">
        <f t="shared" ref="DZ77:DZ140" si="190">IF(X77 &lt;&gt; "", 1+((X77-MIN(discount_rates))*(4)/(MAX(discount_rates) - MIN(discount_rates))), "")</f>
        <v/>
      </c>
      <c r="EA77" s="191" t="str">
        <f t="shared" ref="EA77:EA140" si="191">IF(S77="Debt", (1+((U77-MIN(interest_rates))*(4)/(MAX(interest_rates) - MIN(interest_rates)))), "")</f>
        <v/>
      </c>
      <c r="EB77" s="191" t="str">
        <f t="shared" ref="EB77:EB140" si="192">IF(OR(S77="Revenue Share", S77="Profit Share"), (1+((T77-MIN(return_mutiples))*(4)/(MAX(return_mutiples) - MIN(return_mutiples)))), "")</f>
        <v/>
      </c>
      <c r="EC77" s="208" t="e">
        <f t="shared" ca="1" si="72"/>
        <v>#NAME?</v>
      </c>
      <c r="ED77" s="36" t="str">
        <f t="shared" si="73"/>
        <v>Equity - Preferred</v>
      </c>
      <c r="EE77" s="193">
        <f>COUNTIF($ED$2:$ED$92, ED77)/(COUNTIF($ED$2:$ED$92, "&lt;&gt;""") - COUNTIF($ED$2:$ED$92, ""))</f>
        <v>6.6666666666666666E-2</v>
      </c>
      <c r="EF77" s="36" t="str">
        <f t="shared" si="74"/>
        <v>Growth</v>
      </c>
      <c r="EG77" s="207"/>
      <c r="EH77" s="194" t="e">
        <f t="shared" ca="1" si="75"/>
        <v>#NAME?</v>
      </c>
      <c r="EI77" s="194" t="e">
        <f t="shared" ca="1" si="76"/>
        <v>#NAME?</v>
      </c>
      <c r="EJ77" s="209" t="e">
        <f t="shared" ca="1" si="77"/>
        <v>#NAME?</v>
      </c>
      <c r="EK77" s="208" t="e">
        <f t="shared" ref="EK77:EK140" ca="1" si="193">1+((EJ77-MIN(market_ratings_sums))*(4)/(MAX(market_ratings_sums) - MIN(market_ratings_sums)))</f>
        <v>#NAME?</v>
      </c>
      <c r="EL77" s="36" t="str">
        <f t="shared" si="79"/>
        <v>No</v>
      </c>
      <c r="EM77" s="207"/>
      <c r="EN77" s="192">
        <f t="shared" ref="EN77:EN140" si="194">1+((DR77-MIN(industry_experiences))*(4)/(MAX(industry_experiences) - MIN(industry_experiences)))</f>
        <v>1.4761904761904763</v>
      </c>
      <c r="EO77" s="192">
        <f t="shared" ref="EO77:EO140" si="195">1+((DT77-MIN(exits))*(4)/(MAX(exits) - MIN(exits)))</f>
        <v>1</v>
      </c>
      <c r="EP77" s="209">
        <f t="shared" si="82"/>
        <v>2.4761904761904763</v>
      </c>
      <c r="EQ77" s="210">
        <f t="shared" ref="EQ77:EQ140" si="196">1+((EP77-MIN(team_ratings_sums))*(4)/(MAX(team_ratings_sums) - MIN(team_ratings_sums)))</f>
        <v>1.3738317757009346</v>
      </c>
      <c r="ER77" s="36" t="e">
        <f t="shared" ca="1" si="84"/>
        <v>#NAME?</v>
      </c>
      <c r="ES77" s="40">
        <f ca="1">COUNTIF($ER$2:$ER$92, ER77)/(COUNTIF($ER$2:$ER$92, "&lt;&gt;""") - COUNTIF($ER$2:$ER$92, ""))</f>
        <v>1</v>
      </c>
      <c r="ET77" s="36">
        <f t="shared" si="85"/>
        <v>2</v>
      </c>
      <c r="EU77" s="40">
        <f>COUNTIF($ET$2:$ET$92, ET77)/(COUNTIF($ET$2:$ET$92, "&lt;&gt;""") - COUNTIF($ET$2:$ET$92, ""))</f>
        <v>0.45555555555555555</v>
      </c>
      <c r="EV77" s="36">
        <f t="shared" si="86"/>
        <v>4</v>
      </c>
      <c r="EW77" s="40">
        <f>COUNTIF($EV$2:$EV$92, EV77)/(COUNTIF($EV$2:$EV$92, "&lt;&gt;""") - COUNTIF($EV$2:$EV$92, ""))</f>
        <v>0.12222222222222222</v>
      </c>
      <c r="EX77" s="36" t="str">
        <f t="shared" si="87"/>
        <v>No</v>
      </c>
      <c r="EY77" s="40">
        <f>COUNTIF($EX$2:$EX$92, EX77)/(COUNTIF($EX$2:$EX$92, "&lt;&gt;""") - COUNTIF($EX$2:$EX$92, ""))</f>
        <v>0.72222222222222221</v>
      </c>
      <c r="EZ77" s="36" t="str">
        <f t="shared" ref="EZ77:FB77" si="197">BM77</f>
        <v>Yes</v>
      </c>
      <c r="FA77" s="36" t="str">
        <f t="shared" si="197"/>
        <v>No</v>
      </c>
      <c r="FB77" s="36" t="str">
        <f t="shared" si="197"/>
        <v>No</v>
      </c>
      <c r="FC77" s="207"/>
      <c r="FD77" s="36" t="str">
        <f t="shared" si="89"/>
        <v>Recurring</v>
      </c>
      <c r="FE77" s="40">
        <f>COUNTIF($FD$2:$FD$92, FD77)/(COUNTIF($FD$2:$FD$92, "&lt;&gt;""") - COUNTIF($FD$2:$FD$92, ""))</f>
        <v>0.4</v>
      </c>
      <c r="FF77" s="36" t="str">
        <f t="shared" si="90"/>
        <v>B2C</v>
      </c>
      <c r="FG77" s="40">
        <f>COUNTIF($FF$2:$FF$92, FF77)/(COUNTIF($FF$2:$FF$92, "&lt;&gt;""") - COUNTIF($FF$2:$FF$92, ""))</f>
        <v>0.41111111111111109</v>
      </c>
      <c r="FH77" s="36" t="str">
        <f t="shared" si="91"/>
        <v>Low</v>
      </c>
      <c r="FI77" s="40">
        <f>COUNTIF($FH$2:$FH$92, FH77)/(COUNTIF($FH$2:$FH$92, "&lt;&gt;""") - COUNTIF($FH$2:$FH$92, ""))</f>
        <v>0.46666666666666667</v>
      </c>
      <c r="FJ77" s="36" t="str">
        <f t="shared" si="92"/>
        <v>High</v>
      </c>
      <c r="FK77" s="40">
        <f>COUNTIF($FJ$2:$FJ$92, FJ77)/(COUNTIF($FJ$2:$FJ$92, "&lt;&gt;""") - COUNTIF($FJ$2:$FJ$92, ""))</f>
        <v>0.58888888888888891</v>
      </c>
      <c r="FL77" s="207"/>
      <c r="FM77" s="192">
        <f t="shared" si="93"/>
        <v>5</v>
      </c>
      <c r="FN77" s="192" t="e">
        <f t="shared" ca="1" si="94"/>
        <v>#NAME?</v>
      </c>
      <c r="FO77" s="192" t="e">
        <f t="shared" ca="1" si="95"/>
        <v>#NAME?</v>
      </c>
      <c r="FP77" s="192" t="e">
        <f t="shared" ca="1" si="96"/>
        <v>#NAME?</v>
      </c>
      <c r="FQ77" s="209" t="e">
        <f t="shared" ca="1" si="97"/>
        <v>#NAME?</v>
      </c>
      <c r="FR77" s="208" t="e">
        <f t="shared" ref="FR77:FR140" ca="1" si="198">1+((FQ77-MIN(performance_ratings_sums))*(4)/(MAX(performance_ratings_sums) - MIN(performance_ratings_sums)))</f>
        <v>#NAME?</v>
      </c>
      <c r="FS77" s="36" t="str">
        <f t="shared" si="99"/>
        <v>Pre-Profit</v>
      </c>
      <c r="FT77" s="196">
        <f>COUNTIF($FS$2:$FS$92, FS77)/(COUNTIF($FS$2:$FS$92, "&lt;&gt;""") - COUNTIF($FZ$2:$FZ$92, ""))</f>
        <v>0.51111111111111107</v>
      </c>
      <c r="FU77" s="207"/>
      <c r="FV77" s="192">
        <f t="shared" si="100"/>
        <v>3</v>
      </c>
      <c r="FW77" s="197" t="e">
        <f t="shared" ca="1" si="101"/>
        <v>#NAME?</v>
      </c>
      <c r="FX77" s="209" t="e">
        <f t="shared" ca="1" si="102"/>
        <v>#NAME?</v>
      </c>
      <c r="FY77" s="211" t="e">
        <f t="shared" ref="FY77:FY140" ca="1" si="199">1+((FX77-MIN(diffrentiation_sums))*(4)/(MAX(diffrentiation_sums) - MIN(diffrentiation_sums)))</f>
        <v>#NAME?</v>
      </c>
      <c r="FZ77" s="36" t="str">
        <f t="shared" si="104"/>
        <v>No</v>
      </c>
      <c r="GA77" s="196">
        <f>COUNTIF($FZ$2:$FZ$92, FZ77)/(COUNTIF($FZ$2:$FZ$92, "&lt;&gt;""") - COUNTIF($FZ$2:$FZ$92, ""))</f>
        <v>0.76666666666666672</v>
      </c>
      <c r="GB77" s="196" t="str">
        <f t="shared" si="105"/>
        <v>High</v>
      </c>
      <c r="GC77" s="196">
        <f>COUNTIF($GB$2:$GB$92, GB77)/(COUNTIF($GB$2:$GB$92, "&lt;&gt;""") - COUNTIF($GB$2:$GB$92, ""))</f>
        <v>0.43333333333333335</v>
      </c>
      <c r="GD77" s="196" t="str">
        <f t="shared" si="106"/>
        <v>High</v>
      </c>
      <c r="GE77" s="196">
        <f>COUNTIF($GD$2:$GD$92, GD77)/(COUNTIF($GD$2:$GD$92, "&lt;&gt;""") - COUNTIF($GD$2:$GD$92, ""))</f>
        <v>0.8</v>
      </c>
      <c r="GF77" s="207"/>
      <c r="GG77" s="36"/>
      <c r="GH77" s="209" t="e">
        <f t="shared" ca="1" si="107"/>
        <v>#NAME?</v>
      </c>
      <c r="GI77" s="212" t="e">
        <f t="shared" ref="GI77:GI140" ca="1" si="200">1+((GH77-MIN(ratings_sums))*(4)/(MAX(ratings_sums) - MIN(ratings_sums)))</f>
        <v>#NAME?</v>
      </c>
    </row>
    <row r="78" spans="1:191" ht="15.75" customHeight="1">
      <c r="A78" s="174"/>
      <c r="B78" s="174" t="s">
        <v>433</v>
      </c>
      <c r="C78" s="238">
        <v>1791127</v>
      </c>
      <c r="D78" s="244" t="s">
        <v>1024</v>
      </c>
      <c r="E78" s="245">
        <v>43802.444444444445</v>
      </c>
      <c r="F78" s="239" t="s">
        <v>337</v>
      </c>
      <c r="G78" s="32" t="s">
        <v>1025</v>
      </c>
      <c r="H78" s="32" t="s">
        <v>1026</v>
      </c>
      <c r="I78" s="246">
        <v>43801</v>
      </c>
      <c r="J78" s="247" t="s">
        <v>1027</v>
      </c>
      <c r="K78" s="247" t="s">
        <v>1027</v>
      </c>
      <c r="M78" s="239" t="s">
        <v>28</v>
      </c>
      <c r="N78" s="239" t="s">
        <v>168</v>
      </c>
      <c r="O78" s="239" t="s">
        <v>173</v>
      </c>
      <c r="P78" s="239" t="s">
        <v>197</v>
      </c>
      <c r="Q78" s="239" t="s">
        <v>35</v>
      </c>
      <c r="R78" s="239"/>
      <c r="S78" s="239" t="s">
        <v>216</v>
      </c>
      <c r="T78" s="248"/>
      <c r="U78" s="249"/>
      <c r="V78" s="251">
        <v>3010000</v>
      </c>
      <c r="W78" s="250"/>
      <c r="X78" s="252"/>
      <c r="Y78" s="55" t="str">
        <f t="shared" si="158"/>
        <v/>
      </c>
      <c r="Z78" s="274">
        <f t="shared" si="159"/>
        <v>3010000</v>
      </c>
      <c r="AA78" s="183" t="e">
        <f t="shared" ca="1" si="160"/>
        <v>#NAME?</v>
      </c>
      <c r="AB78" s="239" t="s">
        <v>36</v>
      </c>
      <c r="AC78" s="239" t="s">
        <v>218</v>
      </c>
      <c r="AD78" s="239" t="s">
        <v>38</v>
      </c>
      <c r="AE78" s="239" t="s">
        <v>190</v>
      </c>
      <c r="AF78" s="239" t="s">
        <v>181</v>
      </c>
      <c r="AG78" s="239" t="s">
        <v>39</v>
      </c>
      <c r="AH78" s="239" t="s">
        <v>190</v>
      </c>
      <c r="AI78" s="251"/>
      <c r="AJ78" s="279">
        <v>114200000000</v>
      </c>
      <c r="AK78" s="224" t="e">
        <f t="shared" ca="1" si="161"/>
        <v>#NAME?</v>
      </c>
      <c r="AL78" s="279">
        <v>27600000000</v>
      </c>
      <c r="AM78" s="224" t="e">
        <f t="shared" ca="1" si="162"/>
        <v>#NAME?</v>
      </c>
      <c r="AN78" s="279">
        <v>7.0000000000000007E-2</v>
      </c>
      <c r="AO78" s="185" t="e">
        <f t="shared" ca="1" si="63"/>
        <v>#NAME?</v>
      </c>
      <c r="AP78" s="185" t="s">
        <v>264</v>
      </c>
      <c r="AQ78" s="239" t="s">
        <v>181</v>
      </c>
      <c r="AR78" s="239" t="s">
        <v>181</v>
      </c>
      <c r="AS78" s="239" t="s">
        <v>42</v>
      </c>
      <c r="AT78" s="29" t="s">
        <v>181</v>
      </c>
      <c r="AU78" s="29" t="s">
        <v>39</v>
      </c>
      <c r="AV78" s="239" t="s">
        <v>190</v>
      </c>
      <c r="AW78" s="239" t="s">
        <v>190</v>
      </c>
      <c r="AX78" s="239" t="s">
        <v>227</v>
      </c>
      <c r="AY78" s="239" t="s">
        <v>227</v>
      </c>
      <c r="AZ78" s="251">
        <v>369422</v>
      </c>
      <c r="BA78" s="55" t="e">
        <f t="shared" ca="1" si="163"/>
        <v>#NAME?</v>
      </c>
      <c r="BB78" s="279">
        <v>6427</v>
      </c>
      <c r="BC78" s="279">
        <v>0</v>
      </c>
      <c r="BD78" s="62" t="e">
        <f t="shared" ca="1" si="164"/>
        <v>#NAME?</v>
      </c>
      <c r="BE78" s="277">
        <f t="shared" si="165"/>
        <v>1</v>
      </c>
      <c r="BF78" s="62" t="e">
        <f t="shared" ca="1" si="166"/>
        <v>#NAME?</v>
      </c>
      <c r="BG78" s="239" t="s">
        <v>202</v>
      </c>
      <c r="BH78" s="187"/>
      <c r="BI78" s="239" t="s">
        <v>190</v>
      </c>
      <c r="BJ78" s="239">
        <v>0</v>
      </c>
      <c r="BK78" s="279">
        <v>1</v>
      </c>
      <c r="BL78" s="176" t="s">
        <v>190</v>
      </c>
      <c r="BM78" s="239" t="s">
        <v>190</v>
      </c>
      <c r="BN78" s="239" t="s">
        <v>190</v>
      </c>
      <c r="BO78" s="239" t="s">
        <v>190</v>
      </c>
      <c r="BP78" s="238">
        <v>2</v>
      </c>
      <c r="BQ78" s="238">
        <v>5</v>
      </c>
      <c r="BR78" s="238">
        <v>0</v>
      </c>
      <c r="BS78" s="238">
        <v>0</v>
      </c>
      <c r="BT78" s="204"/>
      <c r="BU78" s="256">
        <v>5</v>
      </c>
      <c r="BV78" s="256">
        <v>0</v>
      </c>
      <c r="BW78" s="256">
        <v>75</v>
      </c>
      <c r="BX78" s="243" t="s">
        <v>190</v>
      </c>
      <c r="BY78" s="204"/>
      <c r="BZ78" s="187"/>
      <c r="CA78" s="187"/>
      <c r="CB78" s="187"/>
      <c r="CC78" s="187"/>
      <c r="CD78" s="204"/>
      <c r="CE78" s="187"/>
      <c r="CF78" s="187"/>
      <c r="CG78" s="187"/>
      <c r="CH78" s="187"/>
      <c r="CI78" s="204"/>
      <c r="CJ78" s="187"/>
      <c r="CK78" s="187"/>
      <c r="CL78" s="187"/>
      <c r="CM78" s="187"/>
      <c r="CN78" s="205"/>
      <c r="CO78" s="187"/>
      <c r="CP78" s="187"/>
      <c r="CQ78" s="187"/>
      <c r="CR78" s="187"/>
      <c r="CS78" s="204"/>
      <c r="CT78" s="187"/>
      <c r="CU78" s="187"/>
      <c r="CV78" s="187"/>
      <c r="CW78" s="187"/>
      <c r="CX78" s="204"/>
      <c r="CY78" s="187"/>
      <c r="CZ78" s="187"/>
      <c r="DA78" s="187"/>
      <c r="DB78" s="187"/>
      <c r="DC78" s="204"/>
      <c r="DD78" s="187"/>
      <c r="DE78" s="187"/>
      <c r="DF78" s="187"/>
      <c r="DG78" s="187"/>
      <c r="DH78" s="204"/>
      <c r="DI78" s="187"/>
      <c r="DJ78" s="187"/>
      <c r="DK78" s="187"/>
      <c r="DL78" s="187"/>
      <c r="DM78" s="204"/>
      <c r="DN78" s="205"/>
      <c r="DO78" s="205"/>
      <c r="DQ78" s="206"/>
      <c r="DR78" s="188">
        <f t="shared" si="64"/>
        <v>5</v>
      </c>
      <c r="DS78" s="188"/>
      <c r="DT78" s="189">
        <f t="shared" si="65"/>
        <v>0</v>
      </c>
      <c r="DU78" s="189"/>
      <c r="DV78" s="188">
        <f t="shared" si="66"/>
        <v>75</v>
      </c>
      <c r="DW78" s="183" t="e">
        <f t="shared" ca="1" si="67"/>
        <v>#NAME?</v>
      </c>
      <c r="DX78" s="207"/>
      <c r="DY78" s="190" t="e">
        <f t="shared" ca="1" si="68"/>
        <v>#NAME?</v>
      </c>
      <c r="DZ78" s="191" t="str">
        <f t="shared" si="190"/>
        <v/>
      </c>
      <c r="EA78" s="191" t="str">
        <f t="shared" si="191"/>
        <v/>
      </c>
      <c r="EB78" s="191" t="str">
        <f t="shared" si="192"/>
        <v/>
      </c>
      <c r="EC78" s="208" t="e">
        <f t="shared" ca="1" si="72"/>
        <v>#NAME?</v>
      </c>
      <c r="ED78" s="36" t="str">
        <f t="shared" si="73"/>
        <v>Equity - Common</v>
      </c>
      <c r="EE78" s="193">
        <f>COUNTIF($ED$2:$ED$92, ED78)/(COUNTIF($ED$2:$ED$92, "&lt;&gt;""") - COUNTIF($ED$2:$ED$92, ""))</f>
        <v>0.32222222222222224</v>
      </c>
      <c r="EF78" s="36" t="str">
        <f t="shared" si="74"/>
        <v>Growth</v>
      </c>
      <c r="EG78" s="207"/>
      <c r="EH78" s="194" t="e">
        <f t="shared" ca="1" si="75"/>
        <v>#NAME?</v>
      </c>
      <c r="EI78" s="194" t="e">
        <f t="shared" ca="1" si="76"/>
        <v>#NAME?</v>
      </c>
      <c r="EJ78" s="209" t="e">
        <f t="shared" ca="1" si="77"/>
        <v>#NAME?</v>
      </c>
      <c r="EK78" s="208" t="e">
        <f t="shared" ca="1" si="193"/>
        <v>#NAME?</v>
      </c>
      <c r="EL78" s="36" t="str">
        <f t="shared" si="79"/>
        <v>No</v>
      </c>
      <c r="EM78" s="207"/>
      <c r="EN78" s="192">
        <f t="shared" si="194"/>
        <v>1.4761904761904763</v>
      </c>
      <c r="EO78" s="192">
        <f t="shared" si="195"/>
        <v>1</v>
      </c>
      <c r="EP78" s="209">
        <f t="shared" si="82"/>
        <v>2.4761904761904763</v>
      </c>
      <c r="EQ78" s="210">
        <f t="shared" si="196"/>
        <v>1.3738317757009346</v>
      </c>
      <c r="ER78" s="36" t="e">
        <f t="shared" ca="1" si="84"/>
        <v>#NAME?</v>
      </c>
      <c r="ES78" s="40">
        <f ca="1">COUNTIF($ER$2:$ER$92, ER78)/(COUNTIF($ER$2:$ER$92, "&lt;&gt;""") - COUNTIF($ER$2:$ER$92, ""))</f>
        <v>1</v>
      </c>
      <c r="ET78" s="36">
        <f t="shared" si="85"/>
        <v>1</v>
      </c>
      <c r="EU78" s="40">
        <f>COUNTIF($ET$2:$ET$92, ET78)/(COUNTIF($ET$2:$ET$92, "&lt;&gt;""") - COUNTIF($ET$2:$ET$92, ""))</f>
        <v>0.45555555555555555</v>
      </c>
      <c r="EV78" s="36">
        <f t="shared" si="86"/>
        <v>5</v>
      </c>
      <c r="EW78" s="40">
        <f>COUNTIF($EV$2:$EV$92, EV78)/(COUNTIF($EV$2:$EV$92, "&lt;&gt;""") - COUNTIF($EV$2:$EV$92, ""))</f>
        <v>0.13333333333333333</v>
      </c>
      <c r="EX78" s="36" t="str">
        <f t="shared" si="87"/>
        <v>No</v>
      </c>
      <c r="EY78" s="40">
        <f>COUNTIF($EX$2:$EX$92, EX78)/(COUNTIF($EX$2:$EX$92, "&lt;&gt;""") - COUNTIF($EX$2:$EX$92, ""))</f>
        <v>0.72222222222222221</v>
      </c>
      <c r="EZ78" s="36" t="str">
        <f t="shared" ref="EZ78:FB78" si="201">BM78</f>
        <v>No</v>
      </c>
      <c r="FA78" s="36" t="str">
        <f t="shared" si="201"/>
        <v>No</v>
      </c>
      <c r="FB78" s="36" t="str">
        <f t="shared" si="201"/>
        <v>No</v>
      </c>
      <c r="FC78" s="207"/>
      <c r="FD78" s="36" t="str">
        <f t="shared" si="89"/>
        <v>Transactional</v>
      </c>
      <c r="FE78" s="40">
        <f>COUNTIF($FD$2:$FD$92, FD78)/(COUNTIF($FD$2:$FD$92, "&lt;&gt;""") - COUNTIF($FD$2:$FD$92, ""))</f>
        <v>0.6</v>
      </c>
      <c r="FF78" s="36" t="str">
        <f t="shared" si="90"/>
        <v>B2B/B2C</v>
      </c>
      <c r="FG78" s="40">
        <f>COUNTIF($FF$2:$FF$92, FF78)/(COUNTIF($FF$2:$FF$92, "&lt;&gt;""") - COUNTIF($FF$2:$FF$92, ""))</f>
        <v>0.27777777777777779</v>
      </c>
      <c r="FH78" s="36" t="str">
        <f t="shared" si="91"/>
        <v>Low</v>
      </c>
      <c r="FI78" s="40">
        <f>COUNTIF($FH$2:$FH$92, FH78)/(COUNTIF($FH$2:$FH$92, "&lt;&gt;""") - COUNTIF($FH$2:$FH$92, ""))</f>
        <v>0.46666666666666667</v>
      </c>
      <c r="FJ78" s="36" t="str">
        <f t="shared" si="92"/>
        <v>High</v>
      </c>
      <c r="FK78" s="40">
        <f>COUNTIF($FJ$2:$FJ$92, FJ78)/(COUNTIF($FJ$2:$FJ$92, "&lt;&gt;""") - COUNTIF($FJ$2:$FJ$92, ""))</f>
        <v>0.58888888888888891</v>
      </c>
      <c r="FL78" s="207"/>
      <c r="FM78" s="192">
        <f t="shared" si="93"/>
        <v>5</v>
      </c>
      <c r="FN78" s="192" t="e">
        <f t="shared" ca="1" si="94"/>
        <v>#NAME?</v>
      </c>
      <c r="FO78" s="192" t="e">
        <f t="shared" ca="1" si="95"/>
        <v>#NAME?</v>
      </c>
      <c r="FP78" s="192" t="e">
        <f t="shared" ca="1" si="96"/>
        <v>#NAME?</v>
      </c>
      <c r="FQ78" s="209" t="e">
        <f t="shared" ca="1" si="97"/>
        <v>#NAME?</v>
      </c>
      <c r="FR78" s="208" t="e">
        <f t="shared" ca="1" si="198"/>
        <v>#NAME?</v>
      </c>
      <c r="FS78" s="36" t="str">
        <f t="shared" si="99"/>
        <v>Pre-Profit</v>
      </c>
      <c r="FT78" s="196">
        <f>COUNTIF($FS$2:$FS$92, FS78)/(COUNTIF($FS$2:$FS$92, "&lt;&gt;""") - COUNTIF($FZ$2:$FZ$92, ""))</f>
        <v>0.51111111111111107</v>
      </c>
      <c r="FU78" s="207"/>
      <c r="FV78" s="192" t="e">
        <f t="shared" ca="1" si="100"/>
        <v>#NAME?</v>
      </c>
      <c r="FW78" s="197" t="e">
        <f t="shared" ca="1" si="101"/>
        <v>#NAME?</v>
      </c>
      <c r="FX78" s="209" t="e">
        <f t="shared" ca="1" si="102"/>
        <v>#NAME?</v>
      </c>
      <c r="FY78" s="211" t="e">
        <f t="shared" ca="1" si="199"/>
        <v>#NAME?</v>
      </c>
      <c r="FZ78" s="36" t="str">
        <f t="shared" si="104"/>
        <v>No</v>
      </c>
      <c r="GA78" s="196">
        <f>COUNTIF($FZ$2:$FZ$92, FZ78)/(COUNTIF($FZ$2:$FZ$92, "&lt;&gt;""") - COUNTIF($FZ$2:$FZ$92, ""))</f>
        <v>0.76666666666666672</v>
      </c>
      <c r="GB78" s="196" t="str">
        <f t="shared" si="105"/>
        <v>Low</v>
      </c>
      <c r="GC78" s="196">
        <f>COUNTIF($GB$2:$GB$92, GB78)/(COUNTIF($GB$2:$GB$92, "&lt;&gt;""") - COUNTIF($GB$2:$GB$92, ""))</f>
        <v>0.55555555555555558</v>
      </c>
      <c r="GD78" s="196" t="str">
        <f t="shared" si="106"/>
        <v>High</v>
      </c>
      <c r="GE78" s="196">
        <f>COUNTIF($GD$2:$GD$92, GD78)/(COUNTIF($GD$2:$GD$92, "&lt;&gt;""") - COUNTIF($GD$2:$GD$92, ""))</f>
        <v>0.8</v>
      </c>
      <c r="GF78" s="207"/>
      <c r="GG78" s="36"/>
      <c r="GH78" s="209" t="e">
        <f t="shared" ca="1" si="107"/>
        <v>#NAME?</v>
      </c>
      <c r="GI78" s="212" t="e">
        <f t="shared" ca="1" si="200"/>
        <v>#NAME?</v>
      </c>
    </row>
    <row r="79" spans="1:191" ht="15.75" customHeight="1">
      <c r="A79" s="174"/>
      <c r="B79" s="174" t="s">
        <v>433</v>
      </c>
      <c r="C79" s="238">
        <v>1792508</v>
      </c>
      <c r="D79" s="244" t="s">
        <v>1028</v>
      </c>
      <c r="E79" s="254">
        <v>43804.37222222222</v>
      </c>
      <c r="F79" s="239" t="s">
        <v>329</v>
      </c>
      <c r="G79" s="32" t="s">
        <v>1029</v>
      </c>
      <c r="H79" s="32" t="s">
        <v>1030</v>
      </c>
      <c r="I79" s="255">
        <v>43789</v>
      </c>
      <c r="J79" s="247" t="s">
        <v>1031</v>
      </c>
      <c r="K79" s="247" t="s">
        <v>1028</v>
      </c>
      <c r="M79" s="239" t="s">
        <v>1032</v>
      </c>
      <c r="N79" s="239" t="s">
        <v>278</v>
      </c>
      <c r="O79" s="239" t="s">
        <v>30</v>
      </c>
      <c r="P79" s="239" t="s">
        <v>174</v>
      </c>
      <c r="Q79" s="239" t="s">
        <v>35</v>
      </c>
      <c r="R79" s="187"/>
      <c r="S79" s="239" t="s">
        <v>269</v>
      </c>
      <c r="T79" s="248"/>
      <c r="U79" s="249"/>
      <c r="V79" s="251"/>
      <c r="W79" s="69">
        <v>19800000</v>
      </c>
      <c r="X79" s="252">
        <v>0</v>
      </c>
      <c r="Y79" s="55">
        <f t="shared" si="158"/>
        <v>19800000</v>
      </c>
      <c r="Z79" s="274">
        <f t="shared" si="159"/>
        <v>19800000</v>
      </c>
      <c r="AA79" s="183" t="e">
        <f t="shared" ca="1" si="160"/>
        <v>#NAME?</v>
      </c>
      <c r="AB79" s="239" t="s">
        <v>178</v>
      </c>
      <c r="AC79" s="239" t="s">
        <v>218</v>
      </c>
      <c r="AD79" s="239" t="s">
        <v>180</v>
      </c>
      <c r="AE79" s="239" t="s">
        <v>227</v>
      </c>
      <c r="AF79" s="239" t="s">
        <v>181</v>
      </c>
      <c r="AG79" s="239" t="s">
        <v>181</v>
      </c>
      <c r="AH79" s="239" t="s">
        <v>190</v>
      </c>
      <c r="AI79" s="251"/>
      <c r="AJ79" s="279">
        <v>43800000000</v>
      </c>
      <c r="AK79" s="224" t="e">
        <f t="shared" ca="1" si="161"/>
        <v>#NAME?</v>
      </c>
      <c r="AL79" s="279">
        <v>43800000000</v>
      </c>
      <c r="AM79" s="224" t="e">
        <f t="shared" ca="1" si="162"/>
        <v>#NAME?</v>
      </c>
      <c r="AN79" s="279">
        <v>0.01</v>
      </c>
      <c r="AO79" s="185" t="e">
        <f t="shared" ca="1" si="63"/>
        <v>#NAME?</v>
      </c>
      <c r="AP79" s="185" t="s">
        <v>264</v>
      </c>
      <c r="AQ79" s="239" t="s">
        <v>181</v>
      </c>
      <c r="AR79" s="239" t="s">
        <v>181</v>
      </c>
      <c r="AS79" s="239" t="s">
        <v>42</v>
      </c>
      <c r="AT79" s="29" t="s">
        <v>39</v>
      </c>
      <c r="AU79" s="29" t="s">
        <v>39</v>
      </c>
      <c r="AV79" s="239" t="s">
        <v>190</v>
      </c>
      <c r="AW79" s="239" t="s">
        <v>190</v>
      </c>
      <c r="AX79" s="239" t="s">
        <v>227</v>
      </c>
      <c r="AY79" s="239" t="s">
        <v>190</v>
      </c>
      <c r="AZ79" s="251">
        <v>0</v>
      </c>
      <c r="BA79" s="55" t="e">
        <f t="shared" ca="1" si="163"/>
        <v>#NAME?</v>
      </c>
      <c r="BB79" s="279">
        <v>26484</v>
      </c>
      <c r="BC79" s="279">
        <v>0</v>
      </c>
      <c r="BD79" s="62" t="e">
        <f t="shared" ca="1" si="164"/>
        <v>#NAME?</v>
      </c>
      <c r="BE79" s="277">
        <f t="shared" si="165"/>
        <v>1</v>
      </c>
      <c r="BF79" s="62" t="e">
        <f t="shared" ca="1" si="166"/>
        <v>#NAME?</v>
      </c>
      <c r="BG79" s="239" t="s">
        <v>183</v>
      </c>
      <c r="BH79" s="187"/>
      <c r="BI79" s="239" t="s">
        <v>190</v>
      </c>
      <c r="BJ79" s="238">
        <v>0</v>
      </c>
      <c r="BK79" s="279">
        <v>2</v>
      </c>
      <c r="BL79" s="239" t="s">
        <v>227</v>
      </c>
      <c r="BM79" s="239" t="s">
        <v>190</v>
      </c>
      <c r="BN79" s="239" t="s">
        <v>190</v>
      </c>
      <c r="BO79" s="239" t="s">
        <v>190</v>
      </c>
      <c r="BP79" s="238">
        <v>2</v>
      </c>
      <c r="BQ79" s="238">
        <v>3</v>
      </c>
      <c r="BR79" s="238">
        <v>1</v>
      </c>
      <c r="BS79" s="238">
        <v>4</v>
      </c>
      <c r="BT79" s="204"/>
      <c r="BU79" s="256">
        <v>3</v>
      </c>
      <c r="BV79" s="256">
        <v>0</v>
      </c>
      <c r="BW79" s="256">
        <v>25</v>
      </c>
      <c r="BX79" s="243" t="s">
        <v>190</v>
      </c>
      <c r="BY79" s="204"/>
      <c r="BZ79" s="239">
        <v>2</v>
      </c>
      <c r="CA79" s="239">
        <v>0</v>
      </c>
      <c r="CB79" s="239">
        <v>36</v>
      </c>
      <c r="CC79" s="239" t="s">
        <v>227</v>
      </c>
      <c r="CD79" s="204"/>
      <c r="CE79" s="187"/>
      <c r="CF79" s="187"/>
      <c r="CG79" s="187"/>
      <c r="CH79" s="187"/>
      <c r="CI79" s="204"/>
      <c r="CJ79" s="187"/>
      <c r="CK79" s="187"/>
      <c r="CL79" s="187"/>
      <c r="CM79" s="187"/>
      <c r="CN79" s="205"/>
      <c r="CO79" s="187"/>
      <c r="CP79" s="187"/>
      <c r="CQ79" s="187"/>
      <c r="CR79" s="187"/>
      <c r="CS79" s="204"/>
      <c r="CT79" s="187"/>
      <c r="CU79" s="187"/>
      <c r="CV79" s="187"/>
      <c r="CW79" s="187"/>
      <c r="CX79" s="204"/>
      <c r="CY79" s="187"/>
      <c r="CZ79" s="187"/>
      <c r="DA79" s="187"/>
      <c r="DB79" s="187"/>
      <c r="DC79" s="204"/>
      <c r="DD79" s="187"/>
      <c r="DE79" s="187"/>
      <c r="DF79" s="187"/>
      <c r="DG79" s="187"/>
      <c r="DH79" s="204"/>
      <c r="DI79" s="187"/>
      <c r="DJ79" s="187"/>
      <c r="DK79" s="187"/>
      <c r="DL79" s="187"/>
      <c r="DM79" s="204"/>
      <c r="DN79" s="205"/>
      <c r="DO79" s="205"/>
      <c r="DQ79" s="206"/>
      <c r="DR79" s="188">
        <f t="shared" si="64"/>
        <v>2.5</v>
      </c>
      <c r="DS79" s="188"/>
      <c r="DT79" s="189">
        <f t="shared" si="65"/>
        <v>0</v>
      </c>
      <c r="DU79" s="189"/>
      <c r="DV79" s="188">
        <f t="shared" si="66"/>
        <v>30.5</v>
      </c>
      <c r="DW79" s="183" t="e">
        <f t="shared" ca="1" si="67"/>
        <v>#NAME?</v>
      </c>
      <c r="DX79" s="207"/>
      <c r="DY79" s="190" t="e">
        <f t="shared" ca="1" si="68"/>
        <v>#NAME?</v>
      </c>
      <c r="DZ79" s="191">
        <f t="shared" si="190"/>
        <v>1</v>
      </c>
      <c r="EA79" s="191" t="str">
        <f t="shared" si="191"/>
        <v/>
      </c>
      <c r="EB79" s="191" t="str">
        <f t="shared" si="192"/>
        <v/>
      </c>
      <c r="EC79" s="208" t="e">
        <f t="shared" ca="1" si="72"/>
        <v>#NAME?</v>
      </c>
      <c r="ED79" s="36" t="str">
        <f t="shared" si="73"/>
        <v>SAFE</v>
      </c>
      <c r="EE79" s="193">
        <f>COUNTIF($ED$2:$ED$92, ED79)/(COUNTIF($ED$2:$ED$92, "&lt;&gt;""") - COUNTIF($ED$2:$ED$92, ""))</f>
        <v>0.37777777777777777</v>
      </c>
      <c r="EF79" s="36" t="str">
        <f t="shared" si="74"/>
        <v>Early</v>
      </c>
      <c r="EG79" s="207"/>
      <c r="EH79" s="194" t="e">
        <f t="shared" ca="1" si="75"/>
        <v>#NAME?</v>
      </c>
      <c r="EI79" s="194" t="e">
        <f t="shared" ca="1" si="76"/>
        <v>#NAME?</v>
      </c>
      <c r="EJ79" s="209" t="e">
        <f t="shared" ca="1" si="77"/>
        <v>#NAME?</v>
      </c>
      <c r="EK79" s="208" t="e">
        <f t="shared" ca="1" si="193"/>
        <v>#NAME?</v>
      </c>
      <c r="EL79" s="36" t="str">
        <f t="shared" si="79"/>
        <v>No</v>
      </c>
      <c r="EM79" s="207"/>
      <c r="EN79" s="192">
        <f t="shared" si="194"/>
        <v>1.2380952380952381</v>
      </c>
      <c r="EO79" s="192">
        <f t="shared" si="195"/>
        <v>1</v>
      </c>
      <c r="EP79" s="209">
        <f t="shared" si="82"/>
        <v>2.2380952380952381</v>
      </c>
      <c r="EQ79" s="210">
        <f t="shared" si="196"/>
        <v>1.1869158878504673</v>
      </c>
      <c r="ER79" s="36" t="e">
        <f t="shared" ca="1" si="84"/>
        <v>#NAME?</v>
      </c>
      <c r="ES79" s="40">
        <f ca="1">COUNTIF($ER$2:$ER$92, ER79)/(COUNTIF($ER$2:$ER$92, "&lt;&gt;""") - COUNTIF($ER$2:$ER$92, ""))</f>
        <v>1</v>
      </c>
      <c r="ET79" s="36">
        <f t="shared" si="85"/>
        <v>2</v>
      </c>
      <c r="EU79" s="40">
        <f>COUNTIF($ET$2:$ET$92, ET79)/(COUNTIF($ET$2:$ET$92, "&lt;&gt;""") - COUNTIF($ET$2:$ET$92, ""))</f>
        <v>0.45555555555555555</v>
      </c>
      <c r="EV79" s="36">
        <f t="shared" si="86"/>
        <v>3</v>
      </c>
      <c r="EW79" s="40">
        <f>COUNTIF($EV$2:$EV$92, EV79)/(COUNTIF($EV$2:$EV$92, "&lt;&gt;""") - COUNTIF($EV$2:$EV$92, ""))</f>
        <v>8.8888888888888892E-2</v>
      </c>
      <c r="EX79" s="36" t="str">
        <f t="shared" si="87"/>
        <v>Yes</v>
      </c>
      <c r="EY79" s="40">
        <f>COUNTIF($EX$2:$EX$92, EX79)/(COUNTIF($EX$2:$EX$92, "&lt;&gt;""") - COUNTIF($EX$2:$EX$92, ""))</f>
        <v>0.27777777777777779</v>
      </c>
      <c r="EZ79" s="36" t="str">
        <f t="shared" ref="EZ79:FB79" si="202">BM79</f>
        <v>No</v>
      </c>
      <c r="FA79" s="36" t="str">
        <f t="shared" si="202"/>
        <v>No</v>
      </c>
      <c r="FB79" s="36" t="str">
        <f t="shared" si="202"/>
        <v>No</v>
      </c>
      <c r="FC79" s="207"/>
      <c r="FD79" s="36" t="str">
        <f t="shared" si="89"/>
        <v>Recurring</v>
      </c>
      <c r="FE79" s="40">
        <f>COUNTIF($FD$2:$FD$92, FD79)/(COUNTIF($FD$2:$FD$92, "&lt;&gt;""") - COUNTIF($FD$2:$FD$92, ""))</f>
        <v>0.4</v>
      </c>
      <c r="FF79" s="36" t="str">
        <f t="shared" si="90"/>
        <v>B2B/B2C</v>
      </c>
      <c r="FG79" s="40">
        <f>COUNTIF($FF$2:$FF$92, FF79)/(COUNTIF($FF$2:$FF$92, "&lt;&gt;""") - COUNTIF($FF$2:$FF$92, ""))</f>
        <v>0.27777777777777779</v>
      </c>
      <c r="FH79" s="36" t="str">
        <f t="shared" si="91"/>
        <v>Low</v>
      </c>
      <c r="FI79" s="40">
        <f>COUNTIF($FH$2:$FH$92, FH79)/(COUNTIF($FH$2:$FH$92, "&lt;&gt;""") - COUNTIF($FH$2:$FH$92, ""))</f>
        <v>0.46666666666666667</v>
      </c>
      <c r="FJ79" s="36" t="str">
        <f t="shared" si="92"/>
        <v>Low</v>
      </c>
      <c r="FK79" s="40">
        <f>COUNTIF($FJ$2:$FJ$92, FJ79)/(COUNTIF($FJ$2:$FJ$92, "&lt;&gt;""") - COUNTIF($FJ$2:$FJ$92, ""))</f>
        <v>0.41111111111111109</v>
      </c>
      <c r="FL79" s="207"/>
      <c r="FM79" s="192">
        <f t="shared" si="93"/>
        <v>3</v>
      </c>
      <c r="FN79" s="192" t="e">
        <f t="shared" ca="1" si="94"/>
        <v>#NAME?</v>
      </c>
      <c r="FO79" s="192" t="e">
        <f t="shared" ca="1" si="95"/>
        <v>#NAME?</v>
      </c>
      <c r="FP79" s="192" t="e">
        <f t="shared" ca="1" si="96"/>
        <v>#NAME?</v>
      </c>
      <c r="FQ79" s="209" t="e">
        <f t="shared" ca="1" si="97"/>
        <v>#NAME?</v>
      </c>
      <c r="FR79" s="208" t="e">
        <f t="shared" ca="1" si="198"/>
        <v>#NAME?</v>
      </c>
      <c r="FS79" s="36" t="str">
        <f t="shared" si="99"/>
        <v>Pre-Revenue</v>
      </c>
      <c r="FT79" s="196">
        <f>COUNTIF($FS$2:$FS$92, FS79)/(COUNTIF($FS$2:$FS$92, "&lt;&gt;""") - COUNTIF($FZ$2:$FZ$92, ""))</f>
        <v>0.2</v>
      </c>
      <c r="FU79" s="207"/>
      <c r="FV79" s="192" t="e">
        <f t="shared" ca="1" si="100"/>
        <v>#NAME?</v>
      </c>
      <c r="FW79" s="197" t="e">
        <f t="shared" ca="1" si="101"/>
        <v>#NAME?</v>
      </c>
      <c r="FX79" s="209" t="e">
        <f t="shared" ca="1" si="102"/>
        <v>#NAME?</v>
      </c>
      <c r="FY79" s="211" t="e">
        <f t="shared" ca="1" si="199"/>
        <v>#NAME?</v>
      </c>
      <c r="FZ79" s="36" t="str">
        <f t="shared" si="104"/>
        <v>No</v>
      </c>
      <c r="GA79" s="196">
        <f>COUNTIF($FZ$2:$FZ$92, FZ79)/(COUNTIF($FZ$2:$FZ$92, "&lt;&gt;""") - COUNTIF($FZ$2:$FZ$92, ""))</f>
        <v>0.76666666666666672</v>
      </c>
      <c r="GB79" s="196" t="str">
        <f t="shared" si="105"/>
        <v>High</v>
      </c>
      <c r="GC79" s="196">
        <f>COUNTIF($GB$2:$GB$92, GB79)/(COUNTIF($GB$2:$GB$92, "&lt;&gt;""") - COUNTIF($GB$2:$GB$92, ""))</f>
        <v>0.43333333333333335</v>
      </c>
      <c r="GD79" s="196" t="str">
        <f t="shared" si="106"/>
        <v>High</v>
      </c>
      <c r="GE79" s="196">
        <f>COUNTIF($GD$2:$GD$92, GD79)/(COUNTIF($GD$2:$GD$92, "&lt;&gt;""") - COUNTIF($GD$2:$GD$92, ""))</f>
        <v>0.8</v>
      </c>
      <c r="GF79" s="207"/>
      <c r="GG79" s="36"/>
      <c r="GH79" s="209" t="e">
        <f t="shared" ca="1" si="107"/>
        <v>#NAME?</v>
      </c>
      <c r="GI79" s="212" t="e">
        <f t="shared" ca="1" si="200"/>
        <v>#NAME?</v>
      </c>
    </row>
    <row r="80" spans="1:191" ht="15.75" customHeight="1">
      <c r="A80" s="182"/>
      <c r="B80" s="182" t="s">
        <v>433</v>
      </c>
      <c r="C80" s="256">
        <v>1730486</v>
      </c>
      <c r="D80" s="247" t="s">
        <v>1033</v>
      </c>
      <c r="E80" s="265">
        <v>43805.390277777777</v>
      </c>
      <c r="F80" s="243" t="s">
        <v>847</v>
      </c>
      <c r="G80" s="257" t="s">
        <v>1034</v>
      </c>
      <c r="H80" s="257" t="s">
        <v>1035</v>
      </c>
      <c r="I80" s="258">
        <v>43804</v>
      </c>
      <c r="J80" s="247" t="s">
        <v>1036</v>
      </c>
      <c r="K80" s="247" t="s">
        <v>1033</v>
      </c>
      <c r="M80" s="243" t="s">
        <v>1037</v>
      </c>
      <c r="N80" s="243" t="s">
        <v>315</v>
      </c>
      <c r="O80" s="243" t="s">
        <v>173</v>
      </c>
      <c r="P80" s="243" t="s">
        <v>174</v>
      </c>
      <c r="Q80" s="243" t="s">
        <v>35</v>
      </c>
      <c r="R80" s="187"/>
      <c r="S80" s="243" t="s">
        <v>176</v>
      </c>
      <c r="T80" s="248"/>
      <c r="U80" s="249"/>
      <c r="V80" s="64"/>
      <c r="W80" s="65">
        <v>8000000</v>
      </c>
      <c r="X80" s="226">
        <v>0</v>
      </c>
      <c r="Y80" s="55">
        <f t="shared" si="158"/>
        <v>8000000</v>
      </c>
      <c r="Z80" s="274">
        <f t="shared" si="159"/>
        <v>8000000</v>
      </c>
      <c r="AA80" s="183" t="e">
        <f t="shared" ca="1" si="160"/>
        <v>#NAME?</v>
      </c>
      <c r="AB80" s="243" t="s">
        <v>178</v>
      </c>
      <c r="AC80" s="243" t="s">
        <v>37</v>
      </c>
      <c r="AD80" s="243" t="s">
        <v>180</v>
      </c>
      <c r="AE80" s="243" t="s">
        <v>227</v>
      </c>
      <c r="AF80" s="243" t="s">
        <v>39</v>
      </c>
      <c r="AG80" s="243" t="s">
        <v>181</v>
      </c>
      <c r="AH80" s="239" t="s">
        <v>227</v>
      </c>
      <c r="AI80" s="64"/>
      <c r="AJ80" s="279">
        <v>24547000000</v>
      </c>
      <c r="AK80" s="224" t="e">
        <f t="shared" ca="1" si="161"/>
        <v>#NAME?</v>
      </c>
      <c r="AL80" s="279">
        <v>24547000000</v>
      </c>
      <c r="AM80" s="224" t="e">
        <f t="shared" ca="1" si="162"/>
        <v>#NAME?</v>
      </c>
      <c r="AN80" s="279">
        <v>9.5000000000000001E-2</v>
      </c>
      <c r="AO80" s="185" t="e">
        <f t="shared" ca="1" si="63"/>
        <v>#NAME?</v>
      </c>
      <c r="AP80" s="185" t="s">
        <v>264</v>
      </c>
      <c r="AQ80" s="243" t="s">
        <v>181</v>
      </c>
      <c r="AR80" s="243" t="s">
        <v>181</v>
      </c>
      <c r="AS80" s="243" t="s">
        <v>42</v>
      </c>
      <c r="AT80" s="35" t="s">
        <v>181</v>
      </c>
      <c r="AU80" s="35" t="s">
        <v>39</v>
      </c>
      <c r="AV80" s="243" t="s">
        <v>190</v>
      </c>
      <c r="AW80" s="243" t="s">
        <v>190</v>
      </c>
      <c r="AX80" s="243" t="s">
        <v>227</v>
      </c>
      <c r="AY80" s="243" t="s">
        <v>227</v>
      </c>
      <c r="AZ80" s="64">
        <v>10481</v>
      </c>
      <c r="BA80" s="55" t="e">
        <f t="shared" ca="1" si="163"/>
        <v>#NAME?</v>
      </c>
      <c r="BB80" s="279">
        <v>113842</v>
      </c>
      <c r="BC80" s="280">
        <v>1320000</v>
      </c>
      <c r="BD80" s="62" t="e">
        <f t="shared" ca="1" si="164"/>
        <v>#NAME?</v>
      </c>
      <c r="BE80" s="277">
        <f t="shared" si="165"/>
        <v>8.6243939393939401E-2</v>
      </c>
      <c r="BF80" s="62" t="e">
        <f t="shared" ca="1" si="166"/>
        <v>#NAME?</v>
      </c>
      <c r="BG80" s="243" t="s">
        <v>202</v>
      </c>
      <c r="BH80" s="187"/>
      <c r="BI80" s="243"/>
      <c r="BJ80" s="256">
        <v>0</v>
      </c>
      <c r="BK80" s="279">
        <v>2</v>
      </c>
      <c r="BL80" s="239" t="s">
        <v>227</v>
      </c>
      <c r="BM80" s="243" t="s">
        <v>227</v>
      </c>
      <c r="BN80" s="243" t="s">
        <v>190</v>
      </c>
      <c r="BO80" s="243" t="s">
        <v>190</v>
      </c>
      <c r="BP80" s="256">
        <v>3</v>
      </c>
      <c r="BQ80" s="256">
        <v>6</v>
      </c>
      <c r="BR80" s="256">
        <v>0</v>
      </c>
      <c r="BS80" s="256">
        <v>2</v>
      </c>
      <c r="BT80" s="204"/>
      <c r="BU80" s="256">
        <v>11</v>
      </c>
      <c r="BV80" s="256">
        <v>0</v>
      </c>
      <c r="BW80" s="256">
        <v>39</v>
      </c>
      <c r="BX80" s="243" t="s">
        <v>190</v>
      </c>
      <c r="BY80" s="204"/>
      <c r="BZ80" s="256">
        <v>14</v>
      </c>
      <c r="CA80" s="256">
        <v>0</v>
      </c>
      <c r="CB80" s="239">
        <v>39</v>
      </c>
      <c r="CC80" s="239" t="s">
        <v>190</v>
      </c>
      <c r="CD80" s="204"/>
      <c r="CE80" s="187"/>
      <c r="CF80" s="187"/>
      <c r="CG80" s="187"/>
      <c r="CH80" s="187"/>
      <c r="CI80" s="204"/>
      <c r="CJ80" s="187"/>
      <c r="CK80" s="187"/>
      <c r="CL80" s="187"/>
      <c r="CM80" s="187"/>
      <c r="CN80" s="205"/>
      <c r="CO80" s="187"/>
      <c r="CP80" s="187"/>
      <c r="CQ80" s="187"/>
      <c r="CR80" s="187"/>
      <c r="CS80" s="204"/>
      <c r="CT80" s="187"/>
      <c r="CU80" s="187"/>
      <c r="CV80" s="187"/>
      <c r="CW80" s="187"/>
      <c r="CX80" s="204"/>
      <c r="CY80" s="187"/>
      <c r="CZ80" s="187"/>
      <c r="DA80" s="187"/>
      <c r="DB80" s="187"/>
      <c r="DC80" s="204"/>
      <c r="DD80" s="187"/>
      <c r="DE80" s="187"/>
      <c r="DF80" s="187"/>
      <c r="DG80" s="187"/>
      <c r="DH80" s="204"/>
      <c r="DI80" s="187"/>
      <c r="DJ80" s="187"/>
      <c r="DK80" s="187"/>
      <c r="DL80" s="187"/>
      <c r="DM80" s="204"/>
      <c r="DN80" s="205"/>
      <c r="DO80" s="205"/>
      <c r="DQ80" s="206"/>
      <c r="DR80" s="188">
        <f t="shared" si="64"/>
        <v>12.5</v>
      </c>
      <c r="DS80" s="188"/>
      <c r="DT80" s="189">
        <f t="shared" si="65"/>
        <v>0</v>
      </c>
      <c r="DU80" s="189"/>
      <c r="DV80" s="188">
        <f t="shared" si="66"/>
        <v>39</v>
      </c>
      <c r="DW80" s="183" t="e">
        <f t="shared" ca="1" si="67"/>
        <v>#NAME?</v>
      </c>
      <c r="DX80" s="207"/>
      <c r="DY80" s="190" t="e">
        <f t="shared" ca="1" si="68"/>
        <v>#NAME?</v>
      </c>
      <c r="DZ80" s="191">
        <f t="shared" si="190"/>
        <v>1</v>
      </c>
      <c r="EA80" s="191" t="str">
        <f t="shared" si="191"/>
        <v/>
      </c>
      <c r="EB80" s="191" t="str">
        <f t="shared" si="192"/>
        <v/>
      </c>
      <c r="EC80" s="208" t="e">
        <f t="shared" ca="1" si="72"/>
        <v>#NAME?</v>
      </c>
      <c r="ED80" s="36" t="str">
        <f t="shared" si="73"/>
        <v>Convertible Note</v>
      </c>
      <c r="EE80" s="193">
        <f>COUNTIF($ED$2:$ED$92, ED80)/(COUNTIF($ED$2:$ED$92, "&lt;&gt;""") - COUNTIF($ED$2:$ED$92, ""))</f>
        <v>0.13333333333333333</v>
      </c>
      <c r="EF80" s="36" t="str">
        <f t="shared" si="74"/>
        <v>Growth</v>
      </c>
      <c r="EG80" s="207"/>
      <c r="EH80" s="194" t="e">
        <f t="shared" ca="1" si="75"/>
        <v>#NAME?</v>
      </c>
      <c r="EI80" s="194" t="e">
        <f t="shared" ca="1" si="76"/>
        <v>#NAME?</v>
      </c>
      <c r="EJ80" s="209" t="e">
        <f t="shared" ca="1" si="77"/>
        <v>#NAME?</v>
      </c>
      <c r="EK80" s="208" t="e">
        <f t="shared" ca="1" si="193"/>
        <v>#NAME?</v>
      </c>
      <c r="EL80" s="36" t="str">
        <f t="shared" si="79"/>
        <v>No</v>
      </c>
      <c r="EM80" s="207"/>
      <c r="EN80" s="192">
        <f t="shared" si="194"/>
        <v>2.1904761904761907</v>
      </c>
      <c r="EO80" s="192">
        <f t="shared" si="195"/>
        <v>1</v>
      </c>
      <c r="EP80" s="209">
        <f t="shared" si="82"/>
        <v>3.1904761904761907</v>
      </c>
      <c r="EQ80" s="210">
        <f t="shared" si="196"/>
        <v>1.9345794392523366</v>
      </c>
      <c r="ER80" s="36" t="e">
        <f t="shared" ca="1" si="84"/>
        <v>#NAME?</v>
      </c>
      <c r="ES80" s="40">
        <f ca="1">COUNTIF($ER$2:$ER$92, ER80)/(COUNTIF($ER$2:$ER$92, "&lt;&gt;""") - COUNTIF($ER$2:$ER$92, ""))</f>
        <v>1</v>
      </c>
      <c r="ET80" s="36">
        <f t="shared" si="85"/>
        <v>2</v>
      </c>
      <c r="EU80" s="40">
        <f>COUNTIF($ET$2:$ET$92, ET80)/(COUNTIF($ET$2:$ET$92, "&lt;&gt;""") - COUNTIF($ET$2:$ET$92, ""))</f>
        <v>0.45555555555555555</v>
      </c>
      <c r="EV80" s="36">
        <f t="shared" si="86"/>
        <v>6</v>
      </c>
      <c r="EW80" s="40">
        <f>COUNTIF($EV$2:$EV$92, EV80)/(COUNTIF($EV$2:$EV$92, "&lt;&gt;""") - COUNTIF($EV$2:$EV$92, ""))</f>
        <v>5.5555555555555552E-2</v>
      </c>
      <c r="EX80" s="36" t="str">
        <f t="shared" si="87"/>
        <v>Yes</v>
      </c>
      <c r="EY80" s="40">
        <f>COUNTIF($EX$2:$EX$92, EX80)/(COUNTIF($EX$2:$EX$92, "&lt;&gt;""") - COUNTIF($EX$2:$EX$92, ""))</f>
        <v>0.27777777777777779</v>
      </c>
      <c r="EZ80" s="36" t="str">
        <f t="shared" ref="EZ80:FB80" si="203">BM80</f>
        <v>Yes</v>
      </c>
      <c r="FA80" s="36" t="str">
        <f t="shared" si="203"/>
        <v>No</v>
      </c>
      <c r="FB80" s="36" t="str">
        <f t="shared" si="203"/>
        <v>No</v>
      </c>
      <c r="FC80" s="207"/>
      <c r="FD80" s="36" t="str">
        <f t="shared" si="89"/>
        <v>Recurring</v>
      </c>
      <c r="FE80" s="40">
        <f>COUNTIF($FD$2:$FD$92, FD80)/(COUNTIF($FD$2:$FD$92, "&lt;&gt;""") - COUNTIF($FD$2:$FD$92, ""))</f>
        <v>0.4</v>
      </c>
      <c r="FF80" s="36" t="str">
        <f t="shared" si="90"/>
        <v>B2B</v>
      </c>
      <c r="FG80" s="40">
        <f>COUNTIF($FF$2:$FF$92, FF80)/(COUNTIF($FF$2:$FF$92, "&lt;&gt;""") - COUNTIF($FF$2:$FF$92, ""))</f>
        <v>0.24444444444444444</v>
      </c>
      <c r="FH80" s="36" t="str">
        <f t="shared" si="91"/>
        <v>High</v>
      </c>
      <c r="FI80" s="40">
        <f>COUNTIF($FH$2:$FH$92, FH80)/(COUNTIF($FH$2:$FH$92, "&lt;&gt;""") - COUNTIF($FH$2:$FH$92, ""))</f>
        <v>0.53333333333333333</v>
      </c>
      <c r="FJ80" s="36" t="str">
        <f t="shared" si="92"/>
        <v>Low</v>
      </c>
      <c r="FK80" s="40">
        <f>COUNTIF($FJ$2:$FJ$92, FJ80)/(COUNTIF($FJ$2:$FJ$92, "&lt;&gt;""") - COUNTIF($FJ$2:$FJ$92, ""))</f>
        <v>0.41111111111111109</v>
      </c>
      <c r="FL80" s="207"/>
      <c r="FM80" s="192">
        <f t="shared" si="93"/>
        <v>5</v>
      </c>
      <c r="FN80" s="192" t="e">
        <f t="shared" ca="1" si="94"/>
        <v>#NAME?</v>
      </c>
      <c r="FO80" s="192" t="e">
        <f t="shared" ca="1" si="95"/>
        <v>#NAME?</v>
      </c>
      <c r="FP80" s="192" t="e">
        <f t="shared" ca="1" si="96"/>
        <v>#NAME?</v>
      </c>
      <c r="FQ80" s="209" t="e">
        <f t="shared" ca="1" si="97"/>
        <v>#NAME?</v>
      </c>
      <c r="FR80" s="208" t="e">
        <f t="shared" ca="1" si="198"/>
        <v>#NAME?</v>
      </c>
      <c r="FS80" s="36" t="str">
        <f t="shared" si="99"/>
        <v>Pre-Profit</v>
      </c>
      <c r="FT80" s="196">
        <f>COUNTIF($FS$2:$FS$92, FS80)/(COUNTIF($FS$2:$FS$92, "&lt;&gt;""") - COUNTIF($FZ$2:$FZ$92, ""))</f>
        <v>0.51111111111111107</v>
      </c>
      <c r="FU80" s="207"/>
      <c r="FV80" s="192" t="e">
        <f t="shared" ca="1" si="100"/>
        <v>#NAME?</v>
      </c>
      <c r="FW80" s="197" t="e">
        <f t="shared" ca="1" si="101"/>
        <v>#NAME?</v>
      </c>
      <c r="FX80" s="209" t="e">
        <f t="shared" ca="1" si="102"/>
        <v>#NAME?</v>
      </c>
      <c r="FY80" s="211" t="e">
        <f t="shared" ca="1" si="199"/>
        <v>#NAME?</v>
      </c>
      <c r="FZ80" s="36" t="str">
        <f t="shared" si="104"/>
        <v>No</v>
      </c>
      <c r="GA80" s="196">
        <f>COUNTIF($FZ$2:$FZ$92, FZ80)/(COUNTIF($FZ$2:$FZ$92, "&lt;&gt;""") - COUNTIF($FZ$2:$FZ$92, ""))</f>
        <v>0.76666666666666672</v>
      </c>
      <c r="GB80" s="196" t="str">
        <f t="shared" si="105"/>
        <v>Low</v>
      </c>
      <c r="GC80" s="196">
        <f>COUNTIF($GB$2:$GB$92, GB80)/(COUNTIF($GB$2:$GB$92, "&lt;&gt;""") - COUNTIF($GB$2:$GB$92, ""))</f>
        <v>0.55555555555555558</v>
      </c>
      <c r="GD80" s="196" t="str">
        <f t="shared" si="106"/>
        <v>High</v>
      </c>
      <c r="GE80" s="196">
        <f>COUNTIF($GD$2:$GD$92, GD80)/(COUNTIF($GD$2:$GD$92, "&lt;&gt;""") - COUNTIF($GD$2:$GD$92, ""))</f>
        <v>0.8</v>
      </c>
      <c r="GF80" s="207"/>
      <c r="GG80" s="36"/>
      <c r="GH80" s="209" t="e">
        <f t="shared" ca="1" si="107"/>
        <v>#NAME?</v>
      </c>
      <c r="GI80" s="212" t="e">
        <f t="shared" ca="1" si="200"/>
        <v>#NAME?</v>
      </c>
    </row>
    <row r="81" spans="1:191" ht="15.75" customHeight="1">
      <c r="A81" s="174"/>
      <c r="B81" s="174" t="s">
        <v>433</v>
      </c>
      <c r="C81" s="238">
        <v>1730486</v>
      </c>
      <c r="D81" s="244" t="s">
        <v>1038</v>
      </c>
      <c r="E81" s="245">
        <v>43805.393750000003</v>
      </c>
      <c r="F81" s="239" t="s">
        <v>329</v>
      </c>
      <c r="G81" s="32" t="s">
        <v>1039</v>
      </c>
      <c r="H81" s="32" t="s">
        <v>1040</v>
      </c>
      <c r="I81" s="246">
        <v>43804</v>
      </c>
      <c r="J81" s="247" t="s">
        <v>1041</v>
      </c>
      <c r="K81" s="247" t="s">
        <v>1038</v>
      </c>
      <c r="M81" s="29" t="s">
        <v>747</v>
      </c>
      <c r="N81" s="239" t="s">
        <v>315</v>
      </c>
      <c r="O81" s="239" t="s">
        <v>173</v>
      </c>
      <c r="P81" s="239" t="s">
        <v>197</v>
      </c>
      <c r="Q81" s="239" t="s">
        <v>35</v>
      </c>
      <c r="R81" s="187"/>
      <c r="S81" s="239" t="s">
        <v>269</v>
      </c>
      <c r="T81" s="248"/>
      <c r="U81" s="249"/>
      <c r="V81" s="251"/>
      <c r="W81" s="69">
        <v>5000000</v>
      </c>
      <c r="X81" s="252">
        <v>0.2</v>
      </c>
      <c r="Y81" s="55">
        <f t="shared" si="158"/>
        <v>4000000</v>
      </c>
      <c r="Z81" s="274">
        <f t="shared" si="159"/>
        <v>4000000</v>
      </c>
      <c r="AA81" s="183" t="e">
        <f t="shared" ca="1" si="160"/>
        <v>#NAME?</v>
      </c>
      <c r="AB81" s="239" t="s">
        <v>178</v>
      </c>
      <c r="AC81" s="239" t="s">
        <v>179</v>
      </c>
      <c r="AD81" s="239" t="s">
        <v>180</v>
      </c>
      <c r="AE81" s="239" t="s">
        <v>227</v>
      </c>
      <c r="AF81" s="239" t="s">
        <v>39</v>
      </c>
      <c r="AG81" s="239" t="s">
        <v>181</v>
      </c>
      <c r="AH81" s="239" t="s">
        <v>190</v>
      </c>
      <c r="AI81" s="251"/>
      <c r="AJ81" s="279">
        <v>1800000000</v>
      </c>
      <c r="AK81" s="224" t="e">
        <f t="shared" ca="1" si="161"/>
        <v>#NAME?</v>
      </c>
      <c r="AL81" s="279">
        <v>1800000000</v>
      </c>
      <c r="AM81" s="224" t="e">
        <f t="shared" ca="1" si="162"/>
        <v>#NAME?</v>
      </c>
      <c r="AN81" s="279">
        <v>2.9000000000000001E-2</v>
      </c>
      <c r="AO81" s="185" t="e">
        <f t="shared" ca="1" si="63"/>
        <v>#NAME?</v>
      </c>
      <c r="AP81" s="185" t="s">
        <v>211</v>
      </c>
      <c r="AQ81" s="239" t="s">
        <v>39</v>
      </c>
      <c r="AR81" s="239" t="s">
        <v>39</v>
      </c>
      <c r="AS81" s="239" t="s">
        <v>182</v>
      </c>
      <c r="AT81" s="29" t="s">
        <v>39</v>
      </c>
      <c r="AU81" s="29" t="s">
        <v>39</v>
      </c>
      <c r="AV81" s="239" t="s">
        <v>227</v>
      </c>
      <c r="AW81" s="239" t="s">
        <v>227</v>
      </c>
      <c r="AX81" s="239" t="s">
        <v>227</v>
      </c>
      <c r="AY81" s="239" t="s">
        <v>227</v>
      </c>
      <c r="AZ81" s="251">
        <v>214993</v>
      </c>
      <c r="BA81" s="55" t="e">
        <f t="shared" ca="1" si="163"/>
        <v>#NAME?</v>
      </c>
      <c r="BB81" s="279">
        <v>9006</v>
      </c>
      <c r="BC81" s="279">
        <v>570000</v>
      </c>
      <c r="BD81" s="62" t="e">
        <f t="shared" ca="1" si="164"/>
        <v>#NAME?</v>
      </c>
      <c r="BE81" s="277">
        <f t="shared" si="165"/>
        <v>1.5800000000000002E-2</v>
      </c>
      <c r="BF81" s="62" t="e">
        <f t="shared" ca="1" si="166"/>
        <v>#NAME?</v>
      </c>
      <c r="BG81" s="239" t="s">
        <v>202</v>
      </c>
      <c r="BH81" s="187"/>
      <c r="BI81" s="239" t="s">
        <v>190</v>
      </c>
      <c r="BJ81" s="238">
        <v>0</v>
      </c>
      <c r="BK81" s="279">
        <v>2</v>
      </c>
      <c r="BL81" s="239" t="s">
        <v>227</v>
      </c>
      <c r="BM81" s="239" t="s">
        <v>190</v>
      </c>
      <c r="BN81" s="239" t="s">
        <v>190</v>
      </c>
      <c r="BO81" s="239" t="s">
        <v>190</v>
      </c>
      <c r="BP81" s="238">
        <v>3</v>
      </c>
      <c r="BQ81" s="238">
        <v>5</v>
      </c>
      <c r="BR81" s="238">
        <v>0</v>
      </c>
      <c r="BS81" s="238">
        <v>0</v>
      </c>
      <c r="BT81" s="204"/>
      <c r="BU81" s="256">
        <v>10</v>
      </c>
      <c r="BV81" s="256">
        <v>0</v>
      </c>
      <c r="BW81" s="256">
        <v>30</v>
      </c>
      <c r="BX81" s="243" t="s">
        <v>190</v>
      </c>
      <c r="BY81" s="204"/>
      <c r="BZ81" s="256">
        <v>10</v>
      </c>
      <c r="CA81" s="256">
        <v>0</v>
      </c>
      <c r="CB81" s="256">
        <v>35</v>
      </c>
      <c r="CC81" s="239" t="s">
        <v>190</v>
      </c>
      <c r="CD81" s="204"/>
      <c r="CE81" s="187"/>
      <c r="CF81" s="187"/>
      <c r="CG81" s="187"/>
      <c r="CH81" s="187"/>
      <c r="CI81" s="204"/>
      <c r="CJ81" s="187"/>
      <c r="CK81" s="187"/>
      <c r="CL81" s="187"/>
      <c r="CM81" s="187"/>
      <c r="CN81" s="205"/>
      <c r="CO81" s="89"/>
      <c r="CP81" s="89"/>
      <c r="CQ81" s="187"/>
      <c r="CR81" s="187"/>
      <c r="CS81" s="204"/>
      <c r="CT81" s="89"/>
      <c r="CU81" s="89"/>
      <c r="CV81" s="187"/>
      <c r="CW81" s="187"/>
      <c r="CX81" s="204"/>
      <c r="CY81" s="89"/>
      <c r="CZ81" s="89"/>
      <c r="DA81" s="187"/>
      <c r="DB81" s="187"/>
      <c r="DC81" s="204"/>
      <c r="DD81" s="89"/>
      <c r="DE81" s="89"/>
      <c r="DF81" s="187"/>
      <c r="DG81" s="187"/>
      <c r="DH81" s="204"/>
      <c r="DI81" s="89"/>
      <c r="DJ81" s="89"/>
      <c r="DK81" s="187"/>
      <c r="DL81" s="187"/>
      <c r="DM81" s="204"/>
      <c r="DN81" s="205"/>
      <c r="DO81" s="205"/>
      <c r="DQ81" s="206"/>
      <c r="DR81" s="188">
        <f t="shared" si="64"/>
        <v>10</v>
      </c>
      <c r="DS81" s="188"/>
      <c r="DT81" s="189">
        <f t="shared" si="65"/>
        <v>0</v>
      </c>
      <c r="DU81" s="189"/>
      <c r="DV81" s="188">
        <f t="shared" si="66"/>
        <v>32.5</v>
      </c>
      <c r="DW81" s="183" t="e">
        <f t="shared" ca="1" si="67"/>
        <v>#NAME?</v>
      </c>
      <c r="DX81" s="207"/>
      <c r="DY81" s="190" t="e">
        <f t="shared" ca="1" si="68"/>
        <v>#NAME?</v>
      </c>
      <c r="DZ81" s="191">
        <f t="shared" si="190"/>
        <v>3.1052631578947367</v>
      </c>
      <c r="EA81" s="191" t="str">
        <f t="shared" si="191"/>
        <v/>
      </c>
      <c r="EB81" s="191" t="str">
        <f t="shared" si="192"/>
        <v/>
      </c>
      <c r="EC81" s="208" t="e">
        <f t="shared" ca="1" si="72"/>
        <v>#NAME?</v>
      </c>
      <c r="ED81" s="36" t="str">
        <f t="shared" si="73"/>
        <v>SAFE</v>
      </c>
      <c r="EE81" s="193">
        <f>COUNTIF($ED$2:$ED$92, ED81)/(COUNTIF($ED$2:$ED$92, "&lt;&gt;""") - COUNTIF($ED$2:$ED$92, ""))</f>
        <v>0.37777777777777777</v>
      </c>
      <c r="EF81" s="36" t="str">
        <f t="shared" si="74"/>
        <v>Growth</v>
      </c>
      <c r="EG81" s="207"/>
      <c r="EH81" s="194" t="e">
        <f t="shared" ca="1" si="75"/>
        <v>#NAME?</v>
      </c>
      <c r="EI81" s="194" t="e">
        <f t="shared" ca="1" si="76"/>
        <v>#NAME?</v>
      </c>
      <c r="EJ81" s="209" t="e">
        <f t="shared" ca="1" si="77"/>
        <v>#NAME?</v>
      </c>
      <c r="EK81" s="208" t="e">
        <f t="shared" ca="1" si="193"/>
        <v>#NAME?</v>
      </c>
      <c r="EL81" s="36" t="str">
        <f t="shared" si="79"/>
        <v>Yes</v>
      </c>
      <c r="EM81" s="207"/>
      <c r="EN81" s="192">
        <f t="shared" si="194"/>
        <v>1.9523809523809523</v>
      </c>
      <c r="EO81" s="192">
        <f t="shared" si="195"/>
        <v>1</v>
      </c>
      <c r="EP81" s="209">
        <f t="shared" si="82"/>
        <v>2.9523809523809526</v>
      </c>
      <c r="EQ81" s="210">
        <f t="shared" si="196"/>
        <v>1.7476635514018692</v>
      </c>
      <c r="ER81" s="36" t="e">
        <f t="shared" ca="1" si="84"/>
        <v>#NAME?</v>
      </c>
      <c r="ES81" s="40">
        <f ca="1">COUNTIF($ER$2:$ER$92, ER81)/(COUNTIF($ER$2:$ER$92, "&lt;&gt;""") - COUNTIF($ER$2:$ER$92, ""))</f>
        <v>1</v>
      </c>
      <c r="ET81" s="36">
        <f t="shared" si="85"/>
        <v>2</v>
      </c>
      <c r="EU81" s="40">
        <f>COUNTIF($ET$2:$ET$92, ET81)/(COUNTIF($ET$2:$ET$92, "&lt;&gt;""") - COUNTIF($ET$2:$ET$92, ""))</f>
        <v>0.45555555555555555</v>
      </c>
      <c r="EV81" s="36">
        <f t="shared" si="86"/>
        <v>5</v>
      </c>
      <c r="EW81" s="40">
        <f>COUNTIF($EV$2:$EV$92, EV81)/(COUNTIF($EV$2:$EV$92, "&lt;&gt;""") - COUNTIF($EV$2:$EV$92, ""))</f>
        <v>0.13333333333333333</v>
      </c>
      <c r="EX81" s="36" t="str">
        <f t="shared" si="87"/>
        <v>Yes</v>
      </c>
      <c r="EY81" s="40">
        <f>COUNTIF($EX$2:$EX$92, EX81)/(COUNTIF($EX$2:$EX$92, "&lt;&gt;""") - COUNTIF($EX$2:$EX$92, ""))</f>
        <v>0.27777777777777779</v>
      </c>
      <c r="EZ81" s="36" t="str">
        <f t="shared" ref="EZ81:FB81" si="204">BM81</f>
        <v>No</v>
      </c>
      <c r="FA81" s="36" t="str">
        <f t="shared" si="204"/>
        <v>No</v>
      </c>
      <c r="FB81" s="36" t="str">
        <f t="shared" si="204"/>
        <v>No</v>
      </c>
      <c r="FC81" s="207"/>
      <c r="FD81" s="36" t="str">
        <f t="shared" si="89"/>
        <v>Recurring</v>
      </c>
      <c r="FE81" s="40">
        <f>COUNTIF($FD$2:$FD$92, FD81)/(COUNTIF($FD$2:$FD$92, "&lt;&gt;""") - COUNTIF($FD$2:$FD$92, ""))</f>
        <v>0.4</v>
      </c>
      <c r="FF81" s="36" t="str">
        <f t="shared" si="90"/>
        <v>B2C</v>
      </c>
      <c r="FG81" s="40">
        <f>COUNTIF($FF$2:$FF$92, FF81)/(COUNTIF($FF$2:$FF$92, "&lt;&gt;""") - COUNTIF($FF$2:$FF$92, ""))</f>
        <v>0.41111111111111109</v>
      </c>
      <c r="FH81" s="36" t="str">
        <f t="shared" si="91"/>
        <v>High</v>
      </c>
      <c r="FI81" s="40">
        <f>COUNTIF($FH$2:$FH$92, FH81)/(COUNTIF($FH$2:$FH$92, "&lt;&gt;""") - COUNTIF($FH$2:$FH$92, ""))</f>
        <v>0.53333333333333333</v>
      </c>
      <c r="FJ81" s="36" t="str">
        <f t="shared" si="92"/>
        <v>Low</v>
      </c>
      <c r="FK81" s="40">
        <f>COUNTIF($FJ$2:$FJ$92, FJ81)/(COUNTIF($FJ$2:$FJ$92, "&lt;&gt;""") - COUNTIF($FJ$2:$FJ$92, ""))</f>
        <v>0.41111111111111109</v>
      </c>
      <c r="FL81" s="207"/>
      <c r="FM81" s="192">
        <f t="shared" si="93"/>
        <v>5</v>
      </c>
      <c r="FN81" s="192" t="e">
        <f t="shared" ca="1" si="94"/>
        <v>#NAME?</v>
      </c>
      <c r="FO81" s="192" t="e">
        <f t="shared" ca="1" si="95"/>
        <v>#NAME?</v>
      </c>
      <c r="FP81" s="192" t="e">
        <f t="shared" ca="1" si="96"/>
        <v>#NAME?</v>
      </c>
      <c r="FQ81" s="209" t="e">
        <f t="shared" ca="1" si="97"/>
        <v>#NAME?</v>
      </c>
      <c r="FR81" s="208" t="e">
        <f t="shared" ca="1" si="198"/>
        <v>#NAME?</v>
      </c>
      <c r="FS81" s="36" t="str">
        <f t="shared" si="99"/>
        <v>Pre-Profit</v>
      </c>
      <c r="FT81" s="196">
        <f>COUNTIF($FS$2:$FS$92, FS81)/(COUNTIF($FS$2:$FS$92, "&lt;&gt;""") - COUNTIF($FZ$2:$FZ$92, ""))</f>
        <v>0.51111111111111107</v>
      </c>
      <c r="FU81" s="207"/>
      <c r="FV81" s="192" t="e">
        <f t="shared" ca="1" si="100"/>
        <v>#NAME?</v>
      </c>
      <c r="FW81" s="197" t="e">
        <f t="shared" ca="1" si="101"/>
        <v>#NAME?</v>
      </c>
      <c r="FX81" s="209" t="e">
        <f t="shared" ca="1" si="102"/>
        <v>#NAME?</v>
      </c>
      <c r="FY81" s="211" t="e">
        <f t="shared" ca="1" si="199"/>
        <v>#NAME?</v>
      </c>
      <c r="FZ81" s="36" t="str">
        <f t="shared" si="104"/>
        <v>Yes</v>
      </c>
      <c r="GA81" s="196">
        <f>COUNTIF($FZ$2:$FZ$92, FZ81)/(COUNTIF($FZ$2:$FZ$92, "&lt;&gt;""") - COUNTIF($FZ$2:$FZ$92, ""))</f>
        <v>0.23333333333333334</v>
      </c>
      <c r="GB81" s="196" t="str">
        <f t="shared" si="105"/>
        <v>High</v>
      </c>
      <c r="GC81" s="196">
        <f>COUNTIF($GB$2:$GB$92, GB81)/(COUNTIF($GB$2:$GB$92, "&lt;&gt;""") - COUNTIF($GB$2:$GB$92, ""))</f>
        <v>0.43333333333333335</v>
      </c>
      <c r="GD81" s="196" t="str">
        <f t="shared" si="106"/>
        <v>High</v>
      </c>
      <c r="GE81" s="196">
        <f>COUNTIF($GD$2:$GD$92, GD81)/(COUNTIF($GD$2:$GD$92, "&lt;&gt;""") - COUNTIF($GD$2:$GD$92, ""))</f>
        <v>0.8</v>
      </c>
      <c r="GF81" s="207"/>
      <c r="GG81" s="36"/>
      <c r="GH81" s="209" t="e">
        <f t="shared" ca="1" si="107"/>
        <v>#NAME?</v>
      </c>
      <c r="GI81" s="212" t="e">
        <f t="shared" ca="1" si="200"/>
        <v>#NAME?</v>
      </c>
    </row>
    <row r="82" spans="1:191" ht="15.75" customHeight="1">
      <c r="A82" s="174"/>
      <c r="B82" s="174" t="s">
        <v>433</v>
      </c>
      <c r="C82" s="238">
        <v>1791739</v>
      </c>
      <c r="D82" s="244" t="s">
        <v>1042</v>
      </c>
      <c r="E82" s="254">
        <v>43805.398611111108</v>
      </c>
      <c r="F82" s="239" t="s">
        <v>337</v>
      </c>
      <c r="G82" s="32" t="s">
        <v>1043</v>
      </c>
      <c r="H82" s="32" t="s">
        <v>1044</v>
      </c>
      <c r="I82" s="255">
        <v>43804</v>
      </c>
      <c r="J82" s="247" t="s">
        <v>1045</v>
      </c>
      <c r="K82" s="247" t="s">
        <v>1046</v>
      </c>
      <c r="M82" s="239" t="s">
        <v>28</v>
      </c>
      <c r="N82" s="239" t="s">
        <v>168</v>
      </c>
      <c r="O82" s="239" t="s">
        <v>173</v>
      </c>
      <c r="P82" s="239" t="s">
        <v>214</v>
      </c>
      <c r="Q82" s="239" t="s">
        <v>35</v>
      </c>
      <c r="R82" s="187"/>
      <c r="S82" s="239" t="s">
        <v>216</v>
      </c>
      <c r="T82" s="248"/>
      <c r="U82" s="249"/>
      <c r="V82" s="251">
        <v>12800000</v>
      </c>
      <c r="W82" s="250"/>
      <c r="X82" s="252"/>
      <c r="Y82" s="55" t="str">
        <f t="shared" si="158"/>
        <v/>
      </c>
      <c r="Z82" s="274">
        <f t="shared" si="159"/>
        <v>12800000</v>
      </c>
      <c r="AA82" s="183" t="e">
        <f t="shared" ca="1" si="160"/>
        <v>#NAME?</v>
      </c>
      <c r="AB82" s="239" t="s">
        <v>36</v>
      </c>
      <c r="AC82" s="239" t="s">
        <v>218</v>
      </c>
      <c r="AD82" s="239" t="s">
        <v>38</v>
      </c>
      <c r="AE82" s="239" t="s">
        <v>190</v>
      </c>
      <c r="AF82" s="239" t="s">
        <v>39</v>
      </c>
      <c r="AG82" s="239" t="s">
        <v>39</v>
      </c>
      <c r="AH82" s="239" t="s">
        <v>190</v>
      </c>
      <c r="AI82" s="251"/>
      <c r="AJ82" s="279">
        <v>531630840</v>
      </c>
      <c r="AK82" s="224" t="e">
        <f t="shared" ca="1" si="161"/>
        <v>#NAME?</v>
      </c>
      <c r="AL82" s="279">
        <v>531630840</v>
      </c>
      <c r="AM82" s="224" t="e">
        <f t="shared" ca="1" si="162"/>
        <v>#NAME?</v>
      </c>
      <c r="AN82" s="279">
        <v>0.251</v>
      </c>
      <c r="AO82" s="185" t="e">
        <f t="shared" ca="1" si="63"/>
        <v>#NAME?</v>
      </c>
      <c r="AP82" s="185" t="s">
        <v>264</v>
      </c>
      <c r="AQ82" s="239" t="s">
        <v>181</v>
      </c>
      <c r="AR82" s="239" t="s">
        <v>181</v>
      </c>
      <c r="AS82" s="239" t="s">
        <v>42</v>
      </c>
      <c r="AT82" s="29" t="s">
        <v>181</v>
      </c>
      <c r="AU82" s="29" t="s">
        <v>39</v>
      </c>
      <c r="AV82" s="239" t="s">
        <v>190</v>
      </c>
      <c r="AW82" s="239" t="s">
        <v>190</v>
      </c>
      <c r="AX82" s="239" t="s">
        <v>227</v>
      </c>
      <c r="AY82" s="239" t="s">
        <v>227</v>
      </c>
      <c r="AZ82" s="251">
        <v>3896701</v>
      </c>
      <c r="BA82" s="55" t="e">
        <f t="shared" ca="1" si="163"/>
        <v>#NAME?</v>
      </c>
      <c r="BB82" s="279">
        <v>79802</v>
      </c>
      <c r="BC82" s="279">
        <v>0</v>
      </c>
      <c r="BD82" s="62" t="e">
        <f t="shared" ca="1" si="164"/>
        <v>#NAME?</v>
      </c>
      <c r="BE82" s="277">
        <f t="shared" si="165"/>
        <v>1</v>
      </c>
      <c r="BF82" s="62" t="e">
        <f t="shared" ca="1" si="166"/>
        <v>#NAME?</v>
      </c>
      <c r="BG82" s="239" t="s">
        <v>202</v>
      </c>
      <c r="BH82" s="187"/>
      <c r="BI82" s="239" t="s">
        <v>227</v>
      </c>
      <c r="BJ82" s="239">
        <v>4</v>
      </c>
      <c r="BK82" s="279">
        <v>2</v>
      </c>
      <c r="BL82" s="239" t="s">
        <v>190</v>
      </c>
      <c r="BM82" s="239" t="s">
        <v>190</v>
      </c>
      <c r="BN82" s="239" t="s">
        <v>190</v>
      </c>
      <c r="BO82" s="239" t="s">
        <v>190</v>
      </c>
      <c r="BP82" s="238">
        <v>2</v>
      </c>
      <c r="BQ82" s="238">
        <v>20</v>
      </c>
      <c r="BR82" s="238">
        <v>0</v>
      </c>
      <c r="BS82" s="238">
        <v>0</v>
      </c>
      <c r="BT82" s="204"/>
      <c r="BU82" s="256">
        <v>9</v>
      </c>
      <c r="BV82" s="256">
        <v>0</v>
      </c>
      <c r="BW82" s="256">
        <v>41</v>
      </c>
      <c r="BX82" s="243" t="s">
        <v>190</v>
      </c>
      <c r="BY82" s="204"/>
      <c r="BZ82" s="239">
        <v>9</v>
      </c>
      <c r="CA82" s="239">
        <v>0</v>
      </c>
      <c r="CB82" s="239">
        <v>36</v>
      </c>
      <c r="CC82" s="239" t="s">
        <v>190</v>
      </c>
      <c r="CD82" s="204"/>
      <c r="CE82" s="187"/>
      <c r="CF82" s="187"/>
      <c r="CG82" s="187"/>
      <c r="CH82" s="187"/>
      <c r="CI82" s="204"/>
      <c r="CJ82" s="187"/>
      <c r="CK82" s="187"/>
      <c r="CL82" s="187"/>
      <c r="CM82" s="187"/>
      <c r="CN82" s="205"/>
      <c r="CO82" s="89"/>
      <c r="CP82" s="89"/>
      <c r="CQ82" s="89"/>
      <c r="CR82" s="187"/>
      <c r="CS82" s="204"/>
      <c r="CT82" s="89"/>
      <c r="CU82" s="89"/>
      <c r="CV82" s="89"/>
      <c r="CW82" s="187"/>
      <c r="CX82" s="204"/>
      <c r="CY82" s="89"/>
      <c r="CZ82" s="89"/>
      <c r="DA82" s="89"/>
      <c r="DB82" s="187"/>
      <c r="DC82" s="204"/>
      <c r="DD82" s="89"/>
      <c r="DE82" s="89"/>
      <c r="DF82" s="89"/>
      <c r="DG82" s="187"/>
      <c r="DH82" s="204"/>
      <c r="DI82" s="89"/>
      <c r="DJ82" s="89"/>
      <c r="DK82" s="89"/>
      <c r="DL82" s="187"/>
      <c r="DM82" s="204"/>
      <c r="DN82" s="205"/>
      <c r="DO82" s="205"/>
      <c r="DQ82" s="206"/>
      <c r="DR82" s="188">
        <f t="shared" si="64"/>
        <v>9</v>
      </c>
      <c r="DS82" s="188"/>
      <c r="DT82" s="189">
        <f t="shared" si="65"/>
        <v>0</v>
      </c>
      <c r="DU82" s="189"/>
      <c r="DV82" s="188">
        <f t="shared" si="66"/>
        <v>38.5</v>
      </c>
      <c r="DW82" s="183" t="e">
        <f t="shared" ca="1" si="67"/>
        <v>#NAME?</v>
      </c>
      <c r="DX82" s="207"/>
      <c r="DY82" s="190" t="e">
        <f t="shared" ca="1" si="68"/>
        <v>#NAME?</v>
      </c>
      <c r="DZ82" s="191" t="str">
        <f t="shared" si="190"/>
        <v/>
      </c>
      <c r="EA82" s="191" t="str">
        <f t="shared" si="191"/>
        <v/>
      </c>
      <c r="EB82" s="191" t="str">
        <f t="shared" si="192"/>
        <v/>
      </c>
      <c r="EC82" s="208" t="e">
        <f t="shared" ca="1" si="72"/>
        <v>#NAME?</v>
      </c>
      <c r="ED82" s="36" t="str">
        <f t="shared" si="73"/>
        <v>Equity - Common</v>
      </c>
      <c r="EE82" s="193">
        <f>COUNTIF($ED$2:$ED$92, ED82)/(COUNTIF($ED$2:$ED$92, "&lt;&gt;""") - COUNTIF($ED$2:$ED$92, ""))</f>
        <v>0.32222222222222224</v>
      </c>
      <c r="EF82" s="36" t="str">
        <f t="shared" si="74"/>
        <v>Growth</v>
      </c>
      <c r="EG82" s="207"/>
      <c r="EH82" s="194" t="e">
        <f t="shared" ca="1" si="75"/>
        <v>#NAME?</v>
      </c>
      <c r="EI82" s="194" t="e">
        <f t="shared" ca="1" si="76"/>
        <v>#NAME?</v>
      </c>
      <c r="EJ82" s="209" t="e">
        <f t="shared" ca="1" si="77"/>
        <v>#NAME?</v>
      </c>
      <c r="EK82" s="208" t="e">
        <f t="shared" ca="1" si="193"/>
        <v>#NAME?</v>
      </c>
      <c r="EL82" s="36" t="str">
        <f t="shared" si="79"/>
        <v>No</v>
      </c>
      <c r="EM82" s="207"/>
      <c r="EN82" s="192">
        <f t="shared" si="194"/>
        <v>1.8571428571428572</v>
      </c>
      <c r="EO82" s="192">
        <f t="shared" si="195"/>
        <v>1</v>
      </c>
      <c r="EP82" s="209">
        <f t="shared" si="82"/>
        <v>2.8571428571428572</v>
      </c>
      <c r="EQ82" s="210">
        <f t="shared" si="196"/>
        <v>1.6728971962616823</v>
      </c>
      <c r="ER82" s="36" t="e">
        <f t="shared" ca="1" si="84"/>
        <v>#NAME?</v>
      </c>
      <c r="ES82" s="40">
        <f ca="1">COUNTIF($ER$2:$ER$92, ER82)/(COUNTIF($ER$2:$ER$92, "&lt;&gt;""") - COUNTIF($ER$2:$ER$92, ""))</f>
        <v>1</v>
      </c>
      <c r="ET82" s="36">
        <f t="shared" si="85"/>
        <v>2</v>
      </c>
      <c r="EU82" s="40">
        <f>COUNTIF($ET$2:$ET$92, ET82)/(COUNTIF($ET$2:$ET$92, "&lt;&gt;""") - COUNTIF($ET$2:$ET$92, ""))</f>
        <v>0.45555555555555555</v>
      </c>
      <c r="EV82" s="36">
        <f t="shared" si="86"/>
        <v>20</v>
      </c>
      <c r="EW82" s="40">
        <f>COUNTIF($EV$2:$EV$92, EV82)/(COUNTIF($EV$2:$EV$92, "&lt;&gt;""") - COUNTIF($EV$2:$EV$92, ""))</f>
        <v>2.2222222222222223E-2</v>
      </c>
      <c r="EX82" s="36" t="str">
        <f t="shared" si="87"/>
        <v>No</v>
      </c>
      <c r="EY82" s="40">
        <f>COUNTIF($EX$2:$EX$92, EX82)/(COUNTIF($EX$2:$EX$92, "&lt;&gt;""") - COUNTIF($EX$2:$EX$92, ""))</f>
        <v>0.72222222222222221</v>
      </c>
      <c r="EZ82" s="36" t="str">
        <f t="shared" ref="EZ82:FB82" si="205">BM82</f>
        <v>No</v>
      </c>
      <c r="FA82" s="36" t="str">
        <f t="shared" si="205"/>
        <v>No</v>
      </c>
      <c r="FB82" s="36" t="str">
        <f t="shared" si="205"/>
        <v>No</v>
      </c>
      <c r="FC82" s="207"/>
      <c r="FD82" s="36" t="str">
        <f t="shared" si="89"/>
        <v>Transactional</v>
      </c>
      <c r="FE82" s="40">
        <f>COUNTIF($FD$2:$FD$92, FD82)/(COUNTIF($FD$2:$FD$92, "&lt;&gt;""") - COUNTIF($FD$2:$FD$92, ""))</f>
        <v>0.6</v>
      </c>
      <c r="FF82" s="36" t="str">
        <f t="shared" si="90"/>
        <v>B2B/B2C</v>
      </c>
      <c r="FG82" s="40">
        <f>COUNTIF($FF$2:$FF$92, FF82)/(COUNTIF($FF$2:$FF$92, "&lt;&gt;""") - COUNTIF($FF$2:$FF$92, ""))</f>
        <v>0.27777777777777779</v>
      </c>
      <c r="FH82" s="36" t="str">
        <f t="shared" si="91"/>
        <v>High</v>
      </c>
      <c r="FI82" s="40">
        <f>COUNTIF($FH$2:$FH$92, FH82)/(COUNTIF($FH$2:$FH$92, "&lt;&gt;""") - COUNTIF($FH$2:$FH$92, ""))</f>
        <v>0.53333333333333333</v>
      </c>
      <c r="FJ82" s="36" t="str">
        <f t="shared" si="92"/>
        <v>High</v>
      </c>
      <c r="FK82" s="40">
        <f>COUNTIF($FJ$2:$FJ$92, FJ82)/(COUNTIF($FJ$2:$FJ$92, "&lt;&gt;""") - COUNTIF($FJ$2:$FJ$92, ""))</f>
        <v>0.58888888888888891</v>
      </c>
      <c r="FL82" s="207"/>
      <c r="FM82" s="192">
        <f t="shared" si="93"/>
        <v>5</v>
      </c>
      <c r="FN82" s="192" t="e">
        <f t="shared" ca="1" si="94"/>
        <v>#NAME?</v>
      </c>
      <c r="FO82" s="192" t="e">
        <f t="shared" ca="1" si="95"/>
        <v>#NAME?</v>
      </c>
      <c r="FP82" s="192" t="e">
        <f t="shared" ca="1" si="96"/>
        <v>#NAME?</v>
      </c>
      <c r="FQ82" s="209" t="e">
        <f t="shared" ca="1" si="97"/>
        <v>#NAME?</v>
      </c>
      <c r="FR82" s="208" t="e">
        <f t="shared" ca="1" si="198"/>
        <v>#NAME?</v>
      </c>
      <c r="FS82" s="36" t="str">
        <f t="shared" si="99"/>
        <v>Pre-Profit</v>
      </c>
      <c r="FT82" s="196">
        <f>COUNTIF($FS$2:$FS$92, FS82)/(COUNTIF($FS$2:$FS$92, "&lt;&gt;""") - COUNTIF($FZ$2:$FZ$92, ""))</f>
        <v>0.51111111111111107</v>
      </c>
      <c r="FU82" s="207"/>
      <c r="FV82" s="192" t="e">
        <f t="shared" ca="1" si="100"/>
        <v>#NAME?</v>
      </c>
      <c r="FW82" s="197" t="e">
        <f t="shared" ca="1" si="101"/>
        <v>#NAME?</v>
      </c>
      <c r="FX82" s="209" t="e">
        <f t="shared" ca="1" si="102"/>
        <v>#NAME?</v>
      </c>
      <c r="FY82" s="211" t="e">
        <f t="shared" ca="1" si="199"/>
        <v>#NAME?</v>
      </c>
      <c r="FZ82" s="36" t="str">
        <f t="shared" si="104"/>
        <v>No</v>
      </c>
      <c r="GA82" s="196">
        <f>COUNTIF($FZ$2:$FZ$92, FZ82)/(COUNTIF($FZ$2:$FZ$92, "&lt;&gt;""") - COUNTIF($FZ$2:$FZ$92, ""))</f>
        <v>0.76666666666666672</v>
      </c>
      <c r="GB82" s="196" t="str">
        <f t="shared" si="105"/>
        <v>Low</v>
      </c>
      <c r="GC82" s="196">
        <f>COUNTIF($GB$2:$GB$92, GB82)/(COUNTIF($GB$2:$GB$92, "&lt;&gt;""") - COUNTIF($GB$2:$GB$92, ""))</f>
        <v>0.55555555555555558</v>
      </c>
      <c r="GD82" s="196" t="str">
        <f t="shared" si="106"/>
        <v>High</v>
      </c>
      <c r="GE82" s="196">
        <f>COUNTIF($GD$2:$GD$92, GD82)/(COUNTIF($GD$2:$GD$92, "&lt;&gt;""") - COUNTIF($GD$2:$GD$92, ""))</f>
        <v>0.8</v>
      </c>
      <c r="GF82" s="207"/>
      <c r="GG82" s="36"/>
      <c r="GH82" s="209" t="e">
        <f t="shared" ca="1" si="107"/>
        <v>#NAME?</v>
      </c>
      <c r="GI82" s="212" t="e">
        <f t="shared" ca="1" si="200"/>
        <v>#NAME?</v>
      </c>
    </row>
    <row r="83" spans="1:191" ht="15.75" customHeight="1">
      <c r="A83" s="174"/>
      <c r="B83" s="174" t="s">
        <v>433</v>
      </c>
      <c r="C83" s="238">
        <v>1796036</v>
      </c>
      <c r="D83" s="244" t="s">
        <v>1047</v>
      </c>
      <c r="E83" s="245">
        <v>43805.406944444447</v>
      </c>
      <c r="F83" s="239" t="s">
        <v>337</v>
      </c>
      <c r="G83" s="32" t="s">
        <v>1048</v>
      </c>
      <c r="H83" s="32" t="s">
        <v>1049</v>
      </c>
      <c r="I83" s="266">
        <v>43804</v>
      </c>
      <c r="J83" s="247" t="s">
        <v>1050</v>
      </c>
      <c r="K83" s="247" t="s">
        <v>1047</v>
      </c>
      <c r="M83" s="239" t="s">
        <v>918</v>
      </c>
      <c r="N83" s="239" t="s">
        <v>194</v>
      </c>
      <c r="O83" s="239" t="s">
        <v>30</v>
      </c>
      <c r="P83" s="239" t="s">
        <v>31</v>
      </c>
      <c r="Q83" s="239" t="s">
        <v>35</v>
      </c>
      <c r="R83" s="242"/>
      <c r="S83" s="239" t="s">
        <v>216</v>
      </c>
      <c r="T83" s="248"/>
      <c r="U83" s="249"/>
      <c r="V83" s="251">
        <v>39000000</v>
      </c>
      <c r="W83" s="250"/>
      <c r="X83" s="252"/>
      <c r="Y83" s="55" t="str">
        <f t="shared" si="158"/>
        <v/>
      </c>
      <c r="Z83" s="274">
        <f t="shared" si="159"/>
        <v>39000000</v>
      </c>
      <c r="AA83" s="183" t="e">
        <f t="shared" ca="1" si="160"/>
        <v>#NAME?</v>
      </c>
      <c r="AB83" s="239" t="s">
        <v>36</v>
      </c>
      <c r="AC83" s="239" t="s">
        <v>200</v>
      </c>
      <c r="AD83" s="239" t="s">
        <v>180</v>
      </c>
      <c r="AE83" s="239" t="s">
        <v>190</v>
      </c>
      <c r="AF83" s="239" t="s">
        <v>39</v>
      </c>
      <c r="AG83" s="239" t="s">
        <v>39</v>
      </c>
      <c r="AH83" s="239" t="s">
        <v>190</v>
      </c>
      <c r="AI83" s="251"/>
      <c r="AJ83" s="279">
        <v>8000000000</v>
      </c>
      <c r="AK83" s="224" t="e">
        <f t="shared" ca="1" si="161"/>
        <v>#NAME?</v>
      </c>
      <c r="AL83" s="279">
        <v>8000000000</v>
      </c>
      <c r="AM83" s="224" t="e">
        <f t="shared" ca="1" si="162"/>
        <v>#NAME?</v>
      </c>
      <c r="AN83" s="279">
        <v>0.125</v>
      </c>
      <c r="AO83" s="185" t="e">
        <f t="shared" ca="1" si="63"/>
        <v>#NAME?</v>
      </c>
      <c r="AP83" s="185" t="s">
        <v>169</v>
      </c>
      <c r="AQ83" s="239" t="s">
        <v>39</v>
      </c>
      <c r="AR83" s="239" t="s">
        <v>181</v>
      </c>
      <c r="AS83" s="239" t="s">
        <v>182</v>
      </c>
      <c r="AT83" s="29" t="s">
        <v>39</v>
      </c>
      <c r="AU83" s="29" t="s">
        <v>181</v>
      </c>
      <c r="AV83" s="239" t="s">
        <v>227</v>
      </c>
      <c r="AW83" s="239" t="s">
        <v>190</v>
      </c>
      <c r="AX83" s="239" t="s">
        <v>190</v>
      </c>
      <c r="AY83" s="239" t="s">
        <v>190</v>
      </c>
      <c r="AZ83" s="251">
        <v>0</v>
      </c>
      <c r="BA83" s="55" t="e">
        <f t="shared" ca="1" si="163"/>
        <v>#NAME?</v>
      </c>
      <c r="BB83" s="279">
        <v>0</v>
      </c>
      <c r="BC83" s="279">
        <v>0</v>
      </c>
      <c r="BD83" s="62" t="e">
        <f t="shared" ca="1" si="164"/>
        <v>#NAME?</v>
      </c>
      <c r="BE83" s="277">
        <f t="shared" si="165"/>
        <v>1</v>
      </c>
      <c r="BF83" s="62" t="e">
        <f t="shared" ca="1" si="166"/>
        <v>#NAME?</v>
      </c>
      <c r="BG83" s="239" t="s">
        <v>43</v>
      </c>
      <c r="BH83" s="239" t="s">
        <v>220</v>
      </c>
      <c r="BI83" s="239" t="s">
        <v>190</v>
      </c>
      <c r="BJ83" s="239">
        <v>0</v>
      </c>
      <c r="BK83" s="279">
        <v>1</v>
      </c>
      <c r="BL83" s="239" t="s">
        <v>227</v>
      </c>
      <c r="BM83" s="239" t="s">
        <v>227</v>
      </c>
      <c r="BN83" s="239" t="s">
        <v>227</v>
      </c>
      <c r="BO83" s="239" t="s">
        <v>190</v>
      </c>
      <c r="BP83" s="238">
        <v>0</v>
      </c>
      <c r="BQ83" s="238">
        <v>6</v>
      </c>
      <c r="BR83" s="238">
        <v>4</v>
      </c>
      <c r="BS83" s="238">
        <v>0</v>
      </c>
      <c r="BT83" s="204"/>
      <c r="BU83" s="256">
        <v>0</v>
      </c>
      <c r="BV83" s="256">
        <v>0</v>
      </c>
      <c r="BW83" s="256">
        <v>42</v>
      </c>
      <c r="BX83" s="243" t="s">
        <v>190</v>
      </c>
      <c r="BY83" s="204"/>
      <c r="BZ83" s="187"/>
      <c r="CA83" s="187"/>
      <c r="CB83" s="187"/>
      <c r="CC83" s="187"/>
      <c r="CD83" s="204"/>
      <c r="CE83" s="187"/>
      <c r="CF83" s="187"/>
      <c r="CG83" s="187"/>
      <c r="CH83" s="187"/>
      <c r="CI83" s="204"/>
      <c r="CJ83" s="187"/>
      <c r="CK83" s="187"/>
      <c r="CL83" s="187"/>
      <c r="CM83" s="187"/>
      <c r="CN83" s="205"/>
      <c r="CO83" s="187"/>
      <c r="CP83" s="187"/>
      <c r="CQ83" s="187"/>
      <c r="CR83" s="187"/>
      <c r="CS83" s="204"/>
      <c r="CT83" s="187"/>
      <c r="CU83" s="187"/>
      <c r="CV83" s="187"/>
      <c r="CW83" s="187"/>
      <c r="CX83" s="204"/>
      <c r="CY83" s="187"/>
      <c r="CZ83" s="187"/>
      <c r="DA83" s="187"/>
      <c r="DB83" s="187"/>
      <c r="DC83" s="204"/>
      <c r="DD83" s="187"/>
      <c r="DE83" s="187"/>
      <c r="DF83" s="187"/>
      <c r="DG83" s="187"/>
      <c r="DH83" s="204"/>
      <c r="DI83" s="187"/>
      <c r="DJ83" s="187"/>
      <c r="DK83" s="187"/>
      <c r="DL83" s="187"/>
      <c r="DM83" s="204"/>
      <c r="DN83" s="205"/>
      <c r="DO83" s="205"/>
      <c r="DQ83" s="206"/>
      <c r="DR83" s="188">
        <f t="shared" si="64"/>
        <v>0</v>
      </c>
      <c r="DS83" s="188"/>
      <c r="DT83" s="189">
        <f t="shared" si="65"/>
        <v>0</v>
      </c>
      <c r="DU83" s="189"/>
      <c r="DV83" s="188">
        <f t="shared" si="66"/>
        <v>42</v>
      </c>
      <c r="DW83" s="183" t="e">
        <f t="shared" ca="1" si="67"/>
        <v>#NAME?</v>
      </c>
      <c r="DX83" s="207"/>
      <c r="DY83" s="190" t="e">
        <f t="shared" ca="1" si="68"/>
        <v>#NAME?</v>
      </c>
      <c r="DZ83" s="191" t="str">
        <f t="shared" si="190"/>
        <v/>
      </c>
      <c r="EA83" s="191" t="str">
        <f t="shared" si="191"/>
        <v/>
      </c>
      <c r="EB83" s="191" t="str">
        <f t="shared" si="192"/>
        <v/>
      </c>
      <c r="EC83" s="208" t="e">
        <f t="shared" ca="1" si="72"/>
        <v>#NAME?</v>
      </c>
      <c r="ED83" s="36" t="str">
        <f t="shared" si="73"/>
        <v>Equity - Common</v>
      </c>
      <c r="EE83" s="193">
        <f>COUNTIF($ED$2:$ED$92, ED83)/(COUNTIF($ED$2:$ED$92, "&lt;&gt;""") - COUNTIF($ED$2:$ED$92, ""))</f>
        <v>0.32222222222222224</v>
      </c>
      <c r="EF83" s="36" t="str">
        <f t="shared" si="74"/>
        <v>Early</v>
      </c>
      <c r="EG83" s="207"/>
      <c r="EH83" s="194" t="e">
        <f t="shared" ca="1" si="75"/>
        <v>#NAME?</v>
      </c>
      <c r="EI83" s="194" t="e">
        <f t="shared" ca="1" si="76"/>
        <v>#NAME?</v>
      </c>
      <c r="EJ83" s="209" t="e">
        <f t="shared" ca="1" si="77"/>
        <v>#NAME?</v>
      </c>
      <c r="EK83" s="208" t="e">
        <f t="shared" ca="1" si="193"/>
        <v>#NAME?</v>
      </c>
      <c r="EL83" s="36" t="str">
        <f t="shared" si="79"/>
        <v>Yes</v>
      </c>
      <c r="EM83" s="207"/>
      <c r="EN83" s="192">
        <f t="shared" si="194"/>
        <v>1</v>
      </c>
      <c r="EO83" s="192">
        <f t="shared" si="195"/>
        <v>1</v>
      </c>
      <c r="EP83" s="209">
        <f t="shared" si="82"/>
        <v>2</v>
      </c>
      <c r="EQ83" s="210">
        <f t="shared" si="196"/>
        <v>1</v>
      </c>
      <c r="ER83" s="36" t="e">
        <f t="shared" ca="1" si="84"/>
        <v>#NAME?</v>
      </c>
      <c r="ES83" s="40">
        <f ca="1">COUNTIF($ER$2:$ER$92, ER83)/(COUNTIF($ER$2:$ER$92, "&lt;&gt;""") - COUNTIF($ER$2:$ER$92, ""))</f>
        <v>1</v>
      </c>
      <c r="ET83" s="36">
        <f t="shared" si="85"/>
        <v>1</v>
      </c>
      <c r="EU83" s="40">
        <f>COUNTIF($ET$2:$ET$92, ET83)/(COUNTIF($ET$2:$ET$92, "&lt;&gt;""") - COUNTIF($ET$2:$ET$92, ""))</f>
        <v>0.45555555555555555</v>
      </c>
      <c r="EV83" s="36">
        <f t="shared" si="86"/>
        <v>6</v>
      </c>
      <c r="EW83" s="40">
        <f>COUNTIF($EV$2:$EV$92, EV83)/(COUNTIF($EV$2:$EV$92, "&lt;&gt;""") - COUNTIF($EV$2:$EV$92, ""))</f>
        <v>5.5555555555555552E-2</v>
      </c>
      <c r="EX83" s="36" t="str">
        <f t="shared" si="87"/>
        <v>Yes</v>
      </c>
      <c r="EY83" s="40">
        <f>COUNTIF($EX$2:$EX$92, EX83)/(COUNTIF($EX$2:$EX$92, "&lt;&gt;""") - COUNTIF($EX$2:$EX$92, ""))</f>
        <v>0.27777777777777779</v>
      </c>
      <c r="EZ83" s="36" t="str">
        <f t="shared" ref="EZ83:FB83" si="206">BM83</f>
        <v>Yes</v>
      </c>
      <c r="FA83" s="36" t="str">
        <f t="shared" si="206"/>
        <v>Yes</v>
      </c>
      <c r="FB83" s="36" t="str">
        <f t="shared" si="206"/>
        <v>No</v>
      </c>
      <c r="FC83" s="207"/>
      <c r="FD83" s="36" t="str">
        <f t="shared" si="89"/>
        <v>Transactional</v>
      </c>
      <c r="FE83" s="40">
        <f>COUNTIF($FD$2:$FD$92, FD83)/(COUNTIF($FD$2:$FD$92, "&lt;&gt;""") - COUNTIF($FD$2:$FD$92, ""))</f>
        <v>0.6</v>
      </c>
      <c r="FF83" s="36" t="str">
        <f t="shared" si="90"/>
        <v>B2B2C</v>
      </c>
      <c r="FG83" s="40">
        <f>COUNTIF($FF$2:$FF$92, FF83)/(COUNTIF($FF$2:$FF$92, "&lt;&gt;""") - COUNTIF($FF$2:$FF$92, ""))</f>
        <v>6.6666666666666666E-2</v>
      </c>
      <c r="FH83" s="36" t="str">
        <f t="shared" si="91"/>
        <v>High</v>
      </c>
      <c r="FI83" s="40">
        <f>COUNTIF($FH$2:$FH$92, FH83)/(COUNTIF($FH$2:$FH$92, "&lt;&gt;""") - COUNTIF($FH$2:$FH$92, ""))</f>
        <v>0.53333333333333333</v>
      </c>
      <c r="FJ83" s="36" t="str">
        <f t="shared" si="92"/>
        <v>High</v>
      </c>
      <c r="FK83" s="40">
        <f>COUNTIF($FJ$2:$FJ$92, FJ83)/(COUNTIF($FJ$2:$FJ$92, "&lt;&gt;""") - COUNTIF($FJ$2:$FJ$92, ""))</f>
        <v>0.58888888888888891</v>
      </c>
      <c r="FL83" s="207"/>
      <c r="FM83" s="192">
        <f t="shared" si="93"/>
        <v>1</v>
      </c>
      <c r="FN83" s="192" t="e">
        <f t="shared" ca="1" si="94"/>
        <v>#NAME?</v>
      </c>
      <c r="FO83" s="192" t="e">
        <f t="shared" ca="1" si="95"/>
        <v>#NAME?</v>
      </c>
      <c r="FP83" s="192" t="e">
        <f t="shared" ca="1" si="96"/>
        <v>#NAME?</v>
      </c>
      <c r="FQ83" s="209" t="e">
        <f t="shared" ca="1" si="97"/>
        <v>#NAME?</v>
      </c>
      <c r="FR83" s="208" t="e">
        <f t="shared" ca="1" si="198"/>
        <v>#NAME?</v>
      </c>
      <c r="FS83" s="36" t="str">
        <f t="shared" si="99"/>
        <v>Pre-Product</v>
      </c>
      <c r="FT83" s="196">
        <f>COUNTIF($FS$2:$FS$92, FS83)/(COUNTIF($FS$2:$FS$92, "&lt;&gt;""") - COUNTIF($FZ$2:$FZ$92, ""))</f>
        <v>0.22222222222222221</v>
      </c>
      <c r="FU83" s="207"/>
      <c r="FV83" s="192">
        <f t="shared" si="100"/>
        <v>3</v>
      </c>
      <c r="FW83" s="197" t="e">
        <f t="shared" ca="1" si="101"/>
        <v>#NAME?</v>
      </c>
      <c r="FX83" s="209" t="e">
        <f t="shared" ca="1" si="102"/>
        <v>#NAME?</v>
      </c>
      <c r="FY83" s="211" t="e">
        <f t="shared" ca="1" si="199"/>
        <v>#NAME?</v>
      </c>
      <c r="FZ83" s="36" t="str">
        <f t="shared" si="104"/>
        <v>No</v>
      </c>
      <c r="GA83" s="196">
        <f>COUNTIF($FZ$2:$FZ$92, FZ83)/(COUNTIF($FZ$2:$FZ$92, "&lt;&gt;""") - COUNTIF($FZ$2:$FZ$92, ""))</f>
        <v>0.76666666666666672</v>
      </c>
      <c r="GB83" s="196" t="str">
        <f t="shared" si="105"/>
        <v>High</v>
      </c>
      <c r="GC83" s="196">
        <f>COUNTIF($GB$2:$GB$92, GB83)/(COUNTIF($GB$2:$GB$92, "&lt;&gt;""") - COUNTIF($GB$2:$GB$92, ""))</f>
        <v>0.43333333333333335</v>
      </c>
      <c r="GD83" s="196" t="str">
        <f t="shared" si="106"/>
        <v>Low</v>
      </c>
      <c r="GE83" s="196">
        <f>COUNTIF($GD$2:$GD$92, GD83)/(COUNTIF($GD$2:$GD$92, "&lt;&gt;""") - COUNTIF($GD$2:$GD$92, ""))</f>
        <v>0.18888888888888888</v>
      </c>
      <c r="GF83" s="207"/>
      <c r="GG83" s="36"/>
      <c r="GH83" s="209" t="e">
        <f t="shared" ca="1" si="107"/>
        <v>#NAME?</v>
      </c>
      <c r="GI83" s="212" t="e">
        <f t="shared" ca="1" si="200"/>
        <v>#NAME?</v>
      </c>
    </row>
    <row r="84" spans="1:191" ht="15.75" customHeight="1">
      <c r="A84" s="182"/>
      <c r="B84" s="182" t="s">
        <v>433</v>
      </c>
      <c r="C84" s="256">
        <v>1661779</v>
      </c>
      <c r="D84" s="247" t="s">
        <v>1051</v>
      </c>
      <c r="E84" s="265">
        <v>43805.425000000003</v>
      </c>
      <c r="F84" s="243" t="s">
        <v>341</v>
      </c>
      <c r="G84" s="257" t="s">
        <v>1052</v>
      </c>
      <c r="H84" s="257" t="s">
        <v>1053</v>
      </c>
      <c r="I84" s="258">
        <v>43902</v>
      </c>
      <c r="J84" s="247" t="s">
        <v>1054</v>
      </c>
      <c r="K84" s="247" t="s">
        <v>337</v>
      </c>
      <c r="M84" s="243" t="s">
        <v>1055</v>
      </c>
      <c r="N84" s="243" t="s">
        <v>278</v>
      </c>
      <c r="O84" s="243" t="s">
        <v>30</v>
      </c>
      <c r="P84" s="243" t="s">
        <v>174</v>
      </c>
      <c r="Q84" s="243" t="s">
        <v>35</v>
      </c>
      <c r="R84" s="187"/>
      <c r="S84" s="243" t="s">
        <v>216</v>
      </c>
      <c r="T84" s="248"/>
      <c r="U84" s="249"/>
      <c r="V84" s="64">
        <v>120000000</v>
      </c>
      <c r="W84" s="250"/>
      <c r="X84" s="261"/>
      <c r="Y84" s="55" t="str">
        <f t="shared" si="158"/>
        <v/>
      </c>
      <c r="Z84" s="274">
        <f t="shared" si="159"/>
        <v>120000000</v>
      </c>
      <c r="AA84" s="183" t="e">
        <f t="shared" ca="1" si="160"/>
        <v>#NAME?</v>
      </c>
      <c r="AB84" s="243" t="s">
        <v>36</v>
      </c>
      <c r="AC84" s="243" t="s">
        <v>218</v>
      </c>
      <c r="AD84" s="243" t="s">
        <v>180</v>
      </c>
      <c r="AE84" s="243" t="s">
        <v>227</v>
      </c>
      <c r="AF84" s="243" t="s">
        <v>181</v>
      </c>
      <c r="AG84" s="243" t="s">
        <v>181</v>
      </c>
      <c r="AH84" s="239" t="s">
        <v>190</v>
      </c>
      <c r="AI84" s="64"/>
      <c r="AJ84" s="279">
        <v>13725120000</v>
      </c>
      <c r="AK84" s="224" t="e">
        <f t="shared" ca="1" si="161"/>
        <v>#NAME?</v>
      </c>
      <c r="AL84" s="279">
        <v>13725120000</v>
      </c>
      <c r="AM84" s="224" t="e">
        <f t="shared" ca="1" si="162"/>
        <v>#NAME?</v>
      </c>
      <c r="AN84" s="279">
        <v>0.16</v>
      </c>
      <c r="AO84" s="185" t="e">
        <f t="shared" ca="1" si="63"/>
        <v>#NAME?</v>
      </c>
      <c r="AP84" s="185" t="s">
        <v>228</v>
      </c>
      <c r="AQ84" s="243" t="s">
        <v>181</v>
      </c>
      <c r="AR84" s="243" t="s">
        <v>181</v>
      </c>
      <c r="AS84" s="243" t="s">
        <v>42</v>
      </c>
      <c r="AT84" s="35" t="s">
        <v>39</v>
      </c>
      <c r="AU84" s="35" t="s">
        <v>39</v>
      </c>
      <c r="AV84" s="243" t="s">
        <v>190</v>
      </c>
      <c r="AW84" s="243" t="s">
        <v>190</v>
      </c>
      <c r="AX84" s="243" t="s">
        <v>227</v>
      </c>
      <c r="AY84" s="243" t="s">
        <v>227</v>
      </c>
      <c r="AZ84" s="64">
        <v>4682528</v>
      </c>
      <c r="BA84" s="55" t="e">
        <f t="shared" ca="1" si="163"/>
        <v>#NAME?</v>
      </c>
      <c r="BB84" s="279">
        <v>383375</v>
      </c>
      <c r="BC84" s="279">
        <v>5000000</v>
      </c>
      <c r="BD84" s="62" t="e">
        <f t="shared" ca="1" si="164"/>
        <v>#NAME?</v>
      </c>
      <c r="BE84" s="277">
        <f t="shared" si="165"/>
        <v>7.6674999999999993E-2</v>
      </c>
      <c r="BF84" s="62" t="e">
        <f t="shared" ca="1" si="166"/>
        <v>#NAME?</v>
      </c>
      <c r="BG84" s="243" t="s">
        <v>202</v>
      </c>
      <c r="BH84" s="187"/>
      <c r="BI84" s="243" t="s">
        <v>190</v>
      </c>
      <c r="BJ84" s="239">
        <v>0</v>
      </c>
      <c r="BK84" s="279">
        <v>3</v>
      </c>
      <c r="BL84" s="239" t="s">
        <v>227</v>
      </c>
      <c r="BM84" s="243" t="s">
        <v>190</v>
      </c>
      <c r="BN84" s="243" t="s">
        <v>190</v>
      </c>
      <c r="BO84" s="243" t="s">
        <v>227</v>
      </c>
      <c r="BP84" s="256">
        <v>3</v>
      </c>
      <c r="BQ84" s="256">
        <v>29</v>
      </c>
      <c r="BR84" s="256">
        <v>0</v>
      </c>
      <c r="BS84" s="256">
        <v>0</v>
      </c>
      <c r="BT84" s="204"/>
      <c r="BU84" s="256">
        <v>9</v>
      </c>
      <c r="BV84" s="256">
        <v>1</v>
      </c>
      <c r="BW84" s="256">
        <v>55</v>
      </c>
      <c r="BX84" s="243" t="s">
        <v>227</v>
      </c>
      <c r="BY84" s="204"/>
      <c r="BZ84" s="256">
        <v>6</v>
      </c>
      <c r="CA84" s="256">
        <v>2</v>
      </c>
      <c r="CB84" s="256">
        <v>54</v>
      </c>
      <c r="CC84" s="239" t="s">
        <v>190</v>
      </c>
      <c r="CD84" s="204"/>
      <c r="CE84" s="187"/>
      <c r="CF84" s="187"/>
      <c r="CG84" s="187"/>
      <c r="CH84" s="187"/>
      <c r="CI84" s="204"/>
      <c r="CJ84" s="187"/>
      <c r="CK84" s="187"/>
      <c r="CL84" s="187"/>
      <c r="CM84" s="187"/>
      <c r="CN84" s="205"/>
      <c r="CO84" s="187"/>
      <c r="CP84" s="187"/>
      <c r="CQ84" s="187"/>
      <c r="CR84" s="187"/>
      <c r="CS84" s="204"/>
      <c r="CT84" s="187"/>
      <c r="CU84" s="187"/>
      <c r="CV84" s="187"/>
      <c r="CW84" s="187"/>
      <c r="CX84" s="204"/>
      <c r="CY84" s="187"/>
      <c r="CZ84" s="187"/>
      <c r="DA84" s="187"/>
      <c r="DB84" s="187"/>
      <c r="DC84" s="204"/>
      <c r="DD84" s="187"/>
      <c r="DE84" s="187"/>
      <c r="DF84" s="187"/>
      <c r="DG84" s="187"/>
      <c r="DH84" s="204"/>
      <c r="DI84" s="187"/>
      <c r="DJ84" s="187"/>
      <c r="DK84" s="187"/>
      <c r="DL84" s="187"/>
      <c r="DM84" s="204"/>
      <c r="DN84" s="205"/>
      <c r="DO84" s="205"/>
      <c r="DQ84" s="206"/>
      <c r="DR84" s="188">
        <f t="shared" si="64"/>
        <v>7.5</v>
      </c>
      <c r="DS84" s="188"/>
      <c r="DT84" s="189">
        <f t="shared" si="65"/>
        <v>3</v>
      </c>
      <c r="DU84" s="189"/>
      <c r="DV84" s="188">
        <f t="shared" si="66"/>
        <v>54.5</v>
      </c>
      <c r="DW84" s="183" t="e">
        <f t="shared" ca="1" si="67"/>
        <v>#NAME?</v>
      </c>
      <c r="DX84" s="207"/>
      <c r="DY84" s="190" t="e">
        <f t="shared" ca="1" si="68"/>
        <v>#NAME?</v>
      </c>
      <c r="DZ84" s="191" t="str">
        <f t="shared" si="190"/>
        <v/>
      </c>
      <c r="EA84" s="191" t="str">
        <f t="shared" si="191"/>
        <v/>
      </c>
      <c r="EB84" s="191" t="str">
        <f t="shared" si="192"/>
        <v/>
      </c>
      <c r="EC84" s="208" t="e">
        <f t="shared" ca="1" si="72"/>
        <v>#NAME?</v>
      </c>
      <c r="ED84" s="36" t="str">
        <f t="shared" si="73"/>
        <v>Equity - Common</v>
      </c>
      <c r="EE84" s="193">
        <f>COUNTIF($ED$2:$ED$92, ED84)/(COUNTIF($ED$2:$ED$92, "&lt;&gt;""") - COUNTIF($ED$2:$ED$92, ""))</f>
        <v>0.32222222222222224</v>
      </c>
      <c r="EF84" s="36" t="str">
        <f t="shared" si="74"/>
        <v>Early</v>
      </c>
      <c r="EG84" s="207"/>
      <c r="EH84" s="194" t="e">
        <f t="shared" ca="1" si="75"/>
        <v>#NAME?</v>
      </c>
      <c r="EI84" s="194" t="e">
        <f t="shared" ca="1" si="76"/>
        <v>#NAME?</v>
      </c>
      <c r="EJ84" s="209" t="e">
        <f t="shared" ca="1" si="77"/>
        <v>#NAME?</v>
      </c>
      <c r="EK84" s="208" t="e">
        <f t="shared" ca="1" si="193"/>
        <v>#NAME?</v>
      </c>
      <c r="EL84" s="36" t="str">
        <f t="shared" si="79"/>
        <v>No</v>
      </c>
      <c r="EM84" s="207"/>
      <c r="EN84" s="192">
        <f t="shared" si="194"/>
        <v>1.7142857142857144</v>
      </c>
      <c r="EO84" s="192">
        <f t="shared" si="195"/>
        <v>4</v>
      </c>
      <c r="EP84" s="209">
        <f t="shared" si="82"/>
        <v>5.7142857142857144</v>
      </c>
      <c r="EQ84" s="210">
        <f t="shared" si="196"/>
        <v>3.91588785046729</v>
      </c>
      <c r="ER84" s="36" t="e">
        <f t="shared" ca="1" si="84"/>
        <v>#NAME?</v>
      </c>
      <c r="ES84" s="40">
        <f ca="1">COUNTIF($ER$2:$ER$92, ER84)/(COUNTIF($ER$2:$ER$92, "&lt;&gt;""") - COUNTIF($ER$2:$ER$92, ""))</f>
        <v>1</v>
      </c>
      <c r="ET84" s="36">
        <f t="shared" si="85"/>
        <v>3</v>
      </c>
      <c r="EU84" s="40">
        <f>COUNTIF($ET$2:$ET$92, ET84)/(COUNTIF($ET$2:$ET$92, "&lt;&gt;""") - COUNTIF($ET$2:$ET$92, ""))</f>
        <v>4.4444444444444446E-2</v>
      </c>
      <c r="EV84" s="36">
        <f t="shared" si="86"/>
        <v>29</v>
      </c>
      <c r="EW84" s="40">
        <f>COUNTIF($EV$2:$EV$92, EV84)/(COUNTIF($EV$2:$EV$92, "&lt;&gt;""") - COUNTIF($EV$2:$EV$92, ""))</f>
        <v>1.1111111111111112E-2</v>
      </c>
      <c r="EX84" s="36" t="str">
        <f t="shared" si="87"/>
        <v>Yes</v>
      </c>
      <c r="EY84" s="40">
        <f>COUNTIF($EX$2:$EX$92, EX84)/(COUNTIF($EX$2:$EX$92, "&lt;&gt;""") - COUNTIF($EX$2:$EX$92, ""))</f>
        <v>0.27777777777777779</v>
      </c>
      <c r="EZ84" s="36" t="str">
        <f t="shared" ref="EZ84:FB84" si="207">BM84</f>
        <v>No</v>
      </c>
      <c r="FA84" s="36" t="str">
        <f t="shared" si="207"/>
        <v>No</v>
      </c>
      <c r="FB84" s="36" t="str">
        <f t="shared" si="207"/>
        <v>Yes</v>
      </c>
      <c r="FC84" s="207"/>
      <c r="FD84" s="36" t="str">
        <f t="shared" si="89"/>
        <v>Transactional</v>
      </c>
      <c r="FE84" s="40">
        <f>COUNTIF($FD$2:$FD$92, FD84)/(COUNTIF($FD$2:$FD$92, "&lt;&gt;""") - COUNTIF($FD$2:$FD$92, ""))</f>
        <v>0.6</v>
      </c>
      <c r="FF84" s="36" t="str">
        <f t="shared" si="90"/>
        <v>B2B/B2C</v>
      </c>
      <c r="FG84" s="40">
        <f>COUNTIF($FF$2:$FF$92, FF84)/(COUNTIF($FF$2:$FF$92, "&lt;&gt;""") - COUNTIF($FF$2:$FF$92, ""))</f>
        <v>0.27777777777777779</v>
      </c>
      <c r="FH84" s="36" t="str">
        <f t="shared" si="91"/>
        <v>Low</v>
      </c>
      <c r="FI84" s="40">
        <f>COUNTIF($FH$2:$FH$92, FH84)/(COUNTIF($FH$2:$FH$92, "&lt;&gt;""") - COUNTIF($FH$2:$FH$92, ""))</f>
        <v>0.46666666666666667</v>
      </c>
      <c r="FJ84" s="36" t="str">
        <f t="shared" si="92"/>
        <v>Low</v>
      </c>
      <c r="FK84" s="40">
        <f>COUNTIF($FJ$2:$FJ$92, FJ84)/(COUNTIF($FJ$2:$FJ$92, "&lt;&gt;""") - COUNTIF($FJ$2:$FJ$92, ""))</f>
        <v>0.41111111111111109</v>
      </c>
      <c r="FL84" s="207"/>
      <c r="FM84" s="192">
        <f t="shared" si="93"/>
        <v>5</v>
      </c>
      <c r="FN84" s="192" t="e">
        <f t="shared" ca="1" si="94"/>
        <v>#NAME?</v>
      </c>
      <c r="FO84" s="192" t="e">
        <f t="shared" ca="1" si="95"/>
        <v>#NAME?</v>
      </c>
      <c r="FP84" s="192" t="e">
        <f t="shared" ca="1" si="96"/>
        <v>#NAME?</v>
      </c>
      <c r="FQ84" s="209" t="e">
        <f t="shared" ca="1" si="97"/>
        <v>#NAME?</v>
      </c>
      <c r="FR84" s="208" t="e">
        <f t="shared" ca="1" si="198"/>
        <v>#NAME?</v>
      </c>
      <c r="FS84" s="36" t="str">
        <f t="shared" si="99"/>
        <v>Pre-Profit</v>
      </c>
      <c r="FT84" s="196">
        <f>COUNTIF($FS$2:$FS$92, FS84)/(COUNTIF($FS$2:$FS$92, "&lt;&gt;""") - COUNTIF($FZ$2:$FZ$92, ""))</f>
        <v>0.51111111111111107</v>
      </c>
      <c r="FU84" s="207"/>
      <c r="FV84" s="192" t="e">
        <f t="shared" ca="1" si="100"/>
        <v>#NAME?</v>
      </c>
      <c r="FW84" s="197" t="e">
        <f t="shared" ca="1" si="101"/>
        <v>#NAME?</v>
      </c>
      <c r="FX84" s="209" t="e">
        <f t="shared" ca="1" si="102"/>
        <v>#NAME?</v>
      </c>
      <c r="FY84" s="211" t="e">
        <f t="shared" ca="1" si="199"/>
        <v>#NAME?</v>
      </c>
      <c r="FZ84" s="36" t="str">
        <f t="shared" si="104"/>
        <v>No</v>
      </c>
      <c r="GA84" s="196">
        <f>COUNTIF($FZ$2:$FZ$92, FZ84)/(COUNTIF($FZ$2:$FZ$92, "&lt;&gt;""") - COUNTIF($FZ$2:$FZ$92, ""))</f>
        <v>0.76666666666666672</v>
      </c>
      <c r="GB84" s="196" t="str">
        <f t="shared" si="105"/>
        <v>High</v>
      </c>
      <c r="GC84" s="196">
        <f>COUNTIF($GB$2:$GB$92, GB84)/(COUNTIF($GB$2:$GB$92, "&lt;&gt;""") - COUNTIF($GB$2:$GB$92, ""))</f>
        <v>0.43333333333333335</v>
      </c>
      <c r="GD84" s="196" t="str">
        <f t="shared" si="106"/>
        <v>High</v>
      </c>
      <c r="GE84" s="196">
        <f>COUNTIF($GD$2:$GD$92, GD84)/(COUNTIF($GD$2:$GD$92, "&lt;&gt;""") - COUNTIF($GD$2:$GD$92, ""))</f>
        <v>0.8</v>
      </c>
      <c r="GF84" s="207"/>
      <c r="GG84" s="36"/>
      <c r="GH84" s="209" t="e">
        <f t="shared" ca="1" si="107"/>
        <v>#NAME?</v>
      </c>
      <c r="GI84" s="212" t="e">
        <f t="shared" ca="1" si="200"/>
        <v>#NAME?</v>
      </c>
    </row>
    <row r="85" spans="1:191" ht="15.75" customHeight="1">
      <c r="A85" s="182"/>
      <c r="B85" s="182" t="s">
        <v>433</v>
      </c>
      <c r="C85" s="256">
        <v>1629933</v>
      </c>
      <c r="D85" s="247" t="s">
        <v>1056</v>
      </c>
      <c r="E85" s="259">
        <v>43805.431944444441</v>
      </c>
      <c r="F85" s="243" t="s">
        <v>344</v>
      </c>
      <c r="G85" s="257" t="s">
        <v>1057</v>
      </c>
      <c r="H85" s="257" t="s">
        <v>1058</v>
      </c>
      <c r="I85" s="258">
        <v>43740</v>
      </c>
      <c r="J85" s="260" t="s">
        <v>1059</v>
      </c>
      <c r="K85" s="247" t="s">
        <v>1056</v>
      </c>
      <c r="M85" s="35" t="s">
        <v>293</v>
      </c>
      <c r="N85" s="243" t="s">
        <v>168</v>
      </c>
      <c r="O85" s="243" t="s">
        <v>173</v>
      </c>
      <c r="P85" s="243" t="s">
        <v>197</v>
      </c>
      <c r="Q85" s="243" t="s">
        <v>35</v>
      </c>
      <c r="R85" s="187"/>
      <c r="S85" s="243" t="s">
        <v>269</v>
      </c>
      <c r="T85" s="248"/>
      <c r="U85" s="249"/>
      <c r="V85" s="64"/>
      <c r="W85" s="69">
        <v>7000000</v>
      </c>
      <c r="X85" s="261">
        <v>0.3</v>
      </c>
      <c r="Y85" s="55">
        <f t="shared" si="158"/>
        <v>4900000</v>
      </c>
      <c r="Z85" s="274">
        <f t="shared" si="159"/>
        <v>4900000</v>
      </c>
      <c r="AA85" s="183" t="e">
        <f t="shared" ca="1" si="160"/>
        <v>#NAME?</v>
      </c>
      <c r="AB85" s="243" t="s">
        <v>36</v>
      </c>
      <c r="AC85" s="243" t="s">
        <v>218</v>
      </c>
      <c r="AD85" s="243" t="s">
        <v>180</v>
      </c>
      <c r="AE85" s="243" t="s">
        <v>190</v>
      </c>
      <c r="AF85" s="243" t="s">
        <v>181</v>
      </c>
      <c r="AG85" s="243" t="s">
        <v>39</v>
      </c>
      <c r="AH85" s="239" t="s">
        <v>190</v>
      </c>
      <c r="AI85" s="64"/>
      <c r="AJ85" s="279">
        <v>19412603885</v>
      </c>
      <c r="AK85" s="224" t="e">
        <f t="shared" ca="1" si="161"/>
        <v>#NAME?</v>
      </c>
      <c r="AL85" s="279">
        <v>7765041554</v>
      </c>
      <c r="AM85" s="224" t="e">
        <f t="shared" ca="1" si="162"/>
        <v>#NAME?</v>
      </c>
      <c r="AN85" s="279">
        <v>0.33400000000000002</v>
      </c>
      <c r="AO85" s="185" t="e">
        <f t="shared" ca="1" si="63"/>
        <v>#NAME?</v>
      </c>
      <c r="AP85" s="185" t="s">
        <v>264</v>
      </c>
      <c r="AQ85" s="243" t="s">
        <v>181</v>
      </c>
      <c r="AR85" s="243" t="s">
        <v>181</v>
      </c>
      <c r="AS85" s="243" t="s">
        <v>42</v>
      </c>
      <c r="AT85" s="35" t="s">
        <v>181</v>
      </c>
      <c r="AU85" s="35" t="s">
        <v>39</v>
      </c>
      <c r="AV85" s="243" t="s">
        <v>190</v>
      </c>
      <c r="AW85" s="243" t="s">
        <v>190</v>
      </c>
      <c r="AX85" s="243" t="s">
        <v>227</v>
      </c>
      <c r="AY85" s="243" t="s">
        <v>227</v>
      </c>
      <c r="AZ85" s="64">
        <v>396749</v>
      </c>
      <c r="BA85" s="55" t="e">
        <f t="shared" ca="1" si="163"/>
        <v>#NAME?</v>
      </c>
      <c r="BB85" s="279">
        <v>63587</v>
      </c>
      <c r="BC85" s="279">
        <v>4601100</v>
      </c>
      <c r="BD85" s="62" t="e">
        <f t="shared" ca="1" si="164"/>
        <v>#NAME?</v>
      </c>
      <c r="BE85" s="277">
        <f t="shared" si="165"/>
        <v>1.3819956097454957E-2</v>
      </c>
      <c r="BF85" s="62" t="e">
        <f t="shared" ca="1" si="166"/>
        <v>#NAME?</v>
      </c>
      <c r="BG85" s="243" t="s">
        <v>202</v>
      </c>
      <c r="BH85" s="187"/>
      <c r="BI85" s="243" t="s">
        <v>190</v>
      </c>
      <c r="BJ85" s="256">
        <v>0</v>
      </c>
      <c r="BK85" s="279">
        <v>2</v>
      </c>
      <c r="BL85" s="243" t="s">
        <v>190</v>
      </c>
      <c r="BM85" s="243" t="s">
        <v>190</v>
      </c>
      <c r="BN85" s="243" t="s">
        <v>190</v>
      </c>
      <c r="BO85" s="243" t="s">
        <v>190</v>
      </c>
      <c r="BP85" s="256">
        <v>3</v>
      </c>
      <c r="BQ85" s="256">
        <v>8</v>
      </c>
      <c r="BR85" s="256">
        <v>0</v>
      </c>
      <c r="BS85" s="256">
        <v>0</v>
      </c>
      <c r="BT85" s="204"/>
      <c r="BU85" s="256">
        <v>3</v>
      </c>
      <c r="BV85" s="256">
        <v>0</v>
      </c>
      <c r="BW85" s="239">
        <v>62</v>
      </c>
      <c r="BX85" s="243" t="s">
        <v>227</v>
      </c>
      <c r="BY85" s="204"/>
      <c r="BZ85" s="239">
        <v>8</v>
      </c>
      <c r="CA85" s="239">
        <v>0</v>
      </c>
      <c r="CB85" s="239">
        <v>53</v>
      </c>
      <c r="CC85" s="239" t="s">
        <v>190</v>
      </c>
      <c r="CD85" s="204"/>
      <c r="CE85" s="187"/>
      <c r="CF85" s="187"/>
      <c r="CG85" s="187"/>
      <c r="CH85" s="187"/>
      <c r="CI85" s="204"/>
      <c r="CJ85" s="187"/>
      <c r="CK85" s="187"/>
      <c r="CL85" s="187"/>
      <c r="CM85" s="187"/>
      <c r="CN85" s="205"/>
      <c r="CO85" s="89"/>
      <c r="CP85" s="89"/>
      <c r="CQ85" s="89"/>
      <c r="CR85" s="187"/>
      <c r="CS85" s="204"/>
      <c r="CT85" s="89"/>
      <c r="CU85" s="89"/>
      <c r="CV85" s="89"/>
      <c r="CW85" s="187"/>
      <c r="CX85" s="204"/>
      <c r="CY85" s="89"/>
      <c r="CZ85" s="89"/>
      <c r="DA85" s="89"/>
      <c r="DB85" s="187"/>
      <c r="DC85" s="204"/>
      <c r="DD85" s="89"/>
      <c r="DE85" s="89"/>
      <c r="DF85" s="89"/>
      <c r="DG85" s="187"/>
      <c r="DH85" s="204"/>
      <c r="DI85" s="89"/>
      <c r="DJ85" s="89"/>
      <c r="DK85" s="89"/>
      <c r="DL85" s="187"/>
      <c r="DM85" s="204"/>
      <c r="DN85" s="205"/>
      <c r="DO85" s="205"/>
      <c r="DQ85" s="206"/>
      <c r="DR85" s="188">
        <f t="shared" si="64"/>
        <v>5.5</v>
      </c>
      <c r="DS85" s="188"/>
      <c r="DT85" s="189">
        <f t="shared" si="65"/>
        <v>0</v>
      </c>
      <c r="DU85" s="189"/>
      <c r="DV85" s="188">
        <f t="shared" si="66"/>
        <v>57.5</v>
      </c>
      <c r="DW85" s="183" t="e">
        <f t="shared" ca="1" si="67"/>
        <v>#NAME?</v>
      </c>
      <c r="DX85" s="207"/>
      <c r="DY85" s="190" t="e">
        <f t="shared" ca="1" si="68"/>
        <v>#NAME?</v>
      </c>
      <c r="DZ85" s="191">
        <f t="shared" si="190"/>
        <v>4.1578947368421053</v>
      </c>
      <c r="EA85" s="191" t="str">
        <f t="shared" si="191"/>
        <v/>
      </c>
      <c r="EB85" s="191" t="str">
        <f t="shared" si="192"/>
        <v/>
      </c>
      <c r="EC85" s="208" t="e">
        <f t="shared" ca="1" si="72"/>
        <v>#NAME?</v>
      </c>
      <c r="ED85" s="36" t="str">
        <f t="shared" si="73"/>
        <v>SAFE</v>
      </c>
      <c r="EE85" s="193">
        <f>COUNTIF($ED$2:$ED$92, ED85)/(COUNTIF($ED$2:$ED$92, "&lt;&gt;""") - COUNTIF($ED$2:$ED$92, ""))</f>
        <v>0.37777777777777777</v>
      </c>
      <c r="EF85" s="36" t="str">
        <f t="shared" si="74"/>
        <v>Growth</v>
      </c>
      <c r="EG85" s="207"/>
      <c r="EH85" s="194" t="e">
        <f t="shared" ca="1" si="75"/>
        <v>#NAME?</v>
      </c>
      <c r="EI85" s="194" t="e">
        <f t="shared" ca="1" si="76"/>
        <v>#NAME?</v>
      </c>
      <c r="EJ85" s="209" t="e">
        <f t="shared" ca="1" si="77"/>
        <v>#NAME?</v>
      </c>
      <c r="EK85" s="208" t="e">
        <f t="shared" ca="1" si="193"/>
        <v>#NAME?</v>
      </c>
      <c r="EL85" s="36" t="str">
        <f t="shared" si="79"/>
        <v>No</v>
      </c>
      <c r="EM85" s="207"/>
      <c r="EN85" s="192">
        <f t="shared" si="194"/>
        <v>1.5238095238095237</v>
      </c>
      <c r="EO85" s="192">
        <f t="shared" si="195"/>
        <v>1</v>
      </c>
      <c r="EP85" s="209">
        <f t="shared" si="82"/>
        <v>2.5238095238095237</v>
      </c>
      <c r="EQ85" s="210">
        <f t="shared" si="196"/>
        <v>1.4112149532710281</v>
      </c>
      <c r="ER85" s="36" t="e">
        <f t="shared" ca="1" si="84"/>
        <v>#NAME?</v>
      </c>
      <c r="ES85" s="40">
        <f ca="1">COUNTIF($ER$2:$ER$92, ER85)/(COUNTIF($ER$2:$ER$92, "&lt;&gt;""") - COUNTIF($ER$2:$ER$92, ""))</f>
        <v>1</v>
      </c>
      <c r="ET85" s="36">
        <f t="shared" si="85"/>
        <v>2</v>
      </c>
      <c r="EU85" s="40">
        <f>COUNTIF($ET$2:$ET$92, ET85)/(COUNTIF($ET$2:$ET$92, "&lt;&gt;""") - COUNTIF($ET$2:$ET$92, ""))</f>
        <v>0.45555555555555555</v>
      </c>
      <c r="EV85" s="36">
        <f t="shared" si="86"/>
        <v>8</v>
      </c>
      <c r="EW85" s="40">
        <f>COUNTIF($EV$2:$EV$92, EV85)/(COUNTIF($EV$2:$EV$92, "&lt;&gt;""") - COUNTIF($EV$2:$EV$92, ""))</f>
        <v>5.5555555555555552E-2</v>
      </c>
      <c r="EX85" s="36" t="str">
        <f t="shared" si="87"/>
        <v>No</v>
      </c>
      <c r="EY85" s="40">
        <f>COUNTIF($EX$2:$EX$92, EX85)/(COUNTIF($EX$2:$EX$92, "&lt;&gt;""") - COUNTIF($EX$2:$EX$92, ""))</f>
        <v>0.72222222222222221</v>
      </c>
      <c r="EZ85" s="36" t="str">
        <f t="shared" ref="EZ85:FB85" si="208">BM85</f>
        <v>No</v>
      </c>
      <c r="FA85" s="36" t="str">
        <f t="shared" si="208"/>
        <v>No</v>
      </c>
      <c r="FB85" s="36" t="str">
        <f t="shared" si="208"/>
        <v>No</v>
      </c>
      <c r="FC85" s="207"/>
      <c r="FD85" s="36" t="str">
        <f t="shared" si="89"/>
        <v>Transactional</v>
      </c>
      <c r="FE85" s="40">
        <f>COUNTIF($FD$2:$FD$92, FD85)/(COUNTIF($FD$2:$FD$92, "&lt;&gt;""") - COUNTIF($FD$2:$FD$92, ""))</f>
        <v>0.6</v>
      </c>
      <c r="FF85" s="36" t="str">
        <f t="shared" si="90"/>
        <v>B2B/B2C</v>
      </c>
      <c r="FG85" s="40">
        <f>COUNTIF($FF$2:$FF$92, FF85)/(COUNTIF($FF$2:$FF$92, "&lt;&gt;""") - COUNTIF($FF$2:$FF$92, ""))</f>
        <v>0.27777777777777779</v>
      </c>
      <c r="FH85" s="36" t="str">
        <f t="shared" si="91"/>
        <v>Low</v>
      </c>
      <c r="FI85" s="40">
        <f>COUNTIF($FH$2:$FH$92, FH85)/(COUNTIF($FH$2:$FH$92, "&lt;&gt;""") - COUNTIF($FH$2:$FH$92, ""))</f>
        <v>0.46666666666666667</v>
      </c>
      <c r="FJ85" s="36" t="str">
        <f t="shared" si="92"/>
        <v>High</v>
      </c>
      <c r="FK85" s="40">
        <f>COUNTIF($FJ$2:$FJ$92, FJ85)/(COUNTIF($FJ$2:$FJ$92, "&lt;&gt;""") - COUNTIF($FJ$2:$FJ$92, ""))</f>
        <v>0.58888888888888891</v>
      </c>
      <c r="FL85" s="207"/>
      <c r="FM85" s="192">
        <f t="shared" si="93"/>
        <v>5</v>
      </c>
      <c r="FN85" s="192" t="e">
        <f t="shared" ca="1" si="94"/>
        <v>#NAME?</v>
      </c>
      <c r="FO85" s="192" t="e">
        <f t="shared" ca="1" si="95"/>
        <v>#NAME?</v>
      </c>
      <c r="FP85" s="192" t="e">
        <f t="shared" ca="1" si="96"/>
        <v>#NAME?</v>
      </c>
      <c r="FQ85" s="209" t="e">
        <f t="shared" ca="1" si="97"/>
        <v>#NAME?</v>
      </c>
      <c r="FR85" s="208" t="e">
        <f t="shared" ca="1" si="198"/>
        <v>#NAME?</v>
      </c>
      <c r="FS85" s="36" t="str">
        <f t="shared" si="99"/>
        <v>Pre-Profit</v>
      </c>
      <c r="FT85" s="196">
        <f>COUNTIF($FS$2:$FS$92, FS85)/(COUNTIF($FS$2:$FS$92, "&lt;&gt;""") - COUNTIF($FZ$2:$FZ$92, ""))</f>
        <v>0.51111111111111107</v>
      </c>
      <c r="FU85" s="207"/>
      <c r="FV85" s="192" t="e">
        <f t="shared" ca="1" si="100"/>
        <v>#NAME?</v>
      </c>
      <c r="FW85" s="197" t="e">
        <f t="shared" ca="1" si="101"/>
        <v>#NAME?</v>
      </c>
      <c r="FX85" s="209" t="e">
        <f t="shared" ca="1" si="102"/>
        <v>#NAME?</v>
      </c>
      <c r="FY85" s="211" t="e">
        <f t="shared" ca="1" si="199"/>
        <v>#NAME?</v>
      </c>
      <c r="FZ85" s="36" t="str">
        <f t="shared" si="104"/>
        <v>No</v>
      </c>
      <c r="GA85" s="196">
        <f>COUNTIF($FZ$2:$FZ$92, FZ85)/(COUNTIF($FZ$2:$FZ$92, "&lt;&gt;""") - COUNTIF($FZ$2:$FZ$92, ""))</f>
        <v>0.76666666666666672</v>
      </c>
      <c r="GB85" s="196" t="str">
        <f t="shared" si="105"/>
        <v>Low</v>
      </c>
      <c r="GC85" s="196">
        <f>COUNTIF($GB$2:$GB$92, GB85)/(COUNTIF($GB$2:$GB$92, "&lt;&gt;""") - COUNTIF($GB$2:$GB$92, ""))</f>
        <v>0.55555555555555558</v>
      </c>
      <c r="GD85" s="196" t="str">
        <f t="shared" si="106"/>
        <v>High</v>
      </c>
      <c r="GE85" s="196">
        <f>COUNTIF($GD$2:$GD$92, GD85)/(COUNTIF($GD$2:$GD$92, "&lt;&gt;""") - COUNTIF($GD$2:$GD$92, ""))</f>
        <v>0.8</v>
      </c>
      <c r="GF85" s="207"/>
      <c r="GG85" s="36"/>
      <c r="GH85" s="209" t="e">
        <f t="shared" ca="1" si="107"/>
        <v>#NAME?</v>
      </c>
      <c r="GI85" s="212" t="e">
        <f t="shared" ca="1" si="200"/>
        <v>#NAME?</v>
      </c>
    </row>
    <row r="86" spans="1:191" ht="15.75" customHeight="1">
      <c r="A86" s="174"/>
      <c r="B86" s="174" t="s">
        <v>433</v>
      </c>
      <c r="C86" s="238">
        <v>1709539</v>
      </c>
      <c r="D86" s="244" t="s">
        <v>1060</v>
      </c>
      <c r="E86" s="245">
        <v>43805.435416666667</v>
      </c>
      <c r="F86" s="239" t="s">
        <v>344</v>
      </c>
      <c r="G86" s="32" t="s">
        <v>1061</v>
      </c>
      <c r="H86" s="32" t="s">
        <v>1062</v>
      </c>
      <c r="I86" s="246">
        <v>43804</v>
      </c>
      <c r="J86" s="247" t="s">
        <v>1063</v>
      </c>
      <c r="K86" s="247" t="s">
        <v>1063</v>
      </c>
      <c r="M86" s="29" t="s">
        <v>243</v>
      </c>
      <c r="N86" s="239" t="s">
        <v>168</v>
      </c>
      <c r="O86" s="239" t="s">
        <v>30</v>
      </c>
      <c r="P86" s="239" t="s">
        <v>174</v>
      </c>
      <c r="Q86" s="239" t="s">
        <v>35</v>
      </c>
      <c r="R86" s="187"/>
      <c r="S86" s="239" t="s">
        <v>216</v>
      </c>
      <c r="T86" s="248"/>
      <c r="U86" s="249"/>
      <c r="V86" s="251">
        <v>30000000</v>
      </c>
      <c r="W86" s="250"/>
      <c r="X86" s="252"/>
      <c r="Y86" s="55" t="str">
        <f t="shared" si="158"/>
        <v/>
      </c>
      <c r="Z86" s="274">
        <f t="shared" si="159"/>
        <v>30000000</v>
      </c>
      <c r="AA86" s="183" t="e">
        <f t="shared" ca="1" si="160"/>
        <v>#NAME?</v>
      </c>
      <c r="AB86" s="239" t="s">
        <v>178</v>
      </c>
      <c r="AC86" s="239" t="s">
        <v>218</v>
      </c>
      <c r="AD86" s="239" t="s">
        <v>180</v>
      </c>
      <c r="AE86" s="239" t="s">
        <v>190</v>
      </c>
      <c r="AF86" s="239" t="s">
        <v>39</v>
      </c>
      <c r="AG86" s="239" t="s">
        <v>39</v>
      </c>
      <c r="AH86" s="239" t="s">
        <v>190</v>
      </c>
      <c r="AI86" s="251"/>
      <c r="AJ86" s="279">
        <v>2500000000</v>
      </c>
      <c r="AK86" s="224" t="e">
        <f t="shared" ca="1" si="161"/>
        <v>#NAME?</v>
      </c>
      <c r="AL86" s="279">
        <v>2500000000</v>
      </c>
      <c r="AM86" s="224" t="e">
        <f t="shared" ca="1" si="162"/>
        <v>#NAME?</v>
      </c>
      <c r="AN86" s="279">
        <v>3.1E-2</v>
      </c>
      <c r="AO86" s="185" t="e">
        <f t="shared" ca="1" si="63"/>
        <v>#NAME?</v>
      </c>
      <c r="AP86" s="185" t="s">
        <v>264</v>
      </c>
      <c r="AQ86" s="239" t="s">
        <v>39</v>
      </c>
      <c r="AR86" s="239" t="s">
        <v>181</v>
      </c>
      <c r="AS86" s="239" t="s">
        <v>182</v>
      </c>
      <c r="AT86" s="29" t="s">
        <v>39</v>
      </c>
      <c r="AU86" s="29" t="s">
        <v>39</v>
      </c>
      <c r="AV86" s="239" t="s">
        <v>190</v>
      </c>
      <c r="AW86" s="239" t="s">
        <v>227</v>
      </c>
      <c r="AX86" s="239" t="s">
        <v>227</v>
      </c>
      <c r="AY86" s="239" t="s">
        <v>227</v>
      </c>
      <c r="AZ86" s="251">
        <v>950796</v>
      </c>
      <c r="BA86" s="55" t="e">
        <f t="shared" ca="1" si="163"/>
        <v>#NAME?</v>
      </c>
      <c r="BB86" s="279">
        <v>63328</v>
      </c>
      <c r="BC86" s="280">
        <v>2788940</v>
      </c>
      <c r="BD86" s="62" t="e">
        <f t="shared" ca="1" si="164"/>
        <v>#NAME?</v>
      </c>
      <c r="BE86" s="277">
        <f t="shared" si="165"/>
        <v>2.2706834854819394E-2</v>
      </c>
      <c r="BF86" s="62" t="e">
        <f t="shared" ca="1" si="166"/>
        <v>#NAME?</v>
      </c>
      <c r="BG86" s="239" t="s">
        <v>202</v>
      </c>
      <c r="BH86" s="187"/>
      <c r="BI86" s="239" t="s">
        <v>227</v>
      </c>
      <c r="BJ86" s="239">
        <v>3</v>
      </c>
      <c r="BK86" s="279">
        <v>2</v>
      </c>
      <c r="BL86" s="239" t="s">
        <v>190</v>
      </c>
      <c r="BM86" s="239" t="s">
        <v>190</v>
      </c>
      <c r="BN86" s="239" t="s">
        <v>190</v>
      </c>
      <c r="BO86" s="239" t="s">
        <v>227</v>
      </c>
      <c r="BP86" s="238">
        <v>1</v>
      </c>
      <c r="BQ86" s="238">
        <v>4</v>
      </c>
      <c r="BR86" s="238">
        <v>0</v>
      </c>
      <c r="BS86" s="238">
        <v>1</v>
      </c>
      <c r="BT86" s="204"/>
      <c r="BU86" s="256">
        <v>17</v>
      </c>
      <c r="BV86" s="256">
        <v>0</v>
      </c>
      <c r="BW86" s="256">
        <v>48</v>
      </c>
      <c r="BX86" s="243" t="s">
        <v>190</v>
      </c>
      <c r="BY86" s="204"/>
      <c r="BZ86" s="256">
        <v>8</v>
      </c>
      <c r="CA86" s="256">
        <v>0</v>
      </c>
      <c r="CB86" s="256">
        <v>40</v>
      </c>
      <c r="CC86" s="243" t="s">
        <v>227</v>
      </c>
      <c r="CD86" s="204"/>
      <c r="CE86" s="187"/>
      <c r="CF86" s="187"/>
      <c r="CG86" s="187"/>
      <c r="CH86" s="187"/>
      <c r="CI86" s="204"/>
      <c r="CJ86" s="187"/>
      <c r="CK86" s="187"/>
      <c r="CL86" s="187"/>
      <c r="CM86" s="187"/>
      <c r="CN86" s="205"/>
      <c r="CO86" s="187"/>
      <c r="CP86" s="187"/>
      <c r="CQ86" s="187"/>
      <c r="CR86" s="187"/>
      <c r="CS86" s="204"/>
      <c r="CT86" s="187"/>
      <c r="CU86" s="187"/>
      <c r="CV86" s="187"/>
      <c r="CW86" s="187"/>
      <c r="CX86" s="204"/>
      <c r="CY86" s="187"/>
      <c r="CZ86" s="187"/>
      <c r="DA86" s="187"/>
      <c r="DB86" s="187"/>
      <c r="DC86" s="204"/>
      <c r="DD86" s="187"/>
      <c r="DE86" s="187"/>
      <c r="DF86" s="187"/>
      <c r="DG86" s="187"/>
      <c r="DH86" s="204"/>
      <c r="DI86" s="187"/>
      <c r="DJ86" s="187"/>
      <c r="DK86" s="187"/>
      <c r="DL86" s="187"/>
      <c r="DM86" s="204"/>
      <c r="DN86" s="205"/>
      <c r="DO86" s="205"/>
      <c r="DQ86" s="206"/>
      <c r="DR86" s="188">
        <f t="shared" si="64"/>
        <v>12.5</v>
      </c>
      <c r="DS86" s="188"/>
      <c r="DT86" s="189">
        <f t="shared" si="65"/>
        <v>0</v>
      </c>
      <c r="DU86" s="189"/>
      <c r="DV86" s="188">
        <f t="shared" si="66"/>
        <v>44</v>
      </c>
      <c r="DW86" s="183" t="e">
        <f t="shared" ca="1" si="67"/>
        <v>#NAME?</v>
      </c>
      <c r="DX86" s="207"/>
      <c r="DY86" s="190" t="e">
        <f t="shared" ca="1" si="68"/>
        <v>#NAME?</v>
      </c>
      <c r="DZ86" s="191" t="str">
        <f t="shared" si="190"/>
        <v/>
      </c>
      <c r="EA86" s="191" t="str">
        <f t="shared" si="191"/>
        <v/>
      </c>
      <c r="EB86" s="191" t="str">
        <f t="shared" si="192"/>
        <v/>
      </c>
      <c r="EC86" s="208" t="e">
        <f t="shared" ca="1" si="72"/>
        <v>#NAME?</v>
      </c>
      <c r="ED86" s="36" t="str">
        <f t="shared" si="73"/>
        <v>Equity - Common</v>
      </c>
      <c r="EE86" s="193">
        <f>COUNTIF($ED$2:$ED$92, ED86)/(COUNTIF($ED$2:$ED$92, "&lt;&gt;""") - COUNTIF($ED$2:$ED$92, ""))</f>
        <v>0.32222222222222224</v>
      </c>
      <c r="EF86" s="36" t="str">
        <f t="shared" si="74"/>
        <v>Early</v>
      </c>
      <c r="EG86" s="207"/>
      <c r="EH86" s="194" t="e">
        <f t="shared" ca="1" si="75"/>
        <v>#NAME?</v>
      </c>
      <c r="EI86" s="194" t="e">
        <f t="shared" ca="1" si="76"/>
        <v>#NAME?</v>
      </c>
      <c r="EJ86" s="209" t="e">
        <f t="shared" ca="1" si="77"/>
        <v>#NAME?</v>
      </c>
      <c r="EK86" s="208" t="e">
        <f t="shared" ca="1" si="193"/>
        <v>#NAME?</v>
      </c>
      <c r="EL86" s="36" t="str">
        <f t="shared" si="79"/>
        <v>No</v>
      </c>
      <c r="EM86" s="207"/>
      <c r="EN86" s="192">
        <f t="shared" si="194"/>
        <v>2.1904761904761907</v>
      </c>
      <c r="EO86" s="192">
        <f t="shared" si="195"/>
        <v>1</v>
      </c>
      <c r="EP86" s="209">
        <f t="shared" si="82"/>
        <v>3.1904761904761907</v>
      </c>
      <c r="EQ86" s="210">
        <f t="shared" si="196"/>
        <v>1.9345794392523366</v>
      </c>
      <c r="ER86" s="36" t="e">
        <f t="shared" ca="1" si="84"/>
        <v>#NAME?</v>
      </c>
      <c r="ES86" s="40">
        <f ca="1">COUNTIF($ER$2:$ER$92, ER86)/(COUNTIF($ER$2:$ER$92, "&lt;&gt;""") - COUNTIF($ER$2:$ER$92, ""))</f>
        <v>1</v>
      </c>
      <c r="ET86" s="36">
        <f t="shared" si="85"/>
        <v>2</v>
      </c>
      <c r="EU86" s="40">
        <f>COUNTIF($ET$2:$ET$92, ET86)/(COUNTIF($ET$2:$ET$92, "&lt;&gt;""") - COUNTIF($ET$2:$ET$92, ""))</f>
        <v>0.45555555555555555</v>
      </c>
      <c r="EV86" s="36">
        <f t="shared" si="86"/>
        <v>4</v>
      </c>
      <c r="EW86" s="40">
        <f>COUNTIF($EV$2:$EV$92, EV86)/(COUNTIF($EV$2:$EV$92, "&lt;&gt;""") - COUNTIF($EV$2:$EV$92, ""))</f>
        <v>0.12222222222222222</v>
      </c>
      <c r="EX86" s="36" t="str">
        <f t="shared" si="87"/>
        <v>No</v>
      </c>
      <c r="EY86" s="40">
        <f>COUNTIF($EX$2:$EX$92, EX86)/(COUNTIF($EX$2:$EX$92, "&lt;&gt;""") - COUNTIF($EX$2:$EX$92, ""))</f>
        <v>0.72222222222222221</v>
      </c>
      <c r="EZ86" s="36" t="str">
        <f t="shared" ref="EZ86:FB86" si="209">BM86</f>
        <v>No</v>
      </c>
      <c r="FA86" s="36" t="str">
        <f t="shared" si="209"/>
        <v>No</v>
      </c>
      <c r="FB86" s="36" t="str">
        <f t="shared" si="209"/>
        <v>Yes</v>
      </c>
      <c r="FC86" s="207"/>
      <c r="FD86" s="36" t="str">
        <f t="shared" si="89"/>
        <v>Recurring</v>
      </c>
      <c r="FE86" s="40">
        <f>COUNTIF($FD$2:$FD$92, FD86)/(COUNTIF($FD$2:$FD$92, "&lt;&gt;""") - COUNTIF($FD$2:$FD$92, ""))</f>
        <v>0.4</v>
      </c>
      <c r="FF86" s="36" t="str">
        <f t="shared" si="90"/>
        <v>B2B/B2C</v>
      </c>
      <c r="FG86" s="40">
        <f>COUNTIF($FF$2:$FF$92, FF86)/(COUNTIF($FF$2:$FF$92, "&lt;&gt;""") - COUNTIF($FF$2:$FF$92, ""))</f>
        <v>0.27777777777777779</v>
      </c>
      <c r="FH86" s="36" t="str">
        <f t="shared" si="91"/>
        <v>High</v>
      </c>
      <c r="FI86" s="40">
        <f>COUNTIF($FH$2:$FH$92, FH86)/(COUNTIF($FH$2:$FH$92, "&lt;&gt;""") - COUNTIF($FH$2:$FH$92, ""))</f>
        <v>0.53333333333333333</v>
      </c>
      <c r="FJ86" s="36" t="str">
        <f t="shared" si="92"/>
        <v>High</v>
      </c>
      <c r="FK86" s="40">
        <f>COUNTIF($FJ$2:$FJ$92, FJ86)/(COUNTIF($FJ$2:$FJ$92, "&lt;&gt;""") - COUNTIF($FJ$2:$FJ$92, ""))</f>
        <v>0.58888888888888891</v>
      </c>
      <c r="FL86" s="207"/>
      <c r="FM86" s="192">
        <f t="shared" si="93"/>
        <v>5</v>
      </c>
      <c r="FN86" s="192" t="e">
        <f t="shared" ca="1" si="94"/>
        <v>#NAME?</v>
      </c>
      <c r="FO86" s="192" t="e">
        <f t="shared" ca="1" si="95"/>
        <v>#NAME?</v>
      </c>
      <c r="FP86" s="192" t="e">
        <f t="shared" ca="1" si="96"/>
        <v>#NAME?</v>
      </c>
      <c r="FQ86" s="209" t="e">
        <f t="shared" ca="1" si="97"/>
        <v>#NAME?</v>
      </c>
      <c r="FR86" s="208" t="e">
        <f t="shared" ca="1" si="198"/>
        <v>#NAME?</v>
      </c>
      <c r="FS86" s="36" t="str">
        <f t="shared" si="99"/>
        <v>Pre-Profit</v>
      </c>
      <c r="FT86" s="196">
        <f>COUNTIF($FS$2:$FS$92, FS86)/(COUNTIF($FS$2:$FS$92, "&lt;&gt;""") - COUNTIF($FZ$2:$FZ$92, ""))</f>
        <v>0.51111111111111107</v>
      </c>
      <c r="FU86" s="207"/>
      <c r="FV86" s="192">
        <f t="shared" si="100"/>
        <v>3</v>
      </c>
      <c r="FW86" s="197" t="e">
        <f t="shared" ca="1" si="101"/>
        <v>#NAME?</v>
      </c>
      <c r="FX86" s="209" t="e">
        <f t="shared" ca="1" si="102"/>
        <v>#NAME?</v>
      </c>
      <c r="FY86" s="211" t="e">
        <f t="shared" ca="1" si="199"/>
        <v>#NAME?</v>
      </c>
      <c r="FZ86" s="36" t="str">
        <f t="shared" si="104"/>
        <v>Yes</v>
      </c>
      <c r="GA86" s="196">
        <f>COUNTIF($FZ$2:$FZ$92, FZ86)/(COUNTIF($FZ$2:$FZ$92, "&lt;&gt;""") - COUNTIF($FZ$2:$FZ$92, ""))</f>
        <v>0.23333333333333334</v>
      </c>
      <c r="GB86" s="196" t="str">
        <f t="shared" si="105"/>
        <v>High</v>
      </c>
      <c r="GC86" s="196">
        <f>COUNTIF($GB$2:$GB$92, GB86)/(COUNTIF($GB$2:$GB$92, "&lt;&gt;""") - COUNTIF($GB$2:$GB$92, ""))</f>
        <v>0.43333333333333335</v>
      </c>
      <c r="GD86" s="196" t="str">
        <f t="shared" si="106"/>
        <v>High</v>
      </c>
      <c r="GE86" s="196">
        <f>COUNTIF($GD$2:$GD$92, GD86)/(COUNTIF($GD$2:$GD$92, "&lt;&gt;""") - COUNTIF($GD$2:$GD$92, ""))</f>
        <v>0.8</v>
      </c>
      <c r="GF86" s="207"/>
      <c r="GG86" s="36"/>
      <c r="GH86" s="209" t="e">
        <f t="shared" ca="1" si="107"/>
        <v>#NAME?</v>
      </c>
      <c r="GI86" s="212" t="e">
        <f t="shared" ca="1" si="200"/>
        <v>#NAME?</v>
      </c>
    </row>
    <row r="87" spans="1:191" ht="15.75" customHeight="1">
      <c r="A87" s="174"/>
      <c r="B87" s="174" t="s">
        <v>433</v>
      </c>
      <c r="C87" s="238">
        <v>1702371</v>
      </c>
      <c r="D87" s="244" t="s">
        <v>1064</v>
      </c>
      <c r="E87" s="245">
        <v>43808.555555555555</v>
      </c>
      <c r="F87" s="239" t="s">
        <v>329</v>
      </c>
      <c r="G87" s="32" t="s">
        <v>1065</v>
      </c>
      <c r="H87" s="32" t="s">
        <v>1066</v>
      </c>
      <c r="I87" s="246">
        <v>43805</v>
      </c>
      <c r="J87" s="247" t="s">
        <v>1067</v>
      </c>
      <c r="K87" s="247" t="s">
        <v>1064</v>
      </c>
      <c r="M87" s="239" t="s">
        <v>996</v>
      </c>
      <c r="N87" s="239" t="s">
        <v>320</v>
      </c>
      <c r="O87" s="239" t="s">
        <v>173</v>
      </c>
      <c r="P87" s="239" t="s">
        <v>214</v>
      </c>
      <c r="Q87" s="239" t="s">
        <v>35</v>
      </c>
      <c r="R87" s="187"/>
      <c r="S87" s="239" t="s">
        <v>269</v>
      </c>
      <c r="T87" s="248"/>
      <c r="U87" s="249"/>
      <c r="V87" s="251"/>
      <c r="W87" s="69">
        <v>10000000</v>
      </c>
      <c r="X87" s="252">
        <v>0</v>
      </c>
      <c r="Y87" s="55">
        <f t="shared" si="158"/>
        <v>10000000</v>
      </c>
      <c r="Z87" s="274">
        <f t="shared" si="159"/>
        <v>10000000</v>
      </c>
      <c r="AA87" s="183" t="e">
        <f t="shared" ca="1" si="160"/>
        <v>#NAME?</v>
      </c>
      <c r="AB87" s="239" t="s">
        <v>178</v>
      </c>
      <c r="AC87" s="239" t="s">
        <v>218</v>
      </c>
      <c r="AD87" s="239" t="s">
        <v>180</v>
      </c>
      <c r="AE87" s="239" t="s">
        <v>227</v>
      </c>
      <c r="AF87" s="239" t="s">
        <v>39</v>
      </c>
      <c r="AG87" s="239" t="s">
        <v>181</v>
      </c>
      <c r="AH87" s="239" t="s">
        <v>190</v>
      </c>
      <c r="AI87" s="251"/>
      <c r="AJ87" s="279">
        <v>46000000000</v>
      </c>
      <c r="AK87" s="224" t="e">
        <f t="shared" ca="1" si="161"/>
        <v>#NAME?</v>
      </c>
      <c r="AL87" s="279">
        <v>1000000000</v>
      </c>
      <c r="AM87" s="224" t="e">
        <f t="shared" ca="1" si="162"/>
        <v>#NAME?</v>
      </c>
      <c r="AN87" s="279">
        <v>0.25</v>
      </c>
      <c r="AO87" s="185" t="e">
        <f t="shared" ca="1" si="63"/>
        <v>#NAME?</v>
      </c>
      <c r="AP87" s="185" t="s">
        <v>192</v>
      </c>
      <c r="AQ87" s="239" t="s">
        <v>39</v>
      </c>
      <c r="AR87" s="239" t="s">
        <v>181</v>
      </c>
      <c r="AS87" s="239" t="s">
        <v>182</v>
      </c>
      <c r="AT87" s="29" t="s">
        <v>181</v>
      </c>
      <c r="AU87" s="29" t="s">
        <v>39</v>
      </c>
      <c r="AV87" s="239" t="s">
        <v>227</v>
      </c>
      <c r="AW87" s="239" t="s">
        <v>190</v>
      </c>
      <c r="AX87" s="239" t="s">
        <v>227</v>
      </c>
      <c r="AY87" s="239" t="s">
        <v>227</v>
      </c>
      <c r="AZ87" s="251">
        <v>2038139</v>
      </c>
      <c r="BA87" s="55" t="e">
        <f t="shared" ca="1" si="163"/>
        <v>#NAME?</v>
      </c>
      <c r="BB87" s="279">
        <v>77550</v>
      </c>
      <c r="BC87" s="280">
        <v>1600000</v>
      </c>
      <c r="BD87" s="62" t="e">
        <f t="shared" ca="1" si="164"/>
        <v>#NAME?</v>
      </c>
      <c r="BE87" s="277">
        <f t="shared" si="165"/>
        <v>4.8468749999999998E-2</v>
      </c>
      <c r="BF87" s="62" t="e">
        <f t="shared" ca="1" si="166"/>
        <v>#NAME?</v>
      </c>
      <c r="BG87" s="239" t="s">
        <v>219</v>
      </c>
      <c r="BH87" s="187"/>
      <c r="BI87" s="239" t="s">
        <v>190</v>
      </c>
      <c r="BJ87" s="238">
        <v>0</v>
      </c>
      <c r="BK87" s="279">
        <v>1</v>
      </c>
      <c r="BL87" s="176" t="s">
        <v>190</v>
      </c>
      <c r="BM87" s="239" t="s">
        <v>190</v>
      </c>
      <c r="BN87" s="239" t="s">
        <v>190</v>
      </c>
      <c r="BO87" s="239" t="s">
        <v>190</v>
      </c>
      <c r="BP87" s="238">
        <v>4</v>
      </c>
      <c r="BQ87" s="238">
        <v>13</v>
      </c>
      <c r="BR87" s="238">
        <v>15</v>
      </c>
      <c r="BS87" s="238">
        <v>3</v>
      </c>
      <c r="BT87" s="204"/>
      <c r="BU87" s="256">
        <v>18</v>
      </c>
      <c r="BV87" s="256">
        <v>2</v>
      </c>
      <c r="BW87" s="239">
        <v>36</v>
      </c>
      <c r="BX87" s="243" t="s">
        <v>227</v>
      </c>
      <c r="BY87" s="204"/>
      <c r="BZ87" s="187"/>
      <c r="CA87" s="187"/>
      <c r="CB87" s="187"/>
      <c r="CC87" s="187"/>
      <c r="CD87" s="204"/>
      <c r="CE87" s="187"/>
      <c r="CF87" s="187"/>
      <c r="CG87" s="187"/>
      <c r="CH87" s="187"/>
      <c r="CI87" s="204"/>
      <c r="CJ87" s="187"/>
      <c r="CK87" s="187"/>
      <c r="CL87" s="187"/>
      <c r="CM87" s="187"/>
      <c r="CN87" s="205"/>
      <c r="CO87" s="89"/>
      <c r="CP87" s="89"/>
      <c r="CQ87" s="89"/>
      <c r="CR87" s="88"/>
      <c r="CS87" s="204"/>
      <c r="CT87" s="89"/>
      <c r="CU87" s="89"/>
      <c r="CV87" s="89"/>
      <c r="CW87" s="88"/>
      <c r="CX87" s="204"/>
      <c r="CY87" s="89"/>
      <c r="CZ87" s="89"/>
      <c r="DA87" s="89"/>
      <c r="DB87" s="88"/>
      <c r="DC87" s="204"/>
      <c r="DD87" s="89"/>
      <c r="DE87" s="89"/>
      <c r="DF87" s="89"/>
      <c r="DG87" s="88"/>
      <c r="DH87" s="204"/>
      <c r="DI87" s="89"/>
      <c r="DJ87" s="89"/>
      <c r="DK87" s="89"/>
      <c r="DL87" s="88"/>
      <c r="DM87" s="204"/>
      <c r="DN87" s="205"/>
      <c r="DO87" s="205"/>
      <c r="DQ87" s="206"/>
      <c r="DR87" s="188">
        <f t="shared" si="64"/>
        <v>18</v>
      </c>
      <c r="DS87" s="188"/>
      <c r="DT87" s="189">
        <f t="shared" si="65"/>
        <v>2</v>
      </c>
      <c r="DU87" s="189"/>
      <c r="DV87" s="188">
        <f t="shared" si="66"/>
        <v>36</v>
      </c>
      <c r="DW87" s="183" t="e">
        <f t="shared" ca="1" si="67"/>
        <v>#NAME?</v>
      </c>
      <c r="DX87" s="207"/>
      <c r="DY87" s="190" t="e">
        <f t="shared" ca="1" si="68"/>
        <v>#NAME?</v>
      </c>
      <c r="DZ87" s="191">
        <f t="shared" si="190"/>
        <v>1</v>
      </c>
      <c r="EA87" s="191" t="str">
        <f t="shared" si="191"/>
        <v/>
      </c>
      <c r="EB87" s="191" t="str">
        <f t="shared" si="192"/>
        <v/>
      </c>
      <c r="EC87" s="208" t="e">
        <f t="shared" ca="1" si="72"/>
        <v>#NAME?</v>
      </c>
      <c r="ED87" s="36" t="str">
        <f t="shared" si="73"/>
        <v>SAFE</v>
      </c>
      <c r="EE87" s="193">
        <f>COUNTIF($ED$2:$ED$92, ED87)/(COUNTIF($ED$2:$ED$92, "&lt;&gt;""") - COUNTIF($ED$2:$ED$92, ""))</f>
        <v>0.37777777777777777</v>
      </c>
      <c r="EF87" s="36" t="str">
        <f t="shared" si="74"/>
        <v>Growth</v>
      </c>
      <c r="EG87" s="207"/>
      <c r="EH87" s="194" t="e">
        <f t="shared" ca="1" si="75"/>
        <v>#NAME?</v>
      </c>
      <c r="EI87" s="194" t="e">
        <f t="shared" ca="1" si="76"/>
        <v>#NAME?</v>
      </c>
      <c r="EJ87" s="209" t="e">
        <f t="shared" ca="1" si="77"/>
        <v>#NAME?</v>
      </c>
      <c r="EK87" s="208" t="e">
        <f t="shared" ca="1" si="193"/>
        <v>#NAME?</v>
      </c>
      <c r="EL87" s="36" t="str">
        <f t="shared" si="79"/>
        <v>Yes</v>
      </c>
      <c r="EM87" s="207"/>
      <c r="EN87" s="192">
        <f t="shared" si="194"/>
        <v>2.7142857142857144</v>
      </c>
      <c r="EO87" s="192">
        <f t="shared" si="195"/>
        <v>3</v>
      </c>
      <c r="EP87" s="209">
        <f t="shared" si="82"/>
        <v>5.7142857142857144</v>
      </c>
      <c r="EQ87" s="210">
        <f t="shared" si="196"/>
        <v>3.91588785046729</v>
      </c>
      <c r="ER87" s="36" t="e">
        <f t="shared" ca="1" si="84"/>
        <v>#NAME?</v>
      </c>
      <c r="ES87" s="40">
        <f ca="1">COUNTIF($ER$2:$ER$92, ER87)/(COUNTIF($ER$2:$ER$92, "&lt;&gt;""") - COUNTIF($ER$2:$ER$92, ""))</f>
        <v>1</v>
      </c>
      <c r="ET87" s="36">
        <f t="shared" si="85"/>
        <v>1</v>
      </c>
      <c r="EU87" s="40">
        <f>COUNTIF($ET$2:$ET$92, ET87)/(COUNTIF($ET$2:$ET$92, "&lt;&gt;""") - COUNTIF($ET$2:$ET$92, ""))</f>
        <v>0.45555555555555555</v>
      </c>
      <c r="EV87" s="36">
        <f t="shared" si="86"/>
        <v>13</v>
      </c>
      <c r="EW87" s="40">
        <f>COUNTIF($EV$2:$EV$92, EV87)/(COUNTIF($EV$2:$EV$92, "&lt;&gt;""") - COUNTIF($EV$2:$EV$92, ""))</f>
        <v>2.2222222222222223E-2</v>
      </c>
      <c r="EX87" s="36" t="str">
        <f t="shared" si="87"/>
        <v>No</v>
      </c>
      <c r="EY87" s="40">
        <f>COUNTIF($EX$2:$EX$92, EX87)/(COUNTIF($EX$2:$EX$92, "&lt;&gt;""") - COUNTIF($EX$2:$EX$92, ""))</f>
        <v>0.72222222222222221</v>
      </c>
      <c r="EZ87" s="36" t="str">
        <f t="shared" ref="EZ87:FB87" si="210">BM87</f>
        <v>No</v>
      </c>
      <c r="FA87" s="36" t="str">
        <f t="shared" si="210"/>
        <v>No</v>
      </c>
      <c r="FB87" s="36" t="str">
        <f t="shared" si="210"/>
        <v>No</v>
      </c>
      <c r="FC87" s="207"/>
      <c r="FD87" s="36" t="str">
        <f t="shared" si="89"/>
        <v>Recurring</v>
      </c>
      <c r="FE87" s="40">
        <f>COUNTIF($FD$2:$FD$92, FD87)/(COUNTIF($FD$2:$FD$92, "&lt;&gt;""") - COUNTIF($FD$2:$FD$92, ""))</f>
        <v>0.4</v>
      </c>
      <c r="FF87" s="36" t="str">
        <f t="shared" si="90"/>
        <v>B2B/B2C</v>
      </c>
      <c r="FG87" s="40">
        <f>COUNTIF($FF$2:$FF$92, FF87)/(COUNTIF($FF$2:$FF$92, "&lt;&gt;""") - COUNTIF($FF$2:$FF$92, ""))</f>
        <v>0.27777777777777779</v>
      </c>
      <c r="FH87" s="36" t="str">
        <f t="shared" si="91"/>
        <v>High</v>
      </c>
      <c r="FI87" s="40">
        <f>COUNTIF($FH$2:$FH$92, FH87)/(COUNTIF($FH$2:$FH$92, "&lt;&gt;""") - COUNTIF($FH$2:$FH$92, ""))</f>
        <v>0.53333333333333333</v>
      </c>
      <c r="FJ87" s="36" t="str">
        <f t="shared" si="92"/>
        <v>Low</v>
      </c>
      <c r="FK87" s="40">
        <f>COUNTIF($FJ$2:$FJ$92, FJ87)/(COUNTIF($FJ$2:$FJ$92, "&lt;&gt;""") - COUNTIF($FJ$2:$FJ$92, ""))</f>
        <v>0.41111111111111109</v>
      </c>
      <c r="FL87" s="207"/>
      <c r="FM87" s="192">
        <f t="shared" si="93"/>
        <v>5</v>
      </c>
      <c r="FN87" s="192" t="e">
        <f t="shared" ca="1" si="94"/>
        <v>#NAME?</v>
      </c>
      <c r="FO87" s="192" t="e">
        <f t="shared" ca="1" si="95"/>
        <v>#NAME?</v>
      </c>
      <c r="FP87" s="192" t="e">
        <f t="shared" ca="1" si="96"/>
        <v>#NAME?</v>
      </c>
      <c r="FQ87" s="209" t="e">
        <f t="shared" ca="1" si="97"/>
        <v>#NAME?</v>
      </c>
      <c r="FR87" s="208" t="e">
        <f t="shared" ca="1" si="198"/>
        <v>#NAME?</v>
      </c>
      <c r="FS87" s="36" t="str">
        <f t="shared" si="99"/>
        <v>Profitable</v>
      </c>
      <c r="FT87" s="196">
        <f>COUNTIF($FS$2:$FS$92, FS87)/(COUNTIF($FS$2:$FS$92, "&lt;&gt;""") - COUNTIF($FZ$2:$FZ$92, ""))</f>
        <v>6.6666666666666666E-2</v>
      </c>
      <c r="FU87" s="207"/>
      <c r="FV87" s="192">
        <f t="shared" si="100"/>
        <v>3</v>
      </c>
      <c r="FW87" s="197" t="e">
        <f t="shared" ca="1" si="101"/>
        <v>#NAME?</v>
      </c>
      <c r="FX87" s="209" t="e">
        <f t="shared" ca="1" si="102"/>
        <v>#NAME?</v>
      </c>
      <c r="FY87" s="211" t="e">
        <f t="shared" ca="1" si="199"/>
        <v>#NAME?</v>
      </c>
      <c r="FZ87" s="36" t="str">
        <f t="shared" si="104"/>
        <v>No</v>
      </c>
      <c r="GA87" s="196">
        <f>COUNTIF($FZ$2:$FZ$92, FZ87)/(COUNTIF($FZ$2:$FZ$92, "&lt;&gt;""") - COUNTIF($FZ$2:$FZ$92, ""))</f>
        <v>0.76666666666666672</v>
      </c>
      <c r="GB87" s="196" t="str">
        <f t="shared" si="105"/>
        <v>Low</v>
      </c>
      <c r="GC87" s="196">
        <f>COUNTIF($GB$2:$GB$92, GB87)/(COUNTIF($GB$2:$GB$92, "&lt;&gt;""") - COUNTIF($GB$2:$GB$92, ""))</f>
        <v>0.55555555555555558</v>
      </c>
      <c r="GD87" s="196" t="str">
        <f t="shared" si="106"/>
        <v>High</v>
      </c>
      <c r="GE87" s="196">
        <f>COUNTIF($GD$2:$GD$92, GD87)/(COUNTIF($GD$2:$GD$92, "&lt;&gt;""") - COUNTIF($GD$2:$GD$92, ""))</f>
        <v>0.8</v>
      </c>
      <c r="GF87" s="207"/>
      <c r="GG87" s="36"/>
      <c r="GH87" s="209" t="e">
        <f t="shared" ca="1" si="107"/>
        <v>#NAME?</v>
      </c>
      <c r="GI87" s="212" t="e">
        <f t="shared" ca="1" si="200"/>
        <v>#NAME?</v>
      </c>
    </row>
    <row r="88" spans="1:191" ht="15.75" customHeight="1">
      <c r="A88" s="182"/>
      <c r="B88" s="182" t="s">
        <v>433</v>
      </c>
      <c r="C88" s="256">
        <v>1792907</v>
      </c>
      <c r="D88" s="247" t="s">
        <v>1068</v>
      </c>
      <c r="E88" s="259">
        <v>43808.566666666666</v>
      </c>
      <c r="F88" s="243" t="s">
        <v>344</v>
      </c>
      <c r="G88" s="257" t="s">
        <v>1069</v>
      </c>
      <c r="H88" s="257" t="s">
        <v>1070</v>
      </c>
      <c r="I88" s="267">
        <v>43790</v>
      </c>
      <c r="J88" s="247" t="s">
        <v>1071</v>
      </c>
      <c r="K88" s="247" t="s">
        <v>1068</v>
      </c>
      <c r="M88" s="243" t="s">
        <v>1072</v>
      </c>
      <c r="N88" s="243" t="s">
        <v>320</v>
      </c>
      <c r="O88" s="243" t="s">
        <v>30</v>
      </c>
      <c r="P88" s="243" t="s">
        <v>174</v>
      </c>
      <c r="Q88" s="243" t="s">
        <v>35</v>
      </c>
      <c r="R88" s="187"/>
      <c r="S88" s="243" t="s">
        <v>232</v>
      </c>
      <c r="T88" s="248"/>
      <c r="U88" s="249"/>
      <c r="V88" s="64">
        <v>5670000</v>
      </c>
      <c r="W88" s="250"/>
      <c r="X88" s="261"/>
      <c r="Y88" s="55" t="str">
        <f t="shared" si="158"/>
        <v/>
      </c>
      <c r="Z88" s="274">
        <f t="shared" si="159"/>
        <v>5670000</v>
      </c>
      <c r="AA88" s="183" t="e">
        <f t="shared" ca="1" si="160"/>
        <v>#NAME?</v>
      </c>
      <c r="AB88" s="243" t="s">
        <v>178</v>
      </c>
      <c r="AC88" s="243" t="s">
        <v>179</v>
      </c>
      <c r="AD88" s="243" t="s">
        <v>38</v>
      </c>
      <c r="AE88" s="243" t="s">
        <v>227</v>
      </c>
      <c r="AF88" s="243" t="s">
        <v>181</v>
      </c>
      <c r="AG88" s="243" t="s">
        <v>39</v>
      </c>
      <c r="AH88" s="239" t="s">
        <v>190</v>
      </c>
      <c r="AI88" s="64"/>
      <c r="AJ88" s="279">
        <v>34777400000</v>
      </c>
      <c r="AK88" s="224" t="e">
        <f t="shared" ca="1" si="161"/>
        <v>#NAME?</v>
      </c>
      <c r="AL88" s="279">
        <v>2000000000</v>
      </c>
      <c r="AM88" s="224" t="e">
        <f t="shared" ca="1" si="162"/>
        <v>#NAME?</v>
      </c>
      <c r="AN88" s="279">
        <v>3.5999999999999997E-2</v>
      </c>
      <c r="AO88" s="185" t="e">
        <f t="shared" ca="1" si="63"/>
        <v>#NAME?</v>
      </c>
      <c r="AP88" s="185" t="s">
        <v>264</v>
      </c>
      <c r="AQ88" s="243" t="s">
        <v>181</v>
      </c>
      <c r="AR88" s="243" t="s">
        <v>181</v>
      </c>
      <c r="AS88" s="243" t="s">
        <v>42</v>
      </c>
      <c r="AT88" s="35" t="s">
        <v>39</v>
      </c>
      <c r="AU88" s="35" t="s">
        <v>39</v>
      </c>
      <c r="AV88" s="243" t="s">
        <v>227</v>
      </c>
      <c r="AW88" s="243" t="s">
        <v>190</v>
      </c>
      <c r="AX88" s="243" t="s">
        <v>227</v>
      </c>
      <c r="AY88" s="243" t="s">
        <v>190</v>
      </c>
      <c r="AZ88" s="64">
        <v>118457</v>
      </c>
      <c r="BA88" s="55" t="e">
        <f t="shared" ca="1" si="163"/>
        <v>#NAME?</v>
      </c>
      <c r="BB88" s="279">
        <v>55965</v>
      </c>
      <c r="BC88" s="279">
        <v>1234000</v>
      </c>
      <c r="BD88" s="62" t="e">
        <f t="shared" ca="1" si="164"/>
        <v>#NAME?</v>
      </c>
      <c r="BE88" s="277">
        <f t="shared" si="165"/>
        <v>4.5352512155591572E-2</v>
      </c>
      <c r="BF88" s="62" t="e">
        <f t="shared" ca="1" si="166"/>
        <v>#NAME?</v>
      </c>
      <c r="BG88" s="243" t="s">
        <v>43</v>
      </c>
      <c r="BH88" s="187"/>
      <c r="BI88" s="243" t="s">
        <v>227</v>
      </c>
      <c r="BJ88" s="256">
        <v>4</v>
      </c>
      <c r="BK88" s="279">
        <v>2</v>
      </c>
      <c r="BL88" s="239" t="s">
        <v>190</v>
      </c>
      <c r="BM88" s="243" t="s">
        <v>1073</v>
      </c>
      <c r="BN88" s="243" t="s">
        <v>190</v>
      </c>
      <c r="BO88" s="243" t="s">
        <v>190</v>
      </c>
      <c r="BP88" s="256">
        <v>5</v>
      </c>
      <c r="BQ88" s="256">
        <v>3</v>
      </c>
      <c r="BR88" s="256">
        <v>5</v>
      </c>
      <c r="BS88" s="256">
        <v>1</v>
      </c>
      <c r="BT88" s="204"/>
      <c r="BU88" s="256">
        <v>2</v>
      </c>
      <c r="BV88" s="256">
        <v>0</v>
      </c>
      <c r="BW88" s="256">
        <v>28</v>
      </c>
      <c r="BX88" s="243" t="s">
        <v>227</v>
      </c>
      <c r="BY88" s="204"/>
      <c r="BZ88" s="239">
        <v>2</v>
      </c>
      <c r="CA88" s="239">
        <v>4</v>
      </c>
      <c r="CB88" s="239">
        <v>62</v>
      </c>
      <c r="CC88" s="239" t="s">
        <v>190</v>
      </c>
      <c r="CD88" s="204"/>
      <c r="CE88" s="187"/>
      <c r="CF88" s="187"/>
      <c r="CG88" s="187"/>
      <c r="CH88" s="187"/>
      <c r="CI88" s="204"/>
      <c r="CJ88" s="187"/>
      <c r="CK88" s="187"/>
      <c r="CL88" s="187"/>
      <c r="CM88" s="187"/>
      <c r="CN88" s="205"/>
      <c r="CO88" s="187"/>
      <c r="CP88" s="187"/>
      <c r="CQ88" s="187"/>
      <c r="CR88" s="187"/>
      <c r="CS88" s="204"/>
      <c r="CT88" s="187"/>
      <c r="CU88" s="187"/>
      <c r="CV88" s="187"/>
      <c r="CW88" s="187"/>
      <c r="CX88" s="204"/>
      <c r="CY88" s="187"/>
      <c r="CZ88" s="187"/>
      <c r="DA88" s="187"/>
      <c r="DB88" s="187"/>
      <c r="DC88" s="204"/>
      <c r="DD88" s="187"/>
      <c r="DE88" s="187"/>
      <c r="DF88" s="187"/>
      <c r="DG88" s="187"/>
      <c r="DH88" s="204"/>
      <c r="DI88" s="187"/>
      <c r="DJ88" s="187"/>
      <c r="DK88" s="187"/>
      <c r="DL88" s="187"/>
      <c r="DM88" s="204"/>
      <c r="DN88" s="205"/>
      <c r="DO88" s="205"/>
      <c r="DQ88" s="206"/>
      <c r="DR88" s="188">
        <f t="shared" si="64"/>
        <v>2</v>
      </c>
      <c r="DS88" s="188"/>
      <c r="DT88" s="189">
        <f t="shared" si="65"/>
        <v>4</v>
      </c>
      <c r="DU88" s="189"/>
      <c r="DV88" s="188">
        <f t="shared" si="66"/>
        <v>45</v>
      </c>
      <c r="DW88" s="183" t="e">
        <f t="shared" ca="1" si="67"/>
        <v>#NAME?</v>
      </c>
      <c r="DX88" s="207"/>
      <c r="DY88" s="190" t="e">
        <f t="shared" ca="1" si="68"/>
        <v>#NAME?</v>
      </c>
      <c r="DZ88" s="191" t="str">
        <f t="shared" si="190"/>
        <v/>
      </c>
      <c r="EA88" s="191" t="str">
        <f t="shared" si="191"/>
        <v/>
      </c>
      <c r="EB88" s="191" t="str">
        <f t="shared" si="192"/>
        <v/>
      </c>
      <c r="EC88" s="208" t="e">
        <f t="shared" ca="1" si="72"/>
        <v>#NAME?</v>
      </c>
      <c r="ED88" s="36" t="str">
        <f t="shared" si="73"/>
        <v>Equity - Preferred</v>
      </c>
      <c r="EE88" s="193">
        <f>COUNTIF($ED$2:$ED$92, ED88)/(COUNTIF($ED$2:$ED$92, "&lt;&gt;""") - COUNTIF($ED$2:$ED$92, ""))</f>
        <v>6.6666666666666666E-2</v>
      </c>
      <c r="EF88" s="36" t="str">
        <f t="shared" si="74"/>
        <v>Early</v>
      </c>
      <c r="EG88" s="207"/>
      <c r="EH88" s="194" t="e">
        <f t="shared" ca="1" si="75"/>
        <v>#NAME?</v>
      </c>
      <c r="EI88" s="194" t="e">
        <f t="shared" ca="1" si="76"/>
        <v>#NAME?</v>
      </c>
      <c r="EJ88" s="209" t="e">
        <f t="shared" ca="1" si="77"/>
        <v>#NAME?</v>
      </c>
      <c r="EK88" s="208" t="e">
        <f t="shared" ca="1" si="193"/>
        <v>#NAME?</v>
      </c>
      <c r="EL88" s="36" t="str">
        <f t="shared" si="79"/>
        <v>Yes</v>
      </c>
      <c r="EM88" s="207"/>
      <c r="EN88" s="192">
        <f t="shared" si="194"/>
        <v>1.1904761904761905</v>
      </c>
      <c r="EO88" s="192">
        <f t="shared" si="195"/>
        <v>5</v>
      </c>
      <c r="EP88" s="209">
        <f t="shared" si="82"/>
        <v>6.1904761904761907</v>
      </c>
      <c r="EQ88" s="210">
        <f t="shared" si="196"/>
        <v>4.2897196261682247</v>
      </c>
      <c r="ER88" s="36" t="e">
        <f t="shared" ca="1" si="84"/>
        <v>#NAME?</v>
      </c>
      <c r="ES88" s="40">
        <f ca="1">COUNTIF($ER$2:$ER$92, ER88)/(COUNTIF($ER$2:$ER$92, "&lt;&gt;""") - COUNTIF($ER$2:$ER$92, ""))</f>
        <v>1</v>
      </c>
      <c r="ET88" s="36">
        <f t="shared" si="85"/>
        <v>2</v>
      </c>
      <c r="EU88" s="40">
        <f>COUNTIF($ET$2:$ET$92, ET88)/(COUNTIF($ET$2:$ET$92, "&lt;&gt;""") - COUNTIF($ET$2:$ET$92, ""))</f>
        <v>0.45555555555555555</v>
      </c>
      <c r="EV88" s="36">
        <f t="shared" si="86"/>
        <v>3</v>
      </c>
      <c r="EW88" s="40">
        <f>COUNTIF($EV$2:$EV$92, EV88)/(COUNTIF($EV$2:$EV$92, "&lt;&gt;""") - COUNTIF($EV$2:$EV$92, ""))</f>
        <v>8.8888888888888892E-2</v>
      </c>
      <c r="EX88" s="36" t="str">
        <f t="shared" si="87"/>
        <v>No</v>
      </c>
      <c r="EY88" s="40">
        <f>COUNTIF($EX$2:$EX$92, EX88)/(COUNTIF($EX$2:$EX$92, "&lt;&gt;""") - COUNTIF($EX$2:$EX$92, ""))</f>
        <v>0.72222222222222221</v>
      </c>
      <c r="EZ88" s="36" t="str">
        <f t="shared" ref="EZ88:FB88" si="211">BM88</f>
        <v>yes</v>
      </c>
      <c r="FA88" s="36" t="str">
        <f t="shared" si="211"/>
        <v>No</v>
      </c>
      <c r="FB88" s="36" t="str">
        <f t="shared" si="211"/>
        <v>No</v>
      </c>
      <c r="FC88" s="207"/>
      <c r="FD88" s="36" t="str">
        <f t="shared" si="89"/>
        <v>Recurring</v>
      </c>
      <c r="FE88" s="40">
        <f>COUNTIF($FD$2:$FD$92, FD88)/(COUNTIF($FD$2:$FD$92, "&lt;&gt;""") - COUNTIF($FD$2:$FD$92, ""))</f>
        <v>0.4</v>
      </c>
      <c r="FF88" s="36" t="str">
        <f t="shared" si="90"/>
        <v>B2C</v>
      </c>
      <c r="FG88" s="40">
        <f>COUNTIF($FF$2:$FF$92, FF88)/(COUNTIF($FF$2:$FF$92, "&lt;&gt;""") - COUNTIF($FF$2:$FF$92, ""))</f>
        <v>0.41111111111111109</v>
      </c>
      <c r="FH88" s="36" t="str">
        <f t="shared" si="91"/>
        <v>Low</v>
      </c>
      <c r="FI88" s="40">
        <f>COUNTIF($FH$2:$FH$92, FH88)/(COUNTIF($FH$2:$FH$92, "&lt;&gt;""") - COUNTIF($FH$2:$FH$92, ""))</f>
        <v>0.46666666666666667</v>
      </c>
      <c r="FJ88" s="36" t="str">
        <f t="shared" si="92"/>
        <v>High</v>
      </c>
      <c r="FK88" s="40">
        <f>COUNTIF($FJ$2:$FJ$92, FJ88)/(COUNTIF($FJ$2:$FJ$92, "&lt;&gt;""") - COUNTIF($FJ$2:$FJ$92, ""))</f>
        <v>0.58888888888888891</v>
      </c>
      <c r="FL88" s="207"/>
      <c r="FM88" s="192">
        <f t="shared" si="93"/>
        <v>3</v>
      </c>
      <c r="FN88" s="192" t="e">
        <f t="shared" ca="1" si="94"/>
        <v>#NAME?</v>
      </c>
      <c r="FO88" s="192" t="e">
        <f t="shared" ca="1" si="95"/>
        <v>#NAME?</v>
      </c>
      <c r="FP88" s="192" t="e">
        <f t="shared" ca="1" si="96"/>
        <v>#NAME?</v>
      </c>
      <c r="FQ88" s="209" t="e">
        <f t="shared" ca="1" si="97"/>
        <v>#NAME?</v>
      </c>
      <c r="FR88" s="208" t="e">
        <f t="shared" ca="1" si="198"/>
        <v>#NAME?</v>
      </c>
      <c r="FS88" s="36" t="str">
        <f t="shared" si="99"/>
        <v>Pre-Product</v>
      </c>
      <c r="FT88" s="196">
        <f>COUNTIF($FS$2:$FS$92, FS88)/(COUNTIF($FS$2:$FS$92, "&lt;&gt;""") - COUNTIF($FZ$2:$FZ$92, ""))</f>
        <v>0.22222222222222221</v>
      </c>
      <c r="FU88" s="207"/>
      <c r="FV88" s="192" t="e">
        <f t="shared" ca="1" si="100"/>
        <v>#NAME?</v>
      </c>
      <c r="FW88" s="197" t="e">
        <f t="shared" ca="1" si="101"/>
        <v>#NAME?</v>
      </c>
      <c r="FX88" s="209" t="e">
        <f t="shared" ca="1" si="102"/>
        <v>#NAME?</v>
      </c>
      <c r="FY88" s="211" t="e">
        <f t="shared" ca="1" si="199"/>
        <v>#NAME?</v>
      </c>
      <c r="FZ88" s="36" t="str">
        <f t="shared" si="104"/>
        <v>No</v>
      </c>
      <c r="GA88" s="196">
        <f>COUNTIF($FZ$2:$FZ$92, FZ88)/(COUNTIF($FZ$2:$FZ$92, "&lt;&gt;""") - COUNTIF($FZ$2:$FZ$92, ""))</f>
        <v>0.76666666666666672</v>
      </c>
      <c r="GB88" s="196" t="str">
        <f t="shared" si="105"/>
        <v>High</v>
      </c>
      <c r="GC88" s="196">
        <f>COUNTIF($GB$2:$GB$92, GB88)/(COUNTIF($GB$2:$GB$92, "&lt;&gt;""") - COUNTIF($GB$2:$GB$92, ""))</f>
        <v>0.43333333333333335</v>
      </c>
      <c r="GD88" s="196" t="str">
        <f t="shared" si="106"/>
        <v>High</v>
      </c>
      <c r="GE88" s="196">
        <f>COUNTIF($GD$2:$GD$92, GD88)/(COUNTIF($GD$2:$GD$92, "&lt;&gt;""") - COUNTIF($GD$2:$GD$92, ""))</f>
        <v>0.8</v>
      </c>
      <c r="GF88" s="207"/>
      <c r="GG88" s="36"/>
      <c r="GH88" s="209" t="e">
        <f t="shared" ca="1" si="107"/>
        <v>#NAME?</v>
      </c>
      <c r="GI88" s="212" t="e">
        <f t="shared" ca="1" si="200"/>
        <v>#NAME?</v>
      </c>
    </row>
    <row r="89" spans="1:191" ht="15.75" customHeight="1">
      <c r="A89" s="182"/>
      <c r="B89" s="182" t="s">
        <v>433</v>
      </c>
      <c r="C89" s="256">
        <v>1722969</v>
      </c>
      <c r="D89" s="247" t="s">
        <v>1074</v>
      </c>
      <c r="E89" s="259">
        <v>43809.435416666667</v>
      </c>
      <c r="F89" s="243" t="s">
        <v>337</v>
      </c>
      <c r="G89" s="257" t="s">
        <v>1075</v>
      </c>
      <c r="H89" s="257" t="s">
        <v>1076</v>
      </c>
      <c r="I89" s="258">
        <v>43809</v>
      </c>
      <c r="J89" s="247" t="s">
        <v>1077</v>
      </c>
      <c r="K89" s="247" t="s">
        <v>1077</v>
      </c>
      <c r="M89" s="243" t="s">
        <v>929</v>
      </c>
      <c r="N89" s="243" t="s">
        <v>213</v>
      </c>
      <c r="O89" s="243" t="s">
        <v>30</v>
      </c>
      <c r="P89" s="243" t="s">
        <v>174</v>
      </c>
      <c r="Q89" s="243" t="s">
        <v>35</v>
      </c>
      <c r="R89" s="187"/>
      <c r="S89" s="243" t="s">
        <v>216</v>
      </c>
      <c r="T89" s="248"/>
      <c r="U89" s="249"/>
      <c r="V89" s="64">
        <v>89800000</v>
      </c>
      <c r="W89" s="250"/>
      <c r="X89" s="261"/>
      <c r="Y89" s="55" t="str">
        <f t="shared" si="158"/>
        <v/>
      </c>
      <c r="Z89" s="274">
        <f t="shared" si="159"/>
        <v>89800000</v>
      </c>
      <c r="AA89" s="183" t="e">
        <f t="shared" ca="1" si="160"/>
        <v>#NAME?</v>
      </c>
      <c r="AB89" s="243" t="s">
        <v>178</v>
      </c>
      <c r="AC89" s="243" t="s">
        <v>218</v>
      </c>
      <c r="AD89" s="243" t="s">
        <v>180</v>
      </c>
      <c r="AE89" s="243" t="s">
        <v>190</v>
      </c>
      <c r="AF89" s="243" t="s">
        <v>39</v>
      </c>
      <c r="AG89" s="243" t="s">
        <v>39</v>
      </c>
      <c r="AH89" s="239" t="s">
        <v>190</v>
      </c>
      <c r="AI89" s="64"/>
      <c r="AJ89" s="279">
        <v>536600000000</v>
      </c>
      <c r="AK89" s="224" t="e">
        <f t="shared" ca="1" si="161"/>
        <v>#NAME?</v>
      </c>
      <c r="AL89" s="279">
        <v>22000000000</v>
      </c>
      <c r="AM89" s="224" t="e">
        <f t="shared" ca="1" si="162"/>
        <v>#NAME?</v>
      </c>
      <c r="AN89" s="279">
        <v>0.04</v>
      </c>
      <c r="AO89" s="185" t="e">
        <f t="shared" ca="1" si="63"/>
        <v>#NAME?</v>
      </c>
      <c r="AP89" s="185" t="s">
        <v>192</v>
      </c>
      <c r="AQ89" s="243" t="s">
        <v>39</v>
      </c>
      <c r="AR89" s="243" t="s">
        <v>181</v>
      </c>
      <c r="AS89" s="243" t="s">
        <v>182</v>
      </c>
      <c r="AT89" s="35" t="s">
        <v>39</v>
      </c>
      <c r="AU89" s="35" t="s">
        <v>181</v>
      </c>
      <c r="AV89" s="243" t="s">
        <v>227</v>
      </c>
      <c r="AW89" s="243" t="s">
        <v>227</v>
      </c>
      <c r="AX89" s="243" t="s">
        <v>227</v>
      </c>
      <c r="AY89" s="243" t="s">
        <v>190</v>
      </c>
      <c r="AZ89" s="64">
        <v>0</v>
      </c>
      <c r="BA89" s="55" t="e">
        <f t="shared" ca="1" si="163"/>
        <v>#NAME?</v>
      </c>
      <c r="BB89" s="279">
        <v>49646</v>
      </c>
      <c r="BC89" s="280">
        <v>1140000</v>
      </c>
      <c r="BD89" s="62" t="e">
        <f t="shared" ca="1" si="164"/>
        <v>#NAME?</v>
      </c>
      <c r="BE89" s="277">
        <f t="shared" si="165"/>
        <v>4.3549122807017546E-2</v>
      </c>
      <c r="BF89" s="62" t="e">
        <f t="shared" ca="1" si="166"/>
        <v>#NAME?</v>
      </c>
      <c r="BG89" s="243" t="s">
        <v>43</v>
      </c>
      <c r="BH89" s="187"/>
      <c r="BI89" s="243" t="s">
        <v>190</v>
      </c>
      <c r="BJ89" s="256">
        <v>0</v>
      </c>
      <c r="BK89" s="279">
        <v>2</v>
      </c>
      <c r="BL89" s="239" t="s">
        <v>190</v>
      </c>
      <c r="BM89" s="243" t="s">
        <v>190</v>
      </c>
      <c r="BN89" s="243" t="s">
        <v>190</v>
      </c>
      <c r="BO89" s="243" t="s">
        <v>190</v>
      </c>
      <c r="BP89" s="256">
        <v>3</v>
      </c>
      <c r="BQ89" s="256">
        <v>14</v>
      </c>
      <c r="BR89" s="256">
        <v>0</v>
      </c>
      <c r="BS89" s="256">
        <v>0</v>
      </c>
      <c r="BT89" s="204"/>
      <c r="BU89" s="256">
        <v>1</v>
      </c>
      <c r="BV89" s="256">
        <v>0</v>
      </c>
      <c r="BW89" s="256">
        <v>32</v>
      </c>
      <c r="BX89" s="243" t="s">
        <v>227</v>
      </c>
      <c r="BY89" s="204"/>
      <c r="BZ89" s="239">
        <v>13</v>
      </c>
      <c r="CA89" s="239">
        <v>0</v>
      </c>
      <c r="CB89" s="239">
        <v>36</v>
      </c>
      <c r="CC89" s="239" t="s">
        <v>190</v>
      </c>
      <c r="CD89" s="204"/>
      <c r="CE89" s="187"/>
      <c r="CF89" s="187"/>
      <c r="CG89" s="187"/>
      <c r="CH89" s="187"/>
      <c r="CI89" s="204"/>
      <c r="CJ89" s="187"/>
      <c r="CK89" s="187"/>
      <c r="CL89" s="187"/>
      <c r="CM89" s="187"/>
      <c r="CN89" s="205"/>
      <c r="CO89" s="187"/>
      <c r="CP89" s="187"/>
      <c r="CQ89" s="187"/>
      <c r="CR89" s="187"/>
      <c r="CS89" s="204"/>
      <c r="CT89" s="187"/>
      <c r="CU89" s="187"/>
      <c r="CV89" s="187"/>
      <c r="CW89" s="187"/>
      <c r="CX89" s="204"/>
      <c r="CY89" s="187"/>
      <c r="CZ89" s="187"/>
      <c r="DA89" s="187"/>
      <c r="DB89" s="187"/>
      <c r="DC89" s="204"/>
      <c r="DD89" s="187"/>
      <c r="DE89" s="187"/>
      <c r="DF89" s="187"/>
      <c r="DG89" s="187"/>
      <c r="DH89" s="204"/>
      <c r="DI89" s="187"/>
      <c r="DJ89" s="187"/>
      <c r="DK89" s="187"/>
      <c r="DL89" s="187"/>
      <c r="DM89" s="204"/>
      <c r="DN89" s="205"/>
      <c r="DO89" s="205"/>
      <c r="DQ89" s="206"/>
      <c r="DR89" s="188">
        <f t="shared" si="64"/>
        <v>7</v>
      </c>
      <c r="DS89" s="188"/>
      <c r="DT89" s="189">
        <f t="shared" si="65"/>
        <v>0</v>
      </c>
      <c r="DU89" s="189"/>
      <c r="DV89" s="188">
        <f t="shared" si="66"/>
        <v>34</v>
      </c>
      <c r="DW89" s="183" t="e">
        <f t="shared" ca="1" si="67"/>
        <v>#NAME?</v>
      </c>
      <c r="DX89" s="207"/>
      <c r="DY89" s="190" t="e">
        <f t="shared" ca="1" si="68"/>
        <v>#NAME?</v>
      </c>
      <c r="DZ89" s="191" t="str">
        <f t="shared" si="190"/>
        <v/>
      </c>
      <c r="EA89" s="191" t="str">
        <f t="shared" si="191"/>
        <v/>
      </c>
      <c r="EB89" s="191" t="str">
        <f t="shared" si="192"/>
        <v/>
      </c>
      <c r="EC89" s="208" t="e">
        <f t="shared" ca="1" si="72"/>
        <v>#NAME?</v>
      </c>
      <c r="ED89" s="36" t="str">
        <f t="shared" si="73"/>
        <v>Equity - Common</v>
      </c>
      <c r="EE89" s="193">
        <f>COUNTIF($ED$2:$ED$92, ED89)/(COUNTIF($ED$2:$ED$92, "&lt;&gt;""") - COUNTIF($ED$2:$ED$92, ""))</f>
        <v>0.32222222222222224</v>
      </c>
      <c r="EF89" s="36" t="str">
        <f t="shared" si="74"/>
        <v>Early</v>
      </c>
      <c r="EG89" s="207"/>
      <c r="EH89" s="194" t="e">
        <f t="shared" ca="1" si="75"/>
        <v>#NAME?</v>
      </c>
      <c r="EI89" s="194" t="e">
        <f t="shared" ca="1" si="76"/>
        <v>#NAME?</v>
      </c>
      <c r="EJ89" s="209" t="e">
        <f t="shared" ca="1" si="77"/>
        <v>#NAME?</v>
      </c>
      <c r="EK89" s="208" t="e">
        <f t="shared" ca="1" si="193"/>
        <v>#NAME?</v>
      </c>
      <c r="EL89" s="36" t="str">
        <f t="shared" si="79"/>
        <v>Yes</v>
      </c>
      <c r="EM89" s="207"/>
      <c r="EN89" s="192">
        <f t="shared" si="194"/>
        <v>1.6666666666666665</v>
      </c>
      <c r="EO89" s="192">
        <f t="shared" si="195"/>
        <v>1</v>
      </c>
      <c r="EP89" s="209">
        <f t="shared" si="82"/>
        <v>2.6666666666666665</v>
      </c>
      <c r="EQ89" s="210">
        <f t="shared" si="196"/>
        <v>1.5233644859813085</v>
      </c>
      <c r="ER89" s="36" t="e">
        <f t="shared" ca="1" si="84"/>
        <v>#NAME?</v>
      </c>
      <c r="ES89" s="40">
        <f ca="1">COUNTIF($ER$2:$ER$92, ER89)/(COUNTIF($ER$2:$ER$92, "&lt;&gt;""") - COUNTIF($ER$2:$ER$92, ""))</f>
        <v>1</v>
      </c>
      <c r="ET89" s="36">
        <f t="shared" si="85"/>
        <v>2</v>
      </c>
      <c r="EU89" s="40">
        <f>COUNTIF($ET$2:$ET$92, ET89)/(COUNTIF($ET$2:$ET$92, "&lt;&gt;""") - COUNTIF($ET$2:$ET$92, ""))</f>
        <v>0.45555555555555555</v>
      </c>
      <c r="EV89" s="36">
        <f t="shared" si="86"/>
        <v>14</v>
      </c>
      <c r="EW89" s="40">
        <f>COUNTIF($EV$2:$EV$92, EV89)/(COUNTIF($EV$2:$EV$92, "&lt;&gt;""") - COUNTIF($EV$2:$EV$92, ""))</f>
        <v>3.3333333333333333E-2</v>
      </c>
      <c r="EX89" s="36" t="str">
        <f t="shared" si="87"/>
        <v>No</v>
      </c>
      <c r="EY89" s="40">
        <f>COUNTIF($EX$2:$EX$92, EX89)/(COUNTIF($EX$2:$EX$92, "&lt;&gt;""") - COUNTIF($EX$2:$EX$92, ""))</f>
        <v>0.72222222222222221</v>
      </c>
      <c r="EZ89" s="36" t="str">
        <f t="shared" ref="EZ89:FB89" si="212">BM89</f>
        <v>No</v>
      </c>
      <c r="FA89" s="36" t="str">
        <f t="shared" si="212"/>
        <v>No</v>
      </c>
      <c r="FB89" s="36" t="str">
        <f t="shared" si="212"/>
        <v>No</v>
      </c>
      <c r="FC89" s="207"/>
      <c r="FD89" s="36" t="str">
        <f t="shared" si="89"/>
        <v>Recurring</v>
      </c>
      <c r="FE89" s="40">
        <f>COUNTIF($FD$2:$FD$92, FD89)/(COUNTIF($FD$2:$FD$92, "&lt;&gt;""") - COUNTIF($FD$2:$FD$92, ""))</f>
        <v>0.4</v>
      </c>
      <c r="FF89" s="36" t="str">
        <f t="shared" si="90"/>
        <v>B2B/B2C</v>
      </c>
      <c r="FG89" s="40">
        <f>COUNTIF($FF$2:$FF$92, FF89)/(COUNTIF($FF$2:$FF$92, "&lt;&gt;""") - COUNTIF($FF$2:$FF$92, ""))</f>
        <v>0.27777777777777779</v>
      </c>
      <c r="FH89" s="36" t="str">
        <f t="shared" si="91"/>
        <v>High</v>
      </c>
      <c r="FI89" s="40">
        <f>COUNTIF($FH$2:$FH$92, FH89)/(COUNTIF($FH$2:$FH$92, "&lt;&gt;""") - COUNTIF($FH$2:$FH$92, ""))</f>
        <v>0.53333333333333333</v>
      </c>
      <c r="FJ89" s="36" t="str">
        <f t="shared" si="92"/>
        <v>High</v>
      </c>
      <c r="FK89" s="40">
        <f>COUNTIF($FJ$2:$FJ$92, FJ89)/(COUNTIF($FJ$2:$FJ$92, "&lt;&gt;""") - COUNTIF($FJ$2:$FJ$92, ""))</f>
        <v>0.58888888888888891</v>
      </c>
      <c r="FL89" s="207"/>
      <c r="FM89" s="192">
        <f t="shared" si="93"/>
        <v>3</v>
      </c>
      <c r="FN89" s="192" t="e">
        <f t="shared" ca="1" si="94"/>
        <v>#NAME?</v>
      </c>
      <c r="FO89" s="192" t="e">
        <f t="shared" ca="1" si="95"/>
        <v>#NAME?</v>
      </c>
      <c r="FP89" s="192" t="e">
        <f t="shared" ca="1" si="96"/>
        <v>#NAME?</v>
      </c>
      <c r="FQ89" s="209" t="e">
        <f t="shared" ca="1" si="97"/>
        <v>#NAME?</v>
      </c>
      <c r="FR89" s="208" t="e">
        <f t="shared" ca="1" si="198"/>
        <v>#NAME?</v>
      </c>
      <c r="FS89" s="36" t="str">
        <f t="shared" si="99"/>
        <v>Pre-Product</v>
      </c>
      <c r="FT89" s="196">
        <f>COUNTIF($FS$2:$FS$92, FS89)/(COUNTIF($FS$2:$FS$92, "&lt;&gt;""") - COUNTIF($FZ$2:$FZ$92, ""))</f>
        <v>0.22222222222222221</v>
      </c>
      <c r="FU89" s="207"/>
      <c r="FV89" s="192">
        <f t="shared" si="100"/>
        <v>3</v>
      </c>
      <c r="FW89" s="197" t="e">
        <f t="shared" ca="1" si="101"/>
        <v>#NAME?</v>
      </c>
      <c r="FX89" s="209" t="e">
        <f t="shared" ca="1" si="102"/>
        <v>#NAME?</v>
      </c>
      <c r="FY89" s="211" t="e">
        <f t="shared" ca="1" si="199"/>
        <v>#NAME?</v>
      </c>
      <c r="FZ89" s="36" t="str">
        <f t="shared" si="104"/>
        <v>Yes</v>
      </c>
      <c r="GA89" s="196">
        <f>COUNTIF($FZ$2:$FZ$92, FZ89)/(COUNTIF($FZ$2:$FZ$92, "&lt;&gt;""") - COUNTIF($FZ$2:$FZ$92, ""))</f>
        <v>0.23333333333333334</v>
      </c>
      <c r="GB89" s="196" t="str">
        <f t="shared" si="105"/>
        <v>High</v>
      </c>
      <c r="GC89" s="196">
        <f>COUNTIF($GB$2:$GB$92, GB89)/(COUNTIF($GB$2:$GB$92, "&lt;&gt;""") - COUNTIF($GB$2:$GB$92, ""))</f>
        <v>0.43333333333333335</v>
      </c>
      <c r="GD89" s="196" t="str">
        <f t="shared" si="106"/>
        <v>Low</v>
      </c>
      <c r="GE89" s="196">
        <f>COUNTIF($GD$2:$GD$92, GD89)/(COUNTIF($GD$2:$GD$92, "&lt;&gt;""") - COUNTIF($GD$2:$GD$92, ""))</f>
        <v>0.18888888888888888</v>
      </c>
      <c r="GF89" s="207"/>
      <c r="GG89" s="36"/>
      <c r="GH89" s="209" t="e">
        <f t="shared" ca="1" si="107"/>
        <v>#NAME?</v>
      </c>
      <c r="GI89" s="212" t="e">
        <f t="shared" ca="1" si="200"/>
        <v>#NAME?</v>
      </c>
    </row>
    <row r="90" spans="1:191" ht="15.75" customHeight="1">
      <c r="A90" s="174"/>
      <c r="B90" s="174" t="s">
        <v>433</v>
      </c>
      <c r="C90" s="238">
        <v>1788204</v>
      </c>
      <c r="D90" s="244" t="s">
        <v>1078</v>
      </c>
      <c r="E90" s="245">
        <v>43809.444444444445</v>
      </c>
      <c r="F90" s="239" t="s">
        <v>344</v>
      </c>
      <c r="G90" s="32" t="s">
        <v>1079</v>
      </c>
      <c r="H90" s="32" t="s">
        <v>1080</v>
      </c>
      <c r="I90" s="246">
        <v>43774</v>
      </c>
      <c r="J90" s="247" t="s">
        <v>1081</v>
      </c>
      <c r="K90" s="247" t="s">
        <v>1081</v>
      </c>
      <c r="M90" s="35" t="s">
        <v>293</v>
      </c>
      <c r="N90" s="239" t="s">
        <v>168</v>
      </c>
      <c r="O90" s="239" t="s">
        <v>30</v>
      </c>
      <c r="P90" s="239" t="s">
        <v>197</v>
      </c>
      <c r="Q90" s="239" t="s">
        <v>35</v>
      </c>
      <c r="R90" s="187"/>
      <c r="S90" s="239" t="s">
        <v>176</v>
      </c>
      <c r="T90" s="248"/>
      <c r="U90" s="249"/>
      <c r="V90" s="251"/>
      <c r="W90" s="69">
        <v>8300000</v>
      </c>
      <c r="X90" s="252">
        <v>0.2</v>
      </c>
      <c r="Y90" s="55">
        <f t="shared" si="158"/>
        <v>6640000</v>
      </c>
      <c r="Z90" s="274">
        <f t="shared" si="159"/>
        <v>6640000</v>
      </c>
      <c r="AA90" s="183" t="e">
        <f t="shared" ca="1" si="160"/>
        <v>#NAME?</v>
      </c>
      <c r="AB90" s="239" t="s">
        <v>36</v>
      </c>
      <c r="AC90" s="239" t="s">
        <v>218</v>
      </c>
      <c r="AD90" s="239" t="s">
        <v>38</v>
      </c>
      <c r="AE90" s="239" t="s">
        <v>190</v>
      </c>
      <c r="AF90" s="239" t="s">
        <v>181</v>
      </c>
      <c r="AG90" s="239" t="s">
        <v>39</v>
      </c>
      <c r="AH90" s="239" t="s">
        <v>190</v>
      </c>
      <c r="AI90" s="251"/>
      <c r="AJ90" s="279">
        <v>1587868000000</v>
      </c>
      <c r="AK90" s="224" t="e">
        <f t="shared" ca="1" si="161"/>
        <v>#NAME?</v>
      </c>
      <c r="AL90" s="279">
        <v>62000000</v>
      </c>
      <c r="AM90" s="224" t="e">
        <f t="shared" ca="1" si="162"/>
        <v>#NAME?</v>
      </c>
      <c r="AN90" s="279">
        <v>0.40699999999999997</v>
      </c>
      <c r="AO90" s="185" t="e">
        <f t="shared" ca="1" si="63"/>
        <v>#NAME?</v>
      </c>
      <c r="AP90" s="185" t="s">
        <v>228</v>
      </c>
      <c r="AQ90" s="239" t="s">
        <v>181</v>
      </c>
      <c r="AR90" s="239" t="s">
        <v>181</v>
      </c>
      <c r="AS90" s="239" t="s">
        <v>42</v>
      </c>
      <c r="AT90" s="29" t="s">
        <v>39</v>
      </c>
      <c r="AU90" s="29" t="s">
        <v>39</v>
      </c>
      <c r="AV90" s="239" t="s">
        <v>190</v>
      </c>
      <c r="AW90" s="239" t="s">
        <v>190</v>
      </c>
      <c r="AX90" s="239" t="s">
        <v>227</v>
      </c>
      <c r="AY90" s="239" t="s">
        <v>227</v>
      </c>
      <c r="AZ90" s="251">
        <v>622601</v>
      </c>
      <c r="BA90" s="55" t="e">
        <f t="shared" ca="1" si="163"/>
        <v>#NAME?</v>
      </c>
      <c r="BB90" s="279">
        <v>65512</v>
      </c>
      <c r="BC90" s="280">
        <v>800000</v>
      </c>
      <c r="BD90" s="62" t="e">
        <f t="shared" ca="1" si="164"/>
        <v>#NAME?</v>
      </c>
      <c r="BE90" s="277">
        <f t="shared" si="165"/>
        <v>8.1890000000000004E-2</v>
      </c>
      <c r="BF90" s="62" t="e">
        <f t="shared" ca="1" si="166"/>
        <v>#NAME?</v>
      </c>
      <c r="BG90" s="239" t="s">
        <v>202</v>
      </c>
      <c r="BH90" s="239"/>
      <c r="BI90" s="239" t="s">
        <v>227</v>
      </c>
      <c r="BJ90" s="239">
        <v>3</v>
      </c>
      <c r="BK90" s="280">
        <v>2</v>
      </c>
      <c r="BL90" s="239" t="s">
        <v>227</v>
      </c>
      <c r="BM90" s="239" t="s">
        <v>190</v>
      </c>
      <c r="BN90" s="239" t="s">
        <v>190</v>
      </c>
      <c r="BO90" s="239" t="s">
        <v>190</v>
      </c>
      <c r="BP90" s="239">
        <v>2</v>
      </c>
      <c r="BQ90" s="238">
        <v>2</v>
      </c>
      <c r="BR90" s="238">
        <v>0</v>
      </c>
      <c r="BS90" s="238">
        <v>0</v>
      </c>
      <c r="BT90" s="204"/>
      <c r="BU90" s="256">
        <v>15</v>
      </c>
      <c r="BV90" s="256">
        <v>0</v>
      </c>
      <c r="BW90" s="256">
        <v>48</v>
      </c>
      <c r="BX90" s="243" t="s">
        <v>190</v>
      </c>
      <c r="BY90" s="204"/>
      <c r="BZ90" s="256">
        <v>16</v>
      </c>
      <c r="CA90" s="256">
        <v>0</v>
      </c>
      <c r="CB90" s="256">
        <v>38</v>
      </c>
      <c r="CC90" s="243" t="s">
        <v>227</v>
      </c>
      <c r="CD90" s="204"/>
      <c r="CE90" s="242"/>
      <c r="CF90" s="242"/>
      <c r="CG90" s="242"/>
      <c r="CH90" s="242"/>
      <c r="CI90" s="204"/>
      <c r="CJ90" s="242"/>
      <c r="CK90" s="242"/>
      <c r="CL90" s="242"/>
      <c r="CM90" s="242"/>
      <c r="CN90" s="205"/>
      <c r="CO90" s="187"/>
      <c r="CP90" s="187"/>
      <c r="CQ90" s="187"/>
      <c r="CR90" s="187"/>
      <c r="CS90" s="204"/>
      <c r="CT90" s="187"/>
      <c r="CU90" s="187"/>
      <c r="CV90" s="187"/>
      <c r="CW90" s="187"/>
      <c r="CX90" s="204"/>
      <c r="CY90" s="187"/>
      <c r="CZ90" s="187"/>
      <c r="DA90" s="187"/>
      <c r="DB90" s="187"/>
      <c r="DC90" s="204"/>
      <c r="DD90" s="187"/>
      <c r="DE90" s="187"/>
      <c r="DF90" s="187"/>
      <c r="DG90" s="187"/>
      <c r="DH90" s="204"/>
      <c r="DI90" s="187"/>
      <c r="DJ90" s="187"/>
      <c r="DK90" s="187"/>
      <c r="DL90" s="187"/>
      <c r="DM90" s="204"/>
      <c r="DN90" s="205"/>
      <c r="DO90" s="205"/>
      <c r="DQ90" s="206"/>
      <c r="DR90" s="188">
        <f t="shared" si="64"/>
        <v>15.5</v>
      </c>
      <c r="DS90" s="188"/>
      <c r="DT90" s="189">
        <f t="shared" si="65"/>
        <v>0</v>
      </c>
      <c r="DU90" s="189"/>
      <c r="DV90" s="188">
        <f t="shared" si="66"/>
        <v>43</v>
      </c>
      <c r="DW90" s="183" t="e">
        <f t="shared" ca="1" si="67"/>
        <v>#NAME?</v>
      </c>
      <c r="DX90" s="207"/>
      <c r="DY90" s="190" t="e">
        <f t="shared" ca="1" si="68"/>
        <v>#NAME?</v>
      </c>
      <c r="DZ90" s="191">
        <f t="shared" si="190"/>
        <v>3.1052631578947367</v>
      </c>
      <c r="EA90" s="191" t="str">
        <f t="shared" si="191"/>
        <v/>
      </c>
      <c r="EB90" s="191" t="str">
        <f t="shared" si="192"/>
        <v/>
      </c>
      <c r="EC90" s="208" t="e">
        <f t="shared" ca="1" si="72"/>
        <v>#NAME?</v>
      </c>
      <c r="ED90" s="36" t="str">
        <f t="shared" si="73"/>
        <v>Convertible Note</v>
      </c>
      <c r="EE90" s="193">
        <f>COUNTIF($ED$2:$ED$92, ED90)/(COUNTIF($ED$2:$ED$92, "&lt;&gt;""") - COUNTIF($ED$2:$ED$92, ""))</f>
        <v>0.13333333333333333</v>
      </c>
      <c r="EF90" s="36" t="str">
        <f t="shared" si="74"/>
        <v>Early</v>
      </c>
      <c r="EG90" s="207"/>
      <c r="EH90" s="194" t="e">
        <f t="shared" ca="1" si="75"/>
        <v>#NAME?</v>
      </c>
      <c r="EI90" s="194" t="e">
        <f t="shared" ca="1" si="76"/>
        <v>#NAME?</v>
      </c>
      <c r="EJ90" s="209" t="e">
        <f t="shared" ca="1" si="77"/>
        <v>#NAME?</v>
      </c>
      <c r="EK90" s="208" t="e">
        <f t="shared" ca="1" si="193"/>
        <v>#NAME?</v>
      </c>
      <c r="EL90" s="36" t="str">
        <f t="shared" si="79"/>
        <v>No</v>
      </c>
      <c r="EM90" s="207"/>
      <c r="EN90" s="192">
        <f t="shared" si="194"/>
        <v>2.4761904761904763</v>
      </c>
      <c r="EO90" s="192">
        <f t="shared" si="195"/>
        <v>1</v>
      </c>
      <c r="EP90" s="209">
        <f t="shared" si="82"/>
        <v>3.4761904761904763</v>
      </c>
      <c r="EQ90" s="210">
        <f t="shared" si="196"/>
        <v>2.1588785046728973</v>
      </c>
      <c r="ER90" s="36" t="e">
        <f t="shared" ca="1" si="84"/>
        <v>#NAME?</v>
      </c>
      <c r="ES90" s="40">
        <f ca="1">COUNTIF($ER$2:$ER$92, ER90)/(COUNTIF($ER$2:$ER$92, "&lt;&gt;""") - COUNTIF($ER$2:$ER$92, ""))</f>
        <v>1</v>
      </c>
      <c r="ET90" s="36">
        <f t="shared" si="85"/>
        <v>2</v>
      </c>
      <c r="EU90" s="40">
        <f>COUNTIF($ET$2:$ET$92, ET90)/(COUNTIF($ET$2:$ET$92, "&lt;&gt;""") - COUNTIF($ET$2:$ET$92, ""))</f>
        <v>0.45555555555555555</v>
      </c>
      <c r="EV90" s="36">
        <f t="shared" si="86"/>
        <v>2</v>
      </c>
      <c r="EW90" s="40">
        <f>COUNTIF($EV$2:$EV$92, EV90)/(COUNTIF($EV$2:$EV$92, "&lt;&gt;""") - COUNTIF($EV$2:$EV$92, ""))</f>
        <v>0.15555555555555556</v>
      </c>
      <c r="EX90" s="36" t="str">
        <f t="shared" si="87"/>
        <v>Yes</v>
      </c>
      <c r="EY90" s="40">
        <f>COUNTIF($EX$2:$EX$92, EX90)/(COUNTIF($EX$2:$EX$92, "&lt;&gt;""") - COUNTIF($EX$2:$EX$92, ""))</f>
        <v>0.27777777777777779</v>
      </c>
      <c r="EZ90" s="36" t="str">
        <f t="shared" ref="EZ90:FB90" si="213">BM90</f>
        <v>No</v>
      </c>
      <c r="FA90" s="36" t="str">
        <f t="shared" si="213"/>
        <v>No</v>
      </c>
      <c r="FB90" s="36" t="str">
        <f t="shared" si="213"/>
        <v>No</v>
      </c>
      <c r="FC90" s="207"/>
      <c r="FD90" s="36" t="str">
        <f t="shared" si="89"/>
        <v>Transactional</v>
      </c>
      <c r="FE90" s="40">
        <f>COUNTIF($FD$2:$FD$92, FD90)/(COUNTIF($FD$2:$FD$92, "&lt;&gt;""") - COUNTIF($FD$2:$FD$92, ""))</f>
        <v>0.6</v>
      </c>
      <c r="FF90" s="36" t="str">
        <f t="shared" si="90"/>
        <v>B2B/B2C</v>
      </c>
      <c r="FG90" s="40">
        <f>COUNTIF($FF$2:$FF$92, FF90)/(COUNTIF($FF$2:$FF$92, "&lt;&gt;""") - COUNTIF($FF$2:$FF$92, ""))</f>
        <v>0.27777777777777779</v>
      </c>
      <c r="FH90" s="36" t="str">
        <f t="shared" si="91"/>
        <v>Low</v>
      </c>
      <c r="FI90" s="40">
        <f>COUNTIF($FH$2:$FH$92, FH90)/(COUNTIF($FH$2:$FH$92, "&lt;&gt;""") - COUNTIF($FH$2:$FH$92, ""))</f>
        <v>0.46666666666666667</v>
      </c>
      <c r="FJ90" s="36" t="str">
        <f t="shared" si="92"/>
        <v>High</v>
      </c>
      <c r="FK90" s="40">
        <f>COUNTIF($FJ$2:$FJ$92, FJ90)/(COUNTIF($FJ$2:$FJ$92, "&lt;&gt;""") - COUNTIF($FJ$2:$FJ$92, ""))</f>
        <v>0.58888888888888891</v>
      </c>
      <c r="FL90" s="207"/>
      <c r="FM90" s="192">
        <f t="shared" si="93"/>
        <v>5</v>
      </c>
      <c r="FN90" s="192" t="e">
        <f t="shared" ca="1" si="94"/>
        <v>#NAME?</v>
      </c>
      <c r="FO90" s="192" t="e">
        <f t="shared" ca="1" si="95"/>
        <v>#NAME?</v>
      </c>
      <c r="FP90" s="192" t="e">
        <f t="shared" ca="1" si="96"/>
        <v>#NAME?</v>
      </c>
      <c r="FQ90" s="209" t="e">
        <f t="shared" ca="1" si="97"/>
        <v>#NAME?</v>
      </c>
      <c r="FR90" s="208" t="e">
        <f t="shared" ca="1" si="198"/>
        <v>#NAME?</v>
      </c>
      <c r="FS90" s="36" t="str">
        <f t="shared" si="99"/>
        <v>Pre-Profit</v>
      </c>
      <c r="FT90" s="196">
        <f>COUNTIF($FS$2:$FS$92, FS90)/(COUNTIF($FS$2:$FS$92, "&lt;&gt;""") - COUNTIF($FZ$2:$FZ$92, ""))</f>
        <v>0.51111111111111107</v>
      </c>
      <c r="FU90" s="207"/>
      <c r="FV90" s="192" t="e">
        <f t="shared" ca="1" si="100"/>
        <v>#NAME?</v>
      </c>
      <c r="FW90" s="197" t="e">
        <f t="shared" ca="1" si="101"/>
        <v>#NAME?</v>
      </c>
      <c r="FX90" s="209" t="e">
        <f t="shared" ca="1" si="102"/>
        <v>#NAME?</v>
      </c>
      <c r="FY90" s="211" t="e">
        <f t="shared" ca="1" si="199"/>
        <v>#NAME?</v>
      </c>
      <c r="FZ90" s="36" t="str">
        <f t="shared" si="104"/>
        <v>No</v>
      </c>
      <c r="GA90" s="196">
        <f>COUNTIF($FZ$2:$FZ$92, FZ90)/(COUNTIF($FZ$2:$FZ$92, "&lt;&gt;""") - COUNTIF($FZ$2:$FZ$92, ""))</f>
        <v>0.76666666666666672</v>
      </c>
      <c r="GB90" s="196" t="str">
        <f t="shared" si="105"/>
        <v>High</v>
      </c>
      <c r="GC90" s="196">
        <f>COUNTIF($GB$2:$GB$92, GB90)/(COUNTIF($GB$2:$GB$92, "&lt;&gt;""") - COUNTIF($GB$2:$GB$92, ""))</f>
        <v>0.43333333333333335</v>
      </c>
      <c r="GD90" s="196" t="str">
        <f t="shared" si="106"/>
        <v>High</v>
      </c>
      <c r="GE90" s="196">
        <f>COUNTIF($GD$2:$GD$92, GD90)/(COUNTIF($GD$2:$GD$92, "&lt;&gt;""") - COUNTIF($GD$2:$GD$92, ""))</f>
        <v>0.8</v>
      </c>
      <c r="GF90" s="207"/>
      <c r="GG90" s="36"/>
      <c r="GH90" s="209" t="e">
        <f t="shared" ca="1" si="107"/>
        <v>#NAME?</v>
      </c>
      <c r="GI90" s="212" t="e">
        <f t="shared" ca="1" si="200"/>
        <v>#NAME?</v>
      </c>
    </row>
    <row r="91" spans="1:191" ht="15.75" customHeight="1">
      <c r="A91" s="182"/>
      <c r="B91" s="182" t="s">
        <v>433</v>
      </c>
      <c r="C91" s="256">
        <v>1790674</v>
      </c>
      <c r="D91" s="247" t="s">
        <v>1082</v>
      </c>
      <c r="E91" s="265">
        <v>43810.443749999999</v>
      </c>
      <c r="F91" s="243" t="s">
        <v>329</v>
      </c>
      <c r="G91" s="257" t="s">
        <v>1083</v>
      </c>
      <c r="H91" s="257" t="s">
        <v>1084</v>
      </c>
      <c r="I91" s="258">
        <v>43808</v>
      </c>
      <c r="J91" s="247" t="s">
        <v>1085</v>
      </c>
      <c r="K91" s="247" t="s">
        <v>1082</v>
      </c>
      <c r="M91" s="243" t="s">
        <v>918</v>
      </c>
      <c r="N91" s="243" t="s">
        <v>194</v>
      </c>
      <c r="O91" s="243" t="s">
        <v>30</v>
      </c>
      <c r="P91" s="243" t="s">
        <v>174</v>
      </c>
      <c r="Q91" s="243" t="s">
        <v>35</v>
      </c>
      <c r="R91" s="187"/>
      <c r="S91" s="243" t="s">
        <v>269</v>
      </c>
      <c r="T91" s="248"/>
      <c r="U91" s="249"/>
      <c r="V91" s="64"/>
      <c r="W91" s="69">
        <v>10000000</v>
      </c>
      <c r="X91" s="261">
        <v>0</v>
      </c>
      <c r="Y91" s="55">
        <f t="shared" si="158"/>
        <v>10000000</v>
      </c>
      <c r="Z91" s="274">
        <f t="shared" si="159"/>
        <v>10000000</v>
      </c>
      <c r="AA91" s="183" t="e">
        <f t="shared" ca="1" si="160"/>
        <v>#NAME?</v>
      </c>
      <c r="AB91" s="243" t="s">
        <v>36</v>
      </c>
      <c r="AC91" s="243" t="s">
        <v>37</v>
      </c>
      <c r="AD91" s="243" t="s">
        <v>38</v>
      </c>
      <c r="AE91" s="243" t="s">
        <v>190</v>
      </c>
      <c r="AF91" s="243" t="s">
        <v>39</v>
      </c>
      <c r="AG91" s="243" t="s">
        <v>39</v>
      </c>
      <c r="AH91" s="239" t="s">
        <v>227</v>
      </c>
      <c r="AI91" s="64"/>
      <c r="AJ91" s="279">
        <v>19000000000</v>
      </c>
      <c r="AK91" s="224" t="e">
        <f t="shared" ca="1" si="161"/>
        <v>#NAME?</v>
      </c>
      <c r="AL91" s="279">
        <v>19000000000</v>
      </c>
      <c r="AM91" s="224" t="e">
        <f t="shared" ca="1" si="162"/>
        <v>#NAME?</v>
      </c>
      <c r="AN91" s="279">
        <v>0.17100000000000001</v>
      </c>
      <c r="AO91" s="185" t="e">
        <f t="shared" ca="1" si="63"/>
        <v>#NAME?</v>
      </c>
      <c r="AP91" s="185" t="s">
        <v>169</v>
      </c>
      <c r="AQ91" s="243" t="s">
        <v>181</v>
      </c>
      <c r="AR91" s="243" t="s">
        <v>181</v>
      </c>
      <c r="AS91" s="243" t="s">
        <v>182</v>
      </c>
      <c r="AT91" s="35" t="s">
        <v>39</v>
      </c>
      <c r="AU91" s="35" t="s">
        <v>181</v>
      </c>
      <c r="AV91" s="243" t="s">
        <v>227</v>
      </c>
      <c r="AW91" s="243" t="s">
        <v>227</v>
      </c>
      <c r="AX91" s="243" t="s">
        <v>227</v>
      </c>
      <c r="AY91" s="243" t="s">
        <v>190</v>
      </c>
      <c r="AZ91" s="64">
        <v>0</v>
      </c>
      <c r="BA91" s="55" t="e">
        <f t="shared" ca="1" si="163"/>
        <v>#NAME?</v>
      </c>
      <c r="BB91" s="279">
        <v>14068</v>
      </c>
      <c r="BC91" s="280">
        <v>1300000</v>
      </c>
      <c r="BD91" s="62" t="e">
        <f t="shared" ca="1" si="164"/>
        <v>#NAME?</v>
      </c>
      <c r="BE91" s="277">
        <f t="shared" si="165"/>
        <v>1.0821538461538462E-2</v>
      </c>
      <c r="BF91" s="62" t="e">
        <f t="shared" ca="1" si="166"/>
        <v>#NAME?</v>
      </c>
      <c r="BG91" s="243" t="s">
        <v>183</v>
      </c>
      <c r="BH91" s="187"/>
      <c r="BI91" s="243" t="s">
        <v>190</v>
      </c>
      <c r="BJ91" s="243">
        <v>0</v>
      </c>
      <c r="BK91" s="279">
        <v>3</v>
      </c>
      <c r="BL91" s="239" t="s">
        <v>227</v>
      </c>
      <c r="BM91" s="243" t="s">
        <v>227</v>
      </c>
      <c r="BN91" s="243" t="s">
        <v>227</v>
      </c>
      <c r="BO91" s="243" t="s">
        <v>190</v>
      </c>
      <c r="BP91" s="256">
        <v>5</v>
      </c>
      <c r="BQ91" s="256">
        <v>15</v>
      </c>
      <c r="BR91" s="256">
        <v>0</v>
      </c>
      <c r="BS91" s="256">
        <v>0</v>
      </c>
      <c r="BT91" s="204"/>
      <c r="BU91" s="256">
        <v>3</v>
      </c>
      <c r="BV91" s="256">
        <v>0</v>
      </c>
      <c r="BW91" s="256">
        <v>26</v>
      </c>
      <c r="BX91" s="243" t="s">
        <v>190</v>
      </c>
      <c r="BY91" s="204"/>
      <c r="BZ91" s="256">
        <v>7</v>
      </c>
      <c r="CA91" s="256">
        <v>0</v>
      </c>
      <c r="CB91" s="256">
        <v>30</v>
      </c>
      <c r="CC91" s="243" t="s">
        <v>190</v>
      </c>
      <c r="CD91" s="204"/>
      <c r="CE91" s="256">
        <v>30</v>
      </c>
      <c r="CF91" s="256">
        <v>0</v>
      </c>
      <c r="CG91" s="256">
        <v>30</v>
      </c>
      <c r="CH91" s="243" t="s">
        <v>190</v>
      </c>
      <c r="CI91" s="204"/>
      <c r="CJ91" s="256"/>
      <c r="CK91" s="256"/>
      <c r="CL91" s="256"/>
      <c r="CM91" s="243"/>
      <c r="CN91" s="205"/>
      <c r="CO91" s="187"/>
      <c r="CP91" s="187"/>
      <c r="CQ91" s="187"/>
      <c r="CR91" s="187"/>
      <c r="CS91" s="204"/>
      <c r="CT91" s="187"/>
      <c r="CU91" s="187"/>
      <c r="CV91" s="187"/>
      <c r="CW91" s="187"/>
      <c r="CX91" s="204"/>
      <c r="CY91" s="187"/>
      <c r="CZ91" s="187"/>
      <c r="DA91" s="187"/>
      <c r="DB91" s="187"/>
      <c r="DC91" s="204"/>
      <c r="DD91" s="187"/>
      <c r="DE91" s="187"/>
      <c r="DF91" s="187"/>
      <c r="DG91" s="187"/>
      <c r="DH91" s="204"/>
      <c r="DI91" s="187"/>
      <c r="DJ91" s="187"/>
      <c r="DK91" s="187"/>
      <c r="DL91" s="187"/>
      <c r="DM91" s="204"/>
      <c r="DN91" s="205"/>
      <c r="DO91" s="205"/>
      <c r="DQ91" s="206"/>
      <c r="DR91" s="188">
        <f t="shared" si="64"/>
        <v>13.333333333333334</v>
      </c>
      <c r="DS91" s="188"/>
      <c r="DT91" s="189">
        <f t="shared" si="65"/>
        <v>0</v>
      </c>
      <c r="DU91" s="189"/>
      <c r="DV91" s="188">
        <f t="shared" si="66"/>
        <v>28.666666666666668</v>
      </c>
      <c r="DW91" s="183" t="e">
        <f t="shared" ca="1" si="67"/>
        <v>#NAME?</v>
      </c>
      <c r="DX91" s="207"/>
      <c r="DY91" s="190" t="e">
        <f t="shared" ca="1" si="68"/>
        <v>#NAME?</v>
      </c>
      <c r="DZ91" s="191">
        <f t="shared" si="190"/>
        <v>1</v>
      </c>
      <c r="EA91" s="191" t="str">
        <f t="shared" si="191"/>
        <v/>
      </c>
      <c r="EB91" s="191" t="str">
        <f t="shared" si="192"/>
        <v/>
      </c>
      <c r="EC91" s="208" t="e">
        <f t="shared" ca="1" si="72"/>
        <v>#NAME?</v>
      </c>
      <c r="ED91" s="36" t="str">
        <f t="shared" si="73"/>
        <v>SAFE</v>
      </c>
      <c r="EE91" s="193">
        <f>COUNTIF($ED$2:$ED$92, ED91)/(COUNTIF($ED$2:$ED$92, "&lt;&gt;""") - COUNTIF($ED$2:$ED$92, ""))</f>
        <v>0.37777777777777777</v>
      </c>
      <c r="EF91" s="36" t="str">
        <f t="shared" si="74"/>
        <v>Early</v>
      </c>
      <c r="EG91" s="207"/>
      <c r="EH91" s="194" t="e">
        <f t="shared" ca="1" si="75"/>
        <v>#NAME?</v>
      </c>
      <c r="EI91" s="194" t="e">
        <f t="shared" ca="1" si="76"/>
        <v>#NAME?</v>
      </c>
      <c r="EJ91" s="209" t="e">
        <f t="shared" ca="1" si="77"/>
        <v>#NAME?</v>
      </c>
      <c r="EK91" s="208" t="e">
        <f t="shared" ca="1" si="193"/>
        <v>#NAME?</v>
      </c>
      <c r="EL91" s="36" t="str">
        <f t="shared" si="79"/>
        <v>Yes</v>
      </c>
      <c r="EM91" s="207"/>
      <c r="EN91" s="192">
        <f t="shared" si="194"/>
        <v>2.2698412698412698</v>
      </c>
      <c r="EO91" s="192">
        <f t="shared" si="195"/>
        <v>1</v>
      </c>
      <c r="EP91" s="209">
        <f t="shared" si="82"/>
        <v>3.2698412698412698</v>
      </c>
      <c r="EQ91" s="210">
        <f t="shared" si="196"/>
        <v>1.9968847352024923</v>
      </c>
      <c r="ER91" s="36" t="e">
        <f t="shared" ca="1" si="84"/>
        <v>#NAME?</v>
      </c>
      <c r="ES91" s="40">
        <f ca="1">COUNTIF($ER$2:$ER$92, ER91)/(COUNTIF($ER$2:$ER$92, "&lt;&gt;""") - COUNTIF($ER$2:$ER$92, ""))</f>
        <v>1</v>
      </c>
      <c r="ET91" s="36">
        <f t="shared" si="85"/>
        <v>3</v>
      </c>
      <c r="EU91" s="40">
        <f>COUNTIF($ET$2:$ET$92, ET91)/(COUNTIF($ET$2:$ET$92, "&lt;&gt;""") - COUNTIF($ET$2:$ET$92, ""))</f>
        <v>4.4444444444444446E-2</v>
      </c>
      <c r="EV91" s="36">
        <f t="shared" si="86"/>
        <v>15</v>
      </c>
      <c r="EW91" s="40">
        <f>COUNTIF($EV$2:$EV$92, EV91)/(COUNTIF($EV$2:$EV$92, "&lt;&gt;""") - COUNTIF($EV$2:$EV$92, ""))</f>
        <v>2.2222222222222223E-2</v>
      </c>
      <c r="EX91" s="36" t="str">
        <f t="shared" si="87"/>
        <v>Yes</v>
      </c>
      <c r="EY91" s="40">
        <f>COUNTIF($EX$2:$EX$92, EX91)/(COUNTIF($EX$2:$EX$92, "&lt;&gt;""") - COUNTIF($EX$2:$EX$92, ""))</f>
        <v>0.27777777777777779</v>
      </c>
      <c r="EZ91" s="36" t="str">
        <f t="shared" ref="EZ91:FB91" si="214">BM91</f>
        <v>Yes</v>
      </c>
      <c r="FA91" s="36" t="str">
        <f t="shared" si="214"/>
        <v>Yes</v>
      </c>
      <c r="FB91" s="36" t="str">
        <f t="shared" si="214"/>
        <v>No</v>
      </c>
      <c r="FC91" s="207"/>
      <c r="FD91" s="36" t="str">
        <f t="shared" si="89"/>
        <v>Transactional</v>
      </c>
      <c r="FE91" s="40">
        <f>COUNTIF($FD$2:$FD$92, FD91)/(COUNTIF($FD$2:$FD$92, "&lt;&gt;""") - COUNTIF($FD$2:$FD$92, ""))</f>
        <v>0.6</v>
      </c>
      <c r="FF91" s="36" t="str">
        <f t="shared" si="90"/>
        <v>B2B</v>
      </c>
      <c r="FG91" s="40">
        <f>COUNTIF($FF$2:$FF$92, FF91)/(COUNTIF($FF$2:$FF$92, "&lt;&gt;""") - COUNTIF($FF$2:$FF$92, ""))</f>
        <v>0.24444444444444444</v>
      </c>
      <c r="FH91" s="36" t="str">
        <f t="shared" si="91"/>
        <v>High</v>
      </c>
      <c r="FI91" s="40">
        <f>COUNTIF($FH$2:$FH$92, FH91)/(COUNTIF($FH$2:$FH$92, "&lt;&gt;""") - COUNTIF($FH$2:$FH$92, ""))</f>
        <v>0.53333333333333333</v>
      </c>
      <c r="FJ91" s="36" t="str">
        <f t="shared" si="92"/>
        <v>High</v>
      </c>
      <c r="FK91" s="40">
        <f>COUNTIF($FJ$2:$FJ$92, FJ91)/(COUNTIF($FJ$2:$FJ$92, "&lt;&gt;""") - COUNTIF($FJ$2:$FJ$92, ""))</f>
        <v>0.58888888888888891</v>
      </c>
      <c r="FL91" s="207"/>
      <c r="FM91" s="192">
        <f t="shared" si="93"/>
        <v>3</v>
      </c>
      <c r="FN91" s="192" t="e">
        <f t="shared" ca="1" si="94"/>
        <v>#NAME?</v>
      </c>
      <c r="FO91" s="192" t="e">
        <f t="shared" ca="1" si="95"/>
        <v>#NAME?</v>
      </c>
      <c r="FP91" s="192" t="e">
        <f t="shared" ca="1" si="96"/>
        <v>#NAME?</v>
      </c>
      <c r="FQ91" s="209" t="e">
        <f t="shared" ca="1" si="97"/>
        <v>#NAME?</v>
      </c>
      <c r="FR91" s="208" t="e">
        <f t="shared" ca="1" si="198"/>
        <v>#NAME?</v>
      </c>
      <c r="FS91" s="36" t="str">
        <f t="shared" si="99"/>
        <v>Pre-Revenue</v>
      </c>
      <c r="FT91" s="196">
        <f>COUNTIF($FS$2:$FS$92, FS91)/(COUNTIF($FS$2:$FS$92, "&lt;&gt;""") - COUNTIF($FZ$2:$FZ$92, ""))</f>
        <v>0.2</v>
      </c>
      <c r="FU91" s="207"/>
      <c r="FV91" s="192" t="e">
        <f t="shared" ca="1" si="100"/>
        <v>#NAME?</v>
      </c>
      <c r="FW91" s="197" t="e">
        <f t="shared" ca="1" si="101"/>
        <v>#NAME?</v>
      </c>
      <c r="FX91" s="209" t="e">
        <f t="shared" ca="1" si="102"/>
        <v>#NAME?</v>
      </c>
      <c r="FY91" s="211" t="e">
        <f t="shared" ca="1" si="199"/>
        <v>#NAME?</v>
      </c>
      <c r="FZ91" s="36" t="str">
        <f t="shared" si="104"/>
        <v>Yes</v>
      </c>
      <c r="GA91" s="196">
        <f>COUNTIF($FZ$2:$FZ$92, FZ91)/(COUNTIF($FZ$2:$FZ$92, "&lt;&gt;""") - COUNTIF($FZ$2:$FZ$92, ""))</f>
        <v>0.23333333333333334</v>
      </c>
      <c r="GB91" s="196" t="str">
        <f t="shared" si="105"/>
        <v>High</v>
      </c>
      <c r="GC91" s="196">
        <f>COUNTIF($GB$2:$GB$92, GB91)/(COUNTIF($GB$2:$GB$92, "&lt;&gt;""") - COUNTIF($GB$2:$GB$92, ""))</f>
        <v>0.43333333333333335</v>
      </c>
      <c r="GD91" s="196" t="str">
        <f t="shared" si="106"/>
        <v>Low</v>
      </c>
      <c r="GE91" s="196">
        <f>COUNTIF($GD$2:$GD$92, GD91)/(COUNTIF($GD$2:$GD$92, "&lt;&gt;""") - COUNTIF($GD$2:$GD$92, ""))</f>
        <v>0.18888888888888888</v>
      </c>
      <c r="GF91" s="207"/>
      <c r="GG91" s="36"/>
      <c r="GH91" s="209" t="e">
        <f t="shared" ca="1" si="107"/>
        <v>#NAME?</v>
      </c>
      <c r="GI91" s="212" t="e">
        <f t="shared" ca="1" si="200"/>
        <v>#NAME?</v>
      </c>
    </row>
    <row r="92" spans="1:191" ht="15.75" customHeight="1">
      <c r="A92" s="182"/>
      <c r="B92" s="182" t="s">
        <v>433</v>
      </c>
      <c r="C92" s="256">
        <v>1751794</v>
      </c>
      <c r="D92" s="247" t="s">
        <v>1086</v>
      </c>
      <c r="E92" s="259">
        <v>43810.465277777781</v>
      </c>
      <c r="F92" s="243" t="s">
        <v>344</v>
      </c>
      <c r="G92" s="257" t="s">
        <v>1087</v>
      </c>
      <c r="H92" s="257" t="s">
        <v>1088</v>
      </c>
      <c r="I92" s="258">
        <v>43752</v>
      </c>
      <c r="J92" s="260" t="s">
        <v>1089</v>
      </c>
      <c r="K92" s="260" t="s">
        <v>1086</v>
      </c>
      <c r="M92" s="35" t="s">
        <v>293</v>
      </c>
      <c r="N92" s="243" t="s">
        <v>336</v>
      </c>
      <c r="O92" s="243" t="s">
        <v>30</v>
      </c>
      <c r="P92" s="243" t="s">
        <v>174</v>
      </c>
      <c r="Q92" s="243" t="s">
        <v>35</v>
      </c>
      <c r="R92" s="187"/>
      <c r="S92" s="243" t="s">
        <v>269</v>
      </c>
      <c r="T92" s="248"/>
      <c r="U92" s="249"/>
      <c r="V92" s="64"/>
      <c r="W92" s="69">
        <v>6500000</v>
      </c>
      <c r="X92" s="261">
        <v>0.2</v>
      </c>
      <c r="Y92" s="55">
        <f t="shared" si="158"/>
        <v>5200000</v>
      </c>
      <c r="Z92" s="274">
        <f t="shared" si="159"/>
        <v>5200000</v>
      </c>
      <c r="AA92" s="183" t="e">
        <f t="shared" ca="1" si="160"/>
        <v>#NAME?</v>
      </c>
      <c r="AB92" s="243" t="s">
        <v>36</v>
      </c>
      <c r="AC92" s="243" t="s">
        <v>179</v>
      </c>
      <c r="AD92" s="243" t="s">
        <v>180</v>
      </c>
      <c r="AE92" s="243" t="s">
        <v>227</v>
      </c>
      <c r="AF92" s="243" t="s">
        <v>39</v>
      </c>
      <c r="AG92" s="243" t="s">
        <v>181</v>
      </c>
      <c r="AH92" s="239" t="s">
        <v>190</v>
      </c>
      <c r="AI92" s="64"/>
      <c r="AJ92" s="279">
        <v>17338555000</v>
      </c>
      <c r="AK92" s="224" t="e">
        <f t="shared" ca="1" si="161"/>
        <v>#NAME?</v>
      </c>
      <c r="AL92" s="279">
        <v>17338555000</v>
      </c>
      <c r="AM92" s="224" t="e">
        <f t="shared" ca="1" si="162"/>
        <v>#NAME?</v>
      </c>
      <c r="AN92" s="279">
        <v>0.105</v>
      </c>
      <c r="AO92" s="185" t="e">
        <f t="shared" ca="1" si="63"/>
        <v>#NAME?</v>
      </c>
      <c r="AP92" s="185" t="s">
        <v>192</v>
      </c>
      <c r="AQ92" s="243" t="s">
        <v>181</v>
      </c>
      <c r="AR92" s="243" t="s">
        <v>181</v>
      </c>
      <c r="AS92" s="243" t="s">
        <v>42</v>
      </c>
      <c r="AT92" s="35" t="s">
        <v>39</v>
      </c>
      <c r="AU92" s="35" t="s">
        <v>39</v>
      </c>
      <c r="AV92" s="243" t="s">
        <v>227</v>
      </c>
      <c r="AW92" s="243" t="s">
        <v>190</v>
      </c>
      <c r="AX92" s="243" t="s">
        <v>227</v>
      </c>
      <c r="AY92" s="243" t="s">
        <v>227</v>
      </c>
      <c r="AZ92" s="64">
        <v>56277</v>
      </c>
      <c r="BA92" s="55" t="e">
        <f t="shared" ca="1" si="163"/>
        <v>#NAME?</v>
      </c>
      <c r="BB92" s="280">
        <v>12898</v>
      </c>
      <c r="BC92" s="279">
        <v>491578</v>
      </c>
      <c r="BD92" s="62" t="e">
        <f t="shared" ca="1" si="164"/>
        <v>#NAME?</v>
      </c>
      <c r="BE92" s="277">
        <f t="shared" si="165"/>
        <v>2.6237952064575715E-2</v>
      </c>
      <c r="BF92" s="62" t="e">
        <f t="shared" ca="1" si="166"/>
        <v>#NAME?</v>
      </c>
      <c r="BG92" s="243" t="s">
        <v>202</v>
      </c>
      <c r="BH92" s="187"/>
      <c r="BI92" s="243" t="s">
        <v>190</v>
      </c>
      <c r="BJ92" s="239">
        <v>0</v>
      </c>
      <c r="BK92" s="279">
        <v>1</v>
      </c>
      <c r="BL92" s="176" t="s">
        <v>190</v>
      </c>
      <c r="BM92" s="243" t="s">
        <v>190</v>
      </c>
      <c r="BN92" s="243" t="s">
        <v>190</v>
      </c>
      <c r="BO92" s="243" t="s">
        <v>190</v>
      </c>
      <c r="BP92" s="256">
        <v>0</v>
      </c>
      <c r="BQ92" s="256">
        <v>9</v>
      </c>
      <c r="BR92" s="256">
        <v>0</v>
      </c>
      <c r="BS92" s="256">
        <v>0</v>
      </c>
      <c r="BT92" s="204"/>
      <c r="BU92" s="256">
        <v>3</v>
      </c>
      <c r="BV92" s="256">
        <v>2</v>
      </c>
      <c r="BW92" s="256">
        <v>42</v>
      </c>
      <c r="BX92" s="243" t="s">
        <v>190</v>
      </c>
      <c r="BY92" s="204"/>
      <c r="BZ92" s="187"/>
      <c r="CA92" s="187"/>
      <c r="CB92" s="187"/>
      <c r="CC92" s="187"/>
      <c r="CD92" s="204"/>
      <c r="CE92" s="187"/>
      <c r="CF92" s="187"/>
      <c r="CG92" s="187"/>
      <c r="CH92" s="187"/>
      <c r="CI92" s="204"/>
      <c r="CJ92" s="187"/>
      <c r="CK92" s="187"/>
      <c r="CL92" s="187"/>
      <c r="CM92" s="187"/>
      <c r="CN92" s="205"/>
      <c r="CO92" s="89"/>
      <c r="CP92" s="89"/>
      <c r="CQ92" s="89"/>
      <c r="CR92" s="88"/>
      <c r="CS92" s="204"/>
      <c r="CT92" s="89"/>
      <c r="CU92" s="89"/>
      <c r="CV92" s="89"/>
      <c r="CW92" s="88"/>
      <c r="CX92" s="204"/>
      <c r="CY92" s="89"/>
      <c r="CZ92" s="89"/>
      <c r="DA92" s="89"/>
      <c r="DB92" s="88"/>
      <c r="DC92" s="204"/>
      <c r="DD92" s="89"/>
      <c r="DE92" s="89"/>
      <c r="DF92" s="89"/>
      <c r="DG92" s="88"/>
      <c r="DH92" s="204"/>
      <c r="DI92" s="89"/>
      <c r="DJ92" s="89"/>
      <c r="DK92" s="89"/>
      <c r="DL92" s="88"/>
      <c r="DM92" s="204"/>
      <c r="DN92" s="205"/>
      <c r="DO92" s="205"/>
      <c r="DQ92" s="206"/>
      <c r="DR92" s="188">
        <f t="shared" si="64"/>
        <v>3</v>
      </c>
      <c r="DS92" s="188"/>
      <c r="DT92" s="189">
        <f t="shared" si="65"/>
        <v>2</v>
      </c>
      <c r="DU92" s="189"/>
      <c r="DV92" s="188">
        <f t="shared" si="66"/>
        <v>42</v>
      </c>
      <c r="DW92" s="183" t="e">
        <f t="shared" ca="1" si="67"/>
        <v>#NAME?</v>
      </c>
      <c r="DX92" s="207"/>
      <c r="DY92" s="190" t="e">
        <f t="shared" ca="1" si="68"/>
        <v>#NAME?</v>
      </c>
      <c r="DZ92" s="191">
        <f t="shared" si="190"/>
        <v>3.1052631578947367</v>
      </c>
      <c r="EA92" s="191" t="str">
        <f t="shared" si="191"/>
        <v/>
      </c>
      <c r="EB92" s="191" t="str">
        <f t="shared" si="192"/>
        <v/>
      </c>
      <c r="EC92" s="208" t="e">
        <f t="shared" ca="1" si="72"/>
        <v>#NAME?</v>
      </c>
      <c r="ED92" s="36" t="str">
        <f t="shared" si="73"/>
        <v>SAFE</v>
      </c>
      <c r="EE92" s="193">
        <f>COUNTIF($ED$2:$ED$92, ED92)/(COUNTIF($ED$2:$ED$92, "&lt;&gt;""") - COUNTIF($ED$2:$ED$92, ""))</f>
        <v>0.37777777777777777</v>
      </c>
      <c r="EF92" s="36" t="str">
        <f t="shared" si="74"/>
        <v>Early</v>
      </c>
      <c r="EG92" s="207"/>
      <c r="EH92" s="194" t="e">
        <f t="shared" ca="1" si="75"/>
        <v>#NAME?</v>
      </c>
      <c r="EI92" s="194" t="e">
        <f t="shared" ca="1" si="76"/>
        <v>#NAME?</v>
      </c>
      <c r="EJ92" s="209" t="e">
        <f t="shared" ca="1" si="77"/>
        <v>#NAME?</v>
      </c>
      <c r="EK92" s="208" t="e">
        <f t="shared" ca="1" si="193"/>
        <v>#NAME?</v>
      </c>
      <c r="EL92" s="36" t="str">
        <f t="shared" si="79"/>
        <v>Yes</v>
      </c>
      <c r="EM92" s="207"/>
      <c r="EN92" s="192">
        <f t="shared" si="194"/>
        <v>1.2857142857142856</v>
      </c>
      <c r="EO92" s="192">
        <f t="shared" si="195"/>
        <v>3</v>
      </c>
      <c r="EP92" s="209">
        <f t="shared" si="82"/>
        <v>4.2857142857142856</v>
      </c>
      <c r="EQ92" s="210">
        <f t="shared" si="196"/>
        <v>2.7943925233644862</v>
      </c>
      <c r="ER92" s="36" t="e">
        <f t="shared" ca="1" si="84"/>
        <v>#NAME?</v>
      </c>
      <c r="ES92" s="40">
        <f ca="1">COUNTIF($ER$2:$ER$92, ER92)/(COUNTIF($ER$2:$ER$92, "&lt;&gt;""") - COUNTIF($ER$2:$ER$92, ""))</f>
        <v>1</v>
      </c>
      <c r="ET92" s="36">
        <f t="shared" si="85"/>
        <v>1</v>
      </c>
      <c r="EU92" s="40">
        <f>COUNTIF($ET$2:$ET$92, ET92)/(COUNTIF($ET$2:$ET$92, "&lt;&gt;""") - COUNTIF($ET$2:$ET$92, ""))</f>
        <v>0.45555555555555555</v>
      </c>
      <c r="EV92" s="36">
        <f t="shared" si="86"/>
        <v>9</v>
      </c>
      <c r="EW92" s="40">
        <f>COUNTIF($EV$2:$EV$92, EV92)/(COUNTIF($EV$2:$EV$92, "&lt;&gt;""") - COUNTIF($EV$2:$EV$92, ""))</f>
        <v>5.5555555555555552E-2</v>
      </c>
      <c r="EX92" s="36" t="str">
        <f t="shared" si="87"/>
        <v>No</v>
      </c>
      <c r="EY92" s="40">
        <f>COUNTIF($EX$2:$EX$92, EX92)/(COUNTIF($EX$2:$EX$92, "&lt;&gt;""") - COUNTIF($EX$2:$EX$92, ""))</f>
        <v>0.72222222222222221</v>
      </c>
      <c r="EZ92" s="36" t="str">
        <f t="shared" ref="EZ92:FB92" si="215">BM92</f>
        <v>No</v>
      </c>
      <c r="FA92" s="36" t="str">
        <f t="shared" si="215"/>
        <v>No</v>
      </c>
      <c r="FB92" s="36" t="str">
        <f t="shared" si="215"/>
        <v>No</v>
      </c>
      <c r="FC92" s="207"/>
      <c r="FD92" s="36" t="str">
        <f t="shared" si="89"/>
        <v>Transactional</v>
      </c>
      <c r="FE92" s="40">
        <f>COUNTIF($FD$2:$FD$92, FD92)/(COUNTIF($FD$2:$FD$92, "&lt;&gt;""") - COUNTIF($FD$2:$FD$92, ""))</f>
        <v>0.6</v>
      </c>
      <c r="FF92" s="36" t="str">
        <f t="shared" si="90"/>
        <v>B2C</v>
      </c>
      <c r="FG92" s="40">
        <f>COUNTIF($FF$2:$FF$92, FF92)/(COUNTIF($FF$2:$FF$92, "&lt;&gt;""") - COUNTIF($FF$2:$FF$92, ""))</f>
        <v>0.41111111111111109</v>
      </c>
      <c r="FH92" s="36" t="str">
        <f t="shared" si="91"/>
        <v>High</v>
      </c>
      <c r="FI92" s="40">
        <f>COUNTIF($FH$2:$FH$92, FH92)/(COUNTIF($FH$2:$FH$92, "&lt;&gt;""") - COUNTIF($FH$2:$FH$92, ""))</f>
        <v>0.53333333333333333</v>
      </c>
      <c r="FJ92" s="36" t="str">
        <f t="shared" si="92"/>
        <v>Low</v>
      </c>
      <c r="FK92" s="40">
        <f>COUNTIF($FJ$2:$FJ$92, FJ92)/(COUNTIF($FJ$2:$FJ$92, "&lt;&gt;""") - COUNTIF($FJ$2:$FJ$92, ""))</f>
        <v>0.41111111111111109</v>
      </c>
      <c r="FL92" s="207"/>
      <c r="FM92" s="192">
        <f t="shared" si="93"/>
        <v>5</v>
      </c>
      <c r="FN92" s="192" t="e">
        <f t="shared" ca="1" si="94"/>
        <v>#NAME?</v>
      </c>
      <c r="FO92" s="192" t="e">
        <f t="shared" ca="1" si="95"/>
        <v>#NAME?</v>
      </c>
      <c r="FP92" s="192" t="e">
        <f t="shared" ca="1" si="96"/>
        <v>#NAME?</v>
      </c>
      <c r="FQ92" s="209" t="e">
        <f t="shared" ca="1" si="97"/>
        <v>#NAME?</v>
      </c>
      <c r="FR92" s="208" t="e">
        <f t="shared" ca="1" si="198"/>
        <v>#NAME?</v>
      </c>
      <c r="FS92" s="36" t="str">
        <f t="shared" si="99"/>
        <v>Pre-Profit</v>
      </c>
      <c r="FT92" s="196">
        <f>COUNTIF($FS$2:$FS$92, FS92)/(COUNTIF($FS$2:$FS$92, "&lt;&gt;""") - COUNTIF($FZ$2:$FZ$92, ""))</f>
        <v>0.51111111111111107</v>
      </c>
      <c r="FU92" s="207"/>
      <c r="FV92" s="192" t="e">
        <f t="shared" ca="1" si="100"/>
        <v>#NAME?</v>
      </c>
      <c r="FW92" s="197" t="e">
        <f t="shared" ca="1" si="101"/>
        <v>#NAME?</v>
      </c>
      <c r="FX92" s="209" t="e">
        <f t="shared" ca="1" si="102"/>
        <v>#NAME?</v>
      </c>
      <c r="FY92" s="211" t="e">
        <f t="shared" ca="1" si="199"/>
        <v>#NAME?</v>
      </c>
      <c r="FZ92" s="36" t="str">
        <f t="shared" si="104"/>
        <v>No</v>
      </c>
      <c r="GA92" s="196">
        <f>COUNTIF($FZ$2:$FZ$92, FZ92)/(COUNTIF($FZ$2:$FZ$92, "&lt;&gt;""") - COUNTIF($FZ$2:$FZ$92, ""))</f>
        <v>0.76666666666666672</v>
      </c>
      <c r="GB92" s="196" t="str">
        <f t="shared" si="105"/>
        <v>High</v>
      </c>
      <c r="GC92" s="196">
        <f>COUNTIF($GB$2:$GB$92, GB92)/(COUNTIF($GB$2:$GB$92, "&lt;&gt;""") - COUNTIF($GB$2:$GB$92, ""))</f>
        <v>0.43333333333333335</v>
      </c>
      <c r="GD92" s="196" t="str">
        <f t="shared" si="106"/>
        <v>High</v>
      </c>
      <c r="GE92" s="196">
        <f>COUNTIF($GD$2:$GD$92, GD92)/(COUNTIF($GD$2:$GD$92, "&lt;&gt;""") - COUNTIF($GD$2:$GD$92, ""))</f>
        <v>0.8</v>
      </c>
      <c r="GF92" s="207"/>
      <c r="GG92" s="36"/>
      <c r="GH92" s="209" t="e">
        <f t="shared" ca="1" si="107"/>
        <v>#NAME?</v>
      </c>
      <c r="GI92" s="212" t="e">
        <f t="shared" ca="1" si="200"/>
        <v>#NAME?</v>
      </c>
    </row>
    <row r="93" spans="1:191" ht="15.75" customHeight="1">
      <c r="A93" s="174"/>
      <c r="B93" s="174" t="s">
        <v>433</v>
      </c>
      <c r="C93" s="238">
        <v>1617797</v>
      </c>
      <c r="D93" s="244" t="s">
        <v>1090</v>
      </c>
      <c r="E93" s="245">
        <v>43811.443055555559</v>
      </c>
      <c r="F93" s="239" t="s">
        <v>329</v>
      </c>
      <c r="G93" s="32" t="s">
        <v>1091</v>
      </c>
      <c r="H93" s="32" t="s">
        <v>1092</v>
      </c>
      <c r="I93" s="246">
        <v>43809</v>
      </c>
      <c r="J93" s="247" t="s">
        <v>1093</v>
      </c>
      <c r="K93" s="247" t="s">
        <v>1090</v>
      </c>
      <c r="M93" s="29" t="s">
        <v>253</v>
      </c>
      <c r="N93" s="239" t="s">
        <v>244</v>
      </c>
      <c r="O93" s="239" t="s">
        <v>173</v>
      </c>
      <c r="P93" s="239" t="s">
        <v>197</v>
      </c>
      <c r="Q93" s="239" t="s">
        <v>35</v>
      </c>
      <c r="R93" s="242"/>
      <c r="S93" s="239" t="s">
        <v>269</v>
      </c>
      <c r="T93" s="248"/>
      <c r="U93" s="249"/>
      <c r="V93" s="251"/>
      <c r="W93" s="69">
        <v>10000000</v>
      </c>
      <c r="X93" s="252">
        <v>0.1</v>
      </c>
      <c r="Y93" s="55">
        <f t="shared" si="158"/>
        <v>9000000</v>
      </c>
      <c r="Z93" s="274">
        <f t="shared" si="159"/>
        <v>9000000</v>
      </c>
      <c r="AA93" s="183" t="e">
        <f t="shared" ca="1" si="160"/>
        <v>#NAME?</v>
      </c>
      <c r="AB93" s="239" t="s">
        <v>178</v>
      </c>
      <c r="AC93" s="239" t="s">
        <v>200</v>
      </c>
      <c r="AD93" s="239" t="s">
        <v>180</v>
      </c>
      <c r="AE93" s="239" t="s">
        <v>227</v>
      </c>
      <c r="AF93" s="239" t="s">
        <v>39</v>
      </c>
      <c r="AG93" s="239" t="s">
        <v>181</v>
      </c>
      <c r="AH93" s="239" t="s">
        <v>190</v>
      </c>
      <c r="AI93" s="251"/>
      <c r="AJ93" s="279">
        <v>626000000000</v>
      </c>
      <c r="AK93" s="224" t="e">
        <f t="shared" ca="1" si="161"/>
        <v>#NAME?</v>
      </c>
      <c r="AL93" s="279">
        <v>279000000000</v>
      </c>
      <c r="AM93" s="224" t="e">
        <f t="shared" ca="1" si="162"/>
        <v>#NAME?</v>
      </c>
      <c r="AN93" s="279">
        <v>0.12</v>
      </c>
      <c r="AO93" s="185" t="e">
        <f t="shared" ca="1" si="63"/>
        <v>#NAME?</v>
      </c>
      <c r="AP93" s="185" t="s">
        <v>264</v>
      </c>
      <c r="AQ93" s="239" t="s">
        <v>39</v>
      </c>
      <c r="AR93" s="239" t="s">
        <v>181</v>
      </c>
      <c r="AS93" s="239" t="s">
        <v>182</v>
      </c>
      <c r="AT93" s="29" t="s">
        <v>181</v>
      </c>
      <c r="AU93" s="29" t="s">
        <v>39</v>
      </c>
      <c r="AV93" s="239" t="s">
        <v>227</v>
      </c>
      <c r="AW93" s="239" t="s">
        <v>227</v>
      </c>
      <c r="AX93" s="239" t="s">
        <v>227</v>
      </c>
      <c r="AY93" s="239" t="s">
        <v>227</v>
      </c>
      <c r="AZ93" s="251">
        <v>418213</v>
      </c>
      <c r="BA93" s="55" t="e">
        <f t="shared" ca="1" si="163"/>
        <v>#NAME?</v>
      </c>
      <c r="BB93" s="279">
        <v>70224</v>
      </c>
      <c r="BC93" s="280">
        <v>2000000</v>
      </c>
      <c r="BD93" s="62" t="e">
        <f t="shared" ca="1" si="164"/>
        <v>#NAME?</v>
      </c>
      <c r="BE93" s="277">
        <f t="shared" si="165"/>
        <v>3.5111999999999997E-2</v>
      </c>
      <c r="BF93" s="62" t="e">
        <f t="shared" ca="1" si="166"/>
        <v>#NAME?</v>
      </c>
      <c r="BG93" s="239" t="s">
        <v>202</v>
      </c>
      <c r="BH93" s="242"/>
      <c r="BI93" s="239" t="s">
        <v>227</v>
      </c>
      <c r="BJ93" s="239">
        <v>6</v>
      </c>
      <c r="BK93" s="279">
        <v>1</v>
      </c>
      <c r="BL93" s="176" t="s">
        <v>190</v>
      </c>
      <c r="BM93" s="239" t="s">
        <v>227</v>
      </c>
      <c r="BN93" s="239" t="s">
        <v>190</v>
      </c>
      <c r="BO93" s="239" t="s">
        <v>190</v>
      </c>
      <c r="BP93" s="238">
        <v>6</v>
      </c>
      <c r="BQ93" s="238">
        <v>11</v>
      </c>
      <c r="BR93" s="238">
        <v>2</v>
      </c>
      <c r="BS93" s="238">
        <v>0</v>
      </c>
      <c r="BT93" s="205"/>
      <c r="BU93" s="16">
        <v>7</v>
      </c>
      <c r="BV93" s="16">
        <v>1</v>
      </c>
      <c r="BW93" s="16">
        <v>61</v>
      </c>
      <c r="BX93" s="16" t="s">
        <v>227</v>
      </c>
      <c r="BY93" s="205"/>
      <c r="CD93" s="205"/>
      <c r="CI93" s="205"/>
      <c r="CN93" s="205"/>
      <c r="CS93" s="205"/>
      <c r="CX93" s="205"/>
      <c r="DC93" s="205"/>
      <c r="DH93" s="205"/>
      <c r="DM93" s="205"/>
      <c r="DN93" s="205"/>
      <c r="DO93" s="205"/>
      <c r="DQ93" s="206"/>
      <c r="DR93" s="188">
        <f t="shared" si="64"/>
        <v>7</v>
      </c>
      <c r="DS93" s="188"/>
      <c r="DT93" s="189">
        <f t="shared" si="65"/>
        <v>1</v>
      </c>
      <c r="DU93" s="189"/>
      <c r="DV93" s="188">
        <f t="shared" si="66"/>
        <v>61</v>
      </c>
      <c r="DW93" s="183" t="e">
        <f t="shared" ca="1" si="67"/>
        <v>#NAME?</v>
      </c>
      <c r="DX93" s="207"/>
      <c r="DY93" s="190" t="e">
        <f t="shared" ca="1" si="68"/>
        <v>#NAME?</v>
      </c>
      <c r="DZ93" s="191">
        <f t="shared" si="190"/>
        <v>2.0526315789473681</v>
      </c>
      <c r="EA93" s="191" t="str">
        <f t="shared" si="191"/>
        <v/>
      </c>
      <c r="EB93" s="191" t="str">
        <f t="shared" si="192"/>
        <v/>
      </c>
      <c r="EC93" s="208" t="e">
        <f t="shared" ca="1" si="72"/>
        <v>#NAME?</v>
      </c>
      <c r="ED93" s="36" t="str">
        <f t="shared" si="73"/>
        <v>SAFE</v>
      </c>
      <c r="EE93" s="193">
        <f>COUNTIF($ED$2:$ED$92, ED93)/(COUNTIF($ED$2:$ED$92, "&lt;&gt;""") - COUNTIF($ED$2:$ED$92, ""))</f>
        <v>0.37777777777777777</v>
      </c>
      <c r="EF93" s="36" t="str">
        <f t="shared" si="74"/>
        <v>Growth</v>
      </c>
      <c r="EG93" s="207"/>
      <c r="EH93" s="194" t="e">
        <f t="shared" ca="1" si="75"/>
        <v>#NAME?</v>
      </c>
      <c r="EI93" s="194" t="e">
        <f t="shared" ca="1" si="76"/>
        <v>#NAME?</v>
      </c>
      <c r="EJ93" s="209" t="e">
        <f t="shared" ca="1" si="77"/>
        <v>#NAME?</v>
      </c>
      <c r="EK93" s="208" t="e">
        <f t="shared" ca="1" si="193"/>
        <v>#NAME?</v>
      </c>
      <c r="EL93" s="36" t="str">
        <f t="shared" si="79"/>
        <v>Yes</v>
      </c>
      <c r="EM93" s="207"/>
      <c r="EN93" s="192">
        <f t="shared" si="194"/>
        <v>1.6666666666666665</v>
      </c>
      <c r="EO93" s="192">
        <f t="shared" si="195"/>
        <v>2</v>
      </c>
      <c r="EP93" s="209">
        <f t="shared" si="82"/>
        <v>3.6666666666666665</v>
      </c>
      <c r="EQ93" s="210">
        <f t="shared" si="196"/>
        <v>2.3084112149532707</v>
      </c>
      <c r="ER93" s="36" t="e">
        <f t="shared" ca="1" si="84"/>
        <v>#NAME?</v>
      </c>
      <c r="ES93" s="40">
        <f ca="1">COUNTIF($ER$2:$ER$92, ER93)/(COUNTIF($ER$2:$ER$92, "&lt;&gt;""") - COUNTIF($ER$2:$ER$92, ""))</f>
        <v>1</v>
      </c>
      <c r="ET93" s="36">
        <f t="shared" si="85"/>
        <v>1</v>
      </c>
      <c r="EU93" s="40">
        <f>COUNTIF($ET$2:$ET$92, ET93)/(COUNTIF($ET$2:$ET$92, "&lt;&gt;""") - COUNTIF($ET$2:$ET$92, ""))</f>
        <v>0.45555555555555555</v>
      </c>
      <c r="EV93" s="36">
        <f t="shared" si="86"/>
        <v>11</v>
      </c>
      <c r="EW93" s="40">
        <f>COUNTIF($EV$2:$EV$92, EV93)/(COUNTIF($EV$2:$EV$92, "&lt;&gt;""") - COUNTIF($EV$2:$EV$92, ""))</f>
        <v>3.3333333333333333E-2</v>
      </c>
      <c r="EX93" s="36" t="str">
        <f t="shared" si="87"/>
        <v>No</v>
      </c>
      <c r="EY93" s="40">
        <f>COUNTIF($EX$2:$EX$92, EX93)/(COUNTIF($EX$2:$EX$92, "&lt;&gt;""") - COUNTIF($EX$2:$EX$92, ""))</f>
        <v>0.72222222222222221</v>
      </c>
      <c r="EZ93" s="36" t="str">
        <f t="shared" ref="EZ93:FB93" si="216">BM93</f>
        <v>Yes</v>
      </c>
      <c r="FA93" s="36" t="str">
        <f t="shared" si="216"/>
        <v>No</v>
      </c>
      <c r="FB93" s="36" t="str">
        <f t="shared" si="216"/>
        <v>No</v>
      </c>
      <c r="FC93" s="207"/>
      <c r="FD93" s="36" t="str">
        <f t="shared" si="89"/>
        <v>Recurring</v>
      </c>
      <c r="FE93" s="40">
        <f>COUNTIF($FD$2:$FD$92, FD93)/(COUNTIF($FD$2:$FD$92, "&lt;&gt;""") - COUNTIF($FD$2:$FD$92, ""))</f>
        <v>0.4</v>
      </c>
      <c r="FF93" s="36" t="str">
        <f t="shared" si="90"/>
        <v>B2B2C</v>
      </c>
      <c r="FG93" s="40">
        <f>COUNTIF($FF$2:$FF$92, FF93)/(COUNTIF($FF$2:$FF$92, "&lt;&gt;""") - COUNTIF($FF$2:$FF$92, ""))</f>
        <v>6.6666666666666666E-2</v>
      </c>
      <c r="FH93" s="36" t="str">
        <f t="shared" si="91"/>
        <v>High</v>
      </c>
      <c r="FI93" s="40">
        <f>COUNTIF($FH$2:$FH$92, FH93)/(COUNTIF($FH$2:$FH$92, "&lt;&gt;""") - COUNTIF($FH$2:$FH$92, ""))</f>
        <v>0.53333333333333333</v>
      </c>
      <c r="FJ93" s="36" t="str">
        <f t="shared" si="92"/>
        <v>Low</v>
      </c>
      <c r="FK93" s="40">
        <f>COUNTIF($FJ$2:$FJ$92, FJ93)/(COUNTIF($FJ$2:$FJ$92, "&lt;&gt;""") - COUNTIF($FJ$2:$FJ$92, ""))</f>
        <v>0.41111111111111109</v>
      </c>
      <c r="FL93" s="207"/>
      <c r="FM93" s="192">
        <f t="shared" si="93"/>
        <v>5</v>
      </c>
      <c r="FN93" s="192" t="e">
        <f t="shared" ca="1" si="94"/>
        <v>#NAME?</v>
      </c>
      <c r="FO93" s="192" t="e">
        <f t="shared" ca="1" si="95"/>
        <v>#NAME?</v>
      </c>
      <c r="FP93" s="192" t="e">
        <f t="shared" ca="1" si="96"/>
        <v>#NAME?</v>
      </c>
      <c r="FQ93" s="209" t="e">
        <f t="shared" ca="1" si="97"/>
        <v>#NAME?</v>
      </c>
      <c r="FR93" s="208" t="e">
        <f t="shared" ca="1" si="198"/>
        <v>#NAME?</v>
      </c>
      <c r="FS93" s="36" t="str">
        <f t="shared" si="99"/>
        <v>Pre-Profit</v>
      </c>
      <c r="FT93" s="196">
        <f>COUNTIF($FS$2:$FS$92, FS93)/(COUNTIF($FS$2:$FS$92, "&lt;&gt;""") - COUNTIF($FZ$2:$FZ$92, ""))</f>
        <v>0.51111111111111107</v>
      </c>
      <c r="FU93" s="207"/>
      <c r="FV93" s="192">
        <f t="shared" si="100"/>
        <v>3</v>
      </c>
      <c r="FW93" s="197" t="e">
        <f t="shared" ca="1" si="101"/>
        <v>#NAME?</v>
      </c>
      <c r="FX93" s="209" t="e">
        <f t="shared" ca="1" si="102"/>
        <v>#NAME?</v>
      </c>
      <c r="FY93" s="211" t="e">
        <f t="shared" ca="1" si="199"/>
        <v>#NAME?</v>
      </c>
      <c r="FZ93" s="36" t="str">
        <f t="shared" si="104"/>
        <v>Yes</v>
      </c>
      <c r="GA93" s="196">
        <f>COUNTIF($FZ$2:$FZ$92, FZ93)/(COUNTIF($FZ$2:$FZ$92, "&lt;&gt;""") - COUNTIF($FZ$2:$FZ$92, ""))</f>
        <v>0.23333333333333334</v>
      </c>
      <c r="GB93" s="196" t="str">
        <f t="shared" si="105"/>
        <v>Low</v>
      </c>
      <c r="GC93" s="196">
        <f>COUNTIF($GB$2:$GB$92, GB93)/(COUNTIF($GB$2:$GB$92, "&lt;&gt;""") - COUNTIF($GB$2:$GB$92, ""))</f>
        <v>0.55555555555555558</v>
      </c>
      <c r="GD93" s="196" t="str">
        <f t="shared" si="106"/>
        <v>High</v>
      </c>
      <c r="GE93" s="196">
        <f>COUNTIF($GD$2:$GD$92, GD93)/(COUNTIF($GD$2:$GD$92, "&lt;&gt;""") - COUNTIF($GD$2:$GD$92, ""))</f>
        <v>0.8</v>
      </c>
      <c r="GF93" s="207"/>
      <c r="GG93" s="36"/>
      <c r="GH93" s="209" t="e">
        <f t="shared" ca="1" si="107"/>
        <v>#NAME?</v>
      </c>
      <c r="GI93" s="212" t="e">
        <f t="shared" ca="1" si="200"/>
        <v>#NAME?</v>
      </c>
    </row>
    <row r="94" spans="1:191" ht="15.75" customHeight="1">
      <c r="A94" s="174"/>
      <c r="B94" s="174" t="s">
        <v>433</v>
      </c>
      <c r="C94" s="238">
        <v>1701666</v>
      </c>
      <c r="D94" s="244" t="s">
        <v>1094</v>
      </c>
      <c r="E94" s="245">
        <v>43811.445833333331</v>
      </c>
      <c r="F94" s="239" t="s">
        <v>337</v>
      </c>
      <c r="G94" s="32" t="s">
        <v>1095</v>
      </c>
      <c r="H94" s="32" t="s">
        <v>1096</v>
      </c>
      <c r="I94" s="255">
        <v>43810</v>
      </c>
      <c r="J94" s="247" t="s">
        <v>1097</v>
      </c>
      <c r="K94" s="247" t="s">
        <v>1094</v>
      </c>
      <c r="M94" s="29" t="s">
        <v>747</v>
      </c>
      <c r="N94" s="239" t="s">
        <v>300</v>
      </c>
      <c r="O94" s="239" t="s">
        <v>30</v>
      </c>
      <c r="P94" s="239" t="s">
        <v>174</v>
      </c>
      <c r="Q94" s="239" t="s">
        <v>35</v>
      </c>
      <c r="R94" s="187"/>
      <c r="S94" s="239" t="s">
        <v>216</v>
      </c>
      <c r="T94" s="248"/>
      <c r="U94" s="249"/>
      <c r="V94" s="251">
        <v>5960000</v>
      </c>
      <c r="W94" s="250"/>
      <c r="X94" s="252"/>
      <c r="Y94" s="55" t="str">
        <f t="shared" si="158"/>
        <v/>
      </c>
      <c r="Z94" s="274">
        <f t="shared" si="159"/>
        <v>5960000</v>
      </c>
      <c r="AA94" s="183" t="e">
        <f t="shared" ca="1" si="160"/>
        <v>#NAME?</v>
      </c>
      <c r="AB94" s="239" t="s">
        <v>178</v>
      </c>
      <c r="AC94" s="239" t="s">
        <v>179</v>
      </c>
      <c r="AD94" s="239" t="s">
        <v>180</v>
      </c>
      <c r="AE94" s="239" t="s">
        <v>190</v>
      </c>
      <c r="AF94" s="239" t="s">
        <v>39</v>
      </c>
      <c r="AG94" s="239" t="s">
        <v>39</v>
      </c>
      <c r="AH94" s="239" t="s">
        <v>227</v>
      </c>
      <c r="AI94" s="251"/>
      <c r="AJ94" s="279">
        <v>8911821504</v>
      </c>
      <c r="AK94" s="224" t="e">
        <f t="shared" ca="1" si="161"/>
        <v>#NAME?</v>
      </c>
      <c r="AL94" s="279">
        <v>8788451772</v>
      </c>
      <c r="AM94" s="224" t="e">
        <f t="shared" ca="1" si="162"/>
        <v>#NAME?</v>
      </c>
      <c r="AN94" s="279">
        <v>4.2000000000000003E-2</v>
      </c>
      <c r="AO94" s="185" t="e">
        <f t="shared" ca="1" si="63"/>
        <v>#NAME?</v>
      </c>
      <c r="AP94" s="185" t="s">
        <v>264</v>
      </c>
      <c r="AQ94" s="239" t="s">
        <v>39</v>
      </c>
      <c r="AR94" s="239" t="s">
        <v>181</v>
      </c>
      <c r="AS94" s="239" t="s">
        <v>182</v>
      </c>
      <c r="AT94" s="29" t="s">
        <v>39</v>
      </c>
      <c r="AU94" s="29" t="s">
        <v>39</v>
      </c>
      <c r="AV94" s="239" t="s">
        <v>227</v>
      </c>
      <c r="AW94" s="239" t="s">
        <v>227</v>
      </c>
      <c r="AX94" s="239" t="s">
        <v>227</v>
      </c>
      <c r="AY94" s="239" t="s">
        <v>190</v>
      </c>
      <c r="AZ94" s="251">
        <v>0</v>
      </c>
      <c r="BA94" s="55" t="e">
        <f t="shared" ca="1" si="163"/>
        <v>#NAME?</v>
      </c>
      <c r="BB94" s="279">
        <v>4567</v>
      </c>
      <c r="BC94" s="279">
        <v>500000</v>
      </c>
      <c r="BD94" s="62" t="e">
        <f t="shared" ca="1" si="164"/>
        <v>#NAME?</v>
      </c>
      <c r="BE94" s="277">
        <f t="shared" si="165"/>
        <v>9.1339999999999998E-3</v>
      </c>
      <c r="BF94" s="62" t="e">
        <f t="shared" ca="1" si="166"/>
        <v>#NAME?</v>
      </c>
      <c r="BG94" s="239" t="s">
        <v>183</v>
      </c>
      <c r="BH94" s="187"/>
      <c r="BI94" s="239" t="s">
        <v>227</v>
      </c>
      <c r="BJ94" s="239">
        <v>3</v>
      </c>
      <c r="BK94" s="279">
        <v>1</v>
      </c>
      <c r="BL94" s="176" t="s">
        <v>190</v>
      </c>
      <c r="BM94" s="239" t="s">
        <v>190</v>
      </c>
      <c r="BN94" s="239" t="s">
        <v>227</v>
      </c>
      <c r="BO94" s="239" t="s">
        <v>190</v>
      </c>
      <c r="BP94" s="238">
        <v>2</v>
      </c>
      <c r="BQ94" s="238">
        <v>5</v>
      </c>
      <c r="BR94" s="238">
        <v>1</v>
      </c>
      <c r="BS94" s="238">
        <v>1</v>
      </c>
      <c r="BT94" s="205"/>
      <c r="BU94" s="16">
        <v>0</v>
      </c>
      <c r="BV94" s="16">
        <v>0</v>
      </c>
      <c r="BW94" s="16">
        <v>42</v>
      </c>
      <c r="BX94" s="16" t="s">
        <v>190</v>
      </c>
      <c r="BY94" s="205"/>
      <c r="CD94" s="205"/>
      <c r="CI94" s="205"/>
      <c r="CN94" s="205"/>
      <c r="CS94" s="205"/>
      <c r="CX94" s="205"/>
      <c r="DC94" s="205"/>
      <c r="DH94" s="205"/>
      <c r="DM94" s="205"/>
      <c r="DN94" s="205"/>
      <c r="DO94" s="205"/>
      <c r="DQ94" s="206"/>
      <c r="DR94" s="188">
        <f t="shared" si="64"/>
        <v>0</v>
      </c>
      <c r="DS94" s="188"/>
      <c r="DT94" s="189">
        <f t="shared" si="65"/>
        <v>0</v>
      </c>
      <c r="DU94" s="189"/>
      <c r="DV94" s="188">
        <f t="shared" si="66"/>
        <v>42</v>
      </c>
      <c r="DW94" s="183" t="e">
        <f t="shared" ca="1" si="67"/>
        <v>#NAME?</v>
      </c>
      <c r="DX94" s="207"/>
      <c r="DY94" s="190" t="e">
        <f t="shared" ca="1" si="68"/>
        <v>#NAME?</v>
      </c>
      <c r="DZ94" s="191" t="str">
        <f t="shared" si="190"/>
        <v/>
      </c>
      <c r="EA94" s="191" t="str">
        <f t="shared" si="191"/>
        <v/>
      </c>
      <c r="EB94" s="191" t="str">
        <f t="shared" si="192"/>
        <v/>
      </c>
      <c r="EC94" s="208" t="e">
        <f t="shared" ca="1" si="72"/>
        <v>#NAME?</v>
      </c>
      <c r="ED94" s="36" t="str">
        <f t="shared" si="73"/>
        <v>Equity - Common</v>
      </c>
      <c r="EE94" s="193">
        <f>COUNTIF($ED$2:$ED$92, ED94)/(COUNTIF($ED$2:$ED$92, "&lt;&gt;""") - COUNTIF($ED$2:$ED$92, ""))</f>
        <v>0.32222222222222224</v>
      </c>
      <c r="EF94" s="36" t="str">
        <f t="shared" si="74"/>
        <v>Early</v>
      </c>
      <c r="EG94" s="207"/>
      <c r="EH94" s="194" t="e">
        <f t="shared" ca="1" si="75"/>
        <v>#NAME?</v>
      </c>
      <c r="EI94" s="194" t="e">
        <f t="shared" ca="1" si="76"/>
        <v>#NAME?</v>
      </c>
      <c r="EJ94" s="209" t="e">
        <f t="shared" ca="1" si="77"/>
        <v>#NAME?</v>
      </c>
      <c r="EK94" s="208" t="e">
        <f t="shared" ca="1" si="193"/>
        <v>#NAME?</v>
      </c>
      <c r="EL94" s="36" t="str">
        <f t="shared" si="79"/>
        <v>Yes</v>
      </c>
      <c r="EM94" s="207"/>
      <c r="EN94" s="192">
        <f t="shared" si="194"/>
        <v>1</v>
      </c>
      <c r="EO94" s="192">
        <f t="shared" si="195"/>
        <v>1</v>
      </c>
      <c r="EP94" s="209">
        <f t="shared" si="82"/>
        <v>2</v>
      </c>
      <c r="EQ94" s="210">
        <f t="shared" si="196"/>
        <v>1</v>
      </c>
      <c r="ER94" s="36" t="e">
        <f t="shared" ca="1" si="84"/>
        <v>#NAME?</v>
      </c>
      <c r="ES94" s="40">
        <f ca="1">COUNTIF($ER$2:$ER$92, ER94)/(COUNTIF($ER$2:$ER$92, "&lt;&gt;""") - COUNTIF($ER$2:$ER$92, ""))</f>
        <v>1</v>
      </c>
      <c r="ET94" s="36">
        <f t="shared" si="85"/>
        <v>1</v>
      </c>
      <c r="EU94" s="40">
        <f>COUNTIF($ET$2:$ET$92, ET94)/(COUNTIF($ET$2:$ET$92, "&lt;&gt;""") - COUNTIF($ET$2:$ET$92, ""))</f>
        <v>0.45555555555555555</v>
      </c>
      <c r="EV94" s="36">
        <f t="shared" si="86"/>
        <v>5</v>
      </c>
      <c r="EW94" s="40">
        <f>COUNTIF($EV$2:$EV$92, EV94)/(COUNTIF($EV$2:$EV$92, "&lt;&gt;""") - COUNTIF($EV$2:$EV$92, ""))</f>
        <v>0.13333333333333333</v>
      </c>
      <c r="EX94" s="36" t="str">
        <f t="shared" si="87"/>
        <v>No</v>
      </c>
      <c r="EY94" s="40">
        <f>COUNTIF($EX$2:$EX$92, EX94)/(COUNTIF($EX$2:$EX$92, "&lt;&gt;""") - COUNTIF($EX$2:$EX$92, ""))</f>
        <v>0.72222222222222221</v>
      </c>
      <c r="EZ94" s="36" t="str">
        <f t="shared" ref="EZ94:FB94" si="217">BM94</f>
        <v>No</v>
      </c>
      <c r="FA94" s="36" t="str">
        <f t="shared" si="217"/>
        <v>Yes</v>
      </c>
      <c r="FB94" s="36" t="str">
        <f t="shared" si="217"/>
        <v>No</v>
      </c>
      <c r="FC94" s="207"/>
      <c r="FD94" s="36" t="str">
        <f t="shared" si="89"/>
        <v>Recurring</v>
      </c>
      <c r="FE94" s="40">
        <f>COUNTIF($FD$2:$FD$92, FD94)/(COUNTIF($FD$2:$FD$92, "&lt;&gt;""") - COUNTIF($FD$2:$FD$92, ""))</f>
        <v>0.4</v>
      </c>
      <c r="FF94" s="36" t="str">
        <f t="shared" si="90"/>
        <v>B2C</v>
      </c>
      <c r="FG94" s="40">
        <f>COUNTIF($FF$2:$FF$92, FF94)/(COUNTIF($FF$2:$FF$92, "&lt;&gt;""") - COUNTIF($FF$2:$FF$92, ""))</f>
        <v>0.41111111111111109</v>
      </c>
      <c r="FH94" s="36" t="str">
        <f t="shared" si="91"/>
        <v>High</v>
      </c>
      <c r="FI94" s="40">
        <f>COUNTIF($FH$2:$FH$92, FH94)/(COUNTIF($FH$2:$FH$92, "&lt;&gt;""") - COUNTIF($FH$2:$FH$92, ""))</f>
        <v>0.53333333333333333</v>
      </c>
      <c r="FJ94" s="36" t="str">
        <f t="shared" si="92"/>
        <v>High</v>
      </c>
      <c r="FK94" s="40">
        <f>COUNTIF($FJ$2:$FJ$92, FJ94)/(COUNTIF($FJ$2:$FJ$92, "&lt;&gt;""") - COUNTIF($FJ$2:$FJ$92, ""))</f>
        <v>0.58888888888888891</v>
      </c>
      <c r="FL94" s="207"/>
      <c r="FM94" s="192">
        <f t="shared" si="93"/>
        <v>3</v>
      </c>
      <c r="FN94" s="192" t="e">
        <f t="shared" ca="1" si="94"/>
        <v>#NAME?</v>
      </c>
      <c r="FO94" s="192" t="e">
        <f t="shared" ca="1" si="95"/>
        <v>#NAME?</v>
      </c>
      <c r="FP94" s="192" t="e">
        <f t="shared" ca="1" si="96"/>
        <v>#NAME?</v>
      </c>
      <c r="FQ94" s="209" t="e">
        <f t="shared" ca="1" si="97"/>
        <v>#NAME?</v>
      </c>
      <c r="FR94" s="208" t="e">
        <f t="shared" ca="1" si="198"/>
        <v>#NAME?</v>
      </c>
      <c r="FS94" s="36" t="str">
        <f t="shared" si="99"/>
        <v>Pre-Revenue</v>
      </c>
      <c r="FT94" s="196">
        <f>COUNTIF($FS$2:$FS$92, FS94)/(COUNTIF($FS$2:$FS$92, "&lt;&gt;""") - COUNTIF($FZ$2:$FZ$92, ""))</f>
        <v>0.2</v>
      </c>
      <c r="FU94" s="207"/>
      <c r="FV94" s="192">
        <f t="shared" si="100"/>
        <v>3</v>
      </c>
      <c r="FW94" s="197" t="e">
        <f t="shared" ca="1" si="101"/>
        <v>#NAME?</v>
      </c>
      <c r="FX94" s="209" t="e">
        <f t="shared" ca="1" si="102"/>
        <v>#NAME?</v>
      </c>
      <c r="FY94" s="211" t="e">
        <f t="shared" ca="1" si="199"/>
        <v>#NAME?</v>
      </c>
      <c r="FZ94" s="36" t="str">
        <f t="shared" si="104"/>
        <v>Yes</v>
      </c>
      <c r="GA94" s="196">
        <f>COUNTIF($FZ$2:$FZ$92, FZ94)/(COUNTIF($FZ$2:$FZ$92, "&lt;&gt;""") - COUNTIF($FZ$2:$FZ$92, ""))</f>
        <v>0.23333333333333334</v>
      </c>
      <c r="GB94" s="196" t="str">
        <f t="shared" si="105"/>
        <v>High</v>
      </c>
      <c r="GC94" s="196">
        <f>COUNTIF($GB$2:$GB$92, GB94)/(COUNTIF($GB$2:$GB$92, "&lt;&gt;""") - COUNTIF($GB$2:$GB$92, ""))</f>
        <v>0.43333333333333335</v>
      </c>
      <c r="GD94" s="196" t="str">
        <f t="shared" si="106"/>
        <v>High</v>
      </c>
      <c r="GE94" s="196">
        <f>COUNTIF($GD$2:$GD$92, GD94)/(COUNTIF($GD$2:$GD$92, "&lt;&gt;""") - COUNTIF($GD$2:$GD$92, ""))</f>
        <v>0.8</v>
      </c>
      <c r="GF94" s="207"/>
      <c r="GG94" s="36"/>
      <c r="GH94" s="209" t="e">
        <f t="shared" ca="1" si="107"/>
        <v>#NAME?</v>
      </c>
      <c r="GI94" s="212" t="e">
        <f t="shared" ca="1" si="200"/>
        <v>#NAME?</v>
      </c>
    </row>
    <row r="95" spans="1:191" ht="15.75" customHeight="1">
      <c r="A95" s="174"/>
      <c r="B95" s="174" t="s">
        <v>433</v>
      </c>
      <c r="C95" s="238">
        <v>1789108</v>
      </c>
      <c r="D95" s="244" t="s">
        <v>1098</v>
      </c>
      <c r="E95" s="245">
        <v>43811.454861111109</v>
      </c>
      <c r="F95" s="239" t="s">
        <v>344</v>
      </c>
      <c r="G95" s="32" t="s">
        <v>1099</v>
      </c>
      <c r="H95" s="32" t="s">
        <v>1100</v>
      </c>
      <c r="I95" s="255">
        <v>43795</v>
      </c>
      <c r="J95" s="247" t="s">
        <v>1101</v>
      </c>
      <c r="K95" s="247" t="s">
        <v>1098</v>
      </c>
      <c r="M95" s="239" t="s">
        <v>1102</v>
      </c>
      <c r="N95" s="239" t="s">
        <v>324</v>
      </c>
      <c r="O95" s="239" t="s">
        <v>30</v>
      </c>
      <c r="P95" s="239" t="s">
        <v>174</v>
      </c>
      <c r="Q95" s="239" t="s">
        <v>35</v>
      </c>
      <c r="R95" s="187"/>
      <c r="S95" s="239" t="s">
        <v>269</v>
      </c>
      <c r="T95" s="248"/>
      <c r="U95" s="249"/>
      <c r="V95" s="251"/>
      <c r="W95" s="69">
        <v>3000000</v>
      </c>
      <c r="X95" s="252">
        <v>0.25</v>
      </c>
      <c r="Y95" s="55">
        <f t="shared" si="158"/>
        <v>2250000</v>
      </c>
      <c r="Z95" s="274">
        <f t="shared" si="159"/>
        <v>2250000</v>
      </c>
      <c r="AA95" s="183" t="e">
        <f t="shared" ca="1" si="160"/>
        <v>#NAME?</v>
      </c>
      <c r="AB95" s="239" t="s">
        <v>36</v>
      </c>
      <c r="AC95" s="239" t="s">
        <v>37</v>
      </c>
      <c r="AD95" s="239" t="s">
        <v>38</v>
      </c>
      <c r="AE95" s="239" t="s">
        <v>190</v>
      </c>
      <c r="AF95" s="239" t="s">
        <v>39</v>
      </c>
      <c r="AG95" s="239" t="s">
        <v>39</v>
      </c>
      <c r="AH95" s="239" t="s">
        <v>190</v>
      </c>
      <c r="AI95" s="251"/>
      <c r="AJ95" s="279">
        <v>47000000000</v>
      </c>
      <c r="AK95" s="224" t="e">
        <f t="shared" ca="1" si="161"/>
        <v>#NAME?</v>
      </c>
      <c r="AL95" s="279">
        <v>2292654240</v>
      </c>
      <c r="AM95" s="224" t="e">
        <f t="shared" ca="1" si="162"/>
        <v>#NAME?</v>
      </c>
      <c r="AN95" s="279">
        <v>6.8000000000000005E-2</v>
      </c>
      <c r="AO95" s="185" t="e">
        <f t="shared" ca="1" si="63"/>
        <v>#NAME?</v>
      </c>
      <c r="AP95" s="185" t="s">
        <v>192</v>
      </c>
      <c r="AQ95" s="239" t="s">
        <v>181</v>
      </c>
      <c r="AR95" s="239" t="s">
        <v>39</v>
      </c>
      <c r="AS95" s="239" t="s">
        <v>42</v>
      </c>
      <c r="AT95" s="29" t="s">
        <v>39</v>
      </c>
      <c r="AU95" s="29" t="s">
        <v>181</v>
      </c>
      <c r="AV95" s="239" t="s">
        <v>190</v>
      </c>
      <c r="AW95" s="239" t="s">
        <v>227</v>
      </c>
      <c r="AX95" s="239" t="s">
        <v>227</v>
      </c>
      <c r="AY95" s="239" t="s">
        <v>190</v>
      </c>
      <c r="AZ95" s="251">
        <v>0</v>
      </c>
      <c r="BA95" s="55" t="e">
        <f t="shared" ca="1" si="163"/>
        <v>#NAME?</v>
      </c>
      <c r="BB95" s="279">
        <v>2021</v>
      </c>
      <c r="BC95" s="279">
        <v>10020</v>
      </c>
      <c r="BD95" s="62" t="e">
        <f t="shared" ca="1" si="164"/>
        <v>#NAME?</v>
      </c>
      <c r="BE95" s="277">
        <f t="shared" si="165"/>
        <v>0.20169660678642715</v>
      </c>
      <c r="BF95" s="62" t="e">
        <f t="shared" ca="1" si="166"/>
        <v>#NAME?</v>
      </c>
      <c r="BG95" s="239" t="s">
        <v>43</v>
      </c>
      <c r="BH95" s="187"/>
      <c r="BI95" s="239" t="s">
        <v>227</v>
      </c>
      <c r="BJ95" s="238">
        <v>2</v>
      </c>
      <c r="BK95" s="279">
        <v>1</v>
      </c>
      <c r="BL95" s="176" t="s">
        <v>190</v>
      </c>
      <c r="BM95" s="239" t="s">
        <v>190</v>
      </c>
      <c r="BN95" s="239" t="s">
        <v>190</v>
      </c>
      <c r="BO95" s="239" t="s">
        <v>190</v>
      </c>
      <c r="BP95" s="238">
        <v>2</v>
      </c>
      <c r="BQ95" s="238">
        <v>4</v>
      </c>
      <c r="BR95" s="238">
        <v>1</v>
      </c>
      <c r="BS95" s="238">
        <v>1</v>
      </c>
      <c r="BT95" s="205"/>
      <c r="BU95" s="16">
        <v>12</v>
      </c>
      <c r="BV95" s="16">
        <v>0</v>
      </c>
      <c r="BW95" s="16">
        <v>50</v>
      </c>
      <c r="BX95" s="16" t="s">
        <v>227</v>
      </c>
      <c r="BY95" s="205"/>
      <c r="CD95" s="205"/>
      <c r="CI95" s="205"/>
      <c r="CN95" s="205"/>
      <c r="CS95" s="205"/>
      <c r="CX95" s="205"/>
      <c r="DC95" s="205"/>
      <c r="DH95" s="205"/>
      <c r="DM95" s="205"/>
      <c r="DN95" s="205"/>
      <c r="DO95" s="205"/>
      <c r="DQ95" s="206"/>
      <c r="DR95" s="188">
        <f t="shared" si="64"/>
        <v>12</v>
      </c>
      <c r="DS95" s="188"/>
      <c r="DT95" s="189">
        <f t="shared" si="65"/>
        <v>0</v>
      </c>
      <c r="DU95" s="189"/>
      <c r="DV95" s="188">
        <f t="shared" si="66"/>
        <v>50</v>
      </c>
      <c r="DW95" s="183" t="e">
        <f t="shared" ca="1" si="67"/>
        <v>#NAME?</v>
      </c>
      <c r="DX95" s="207"/>
      <c r="DY95" s="190" t="e">
        <f t="shared" ca="1" si="68"/>
        <v>#NAME?</v>
      </c>
      <c r="DZ95" s="191">
        <f t="shared" si="190"/>
        <v>3.6315789473684212</v>
      </c>
      <c r="EA95" s="191" t="str">
        <f t="shared" si="191"/>
        <v/>
      </c>
      <c r="EB95" s="191" t="str">
        <f t="shared" si="192"/>
        <v/>
      </c>
      <c r="EC95" s="208" t="e">
        <f t="shared" ca="1" si="72"/>
        <v>#NAME?</v>
      </c>
      <c r="ED95" s="36" t="str">
        <f t="shared" si="73"/>
        <v>SAFE</v>
      </c>
      <c r="EE95" s="193">
        <f>COUNTIF($ED$2:$ED$92, ED95)/(COUNTIF($ED$2:$ED$92, "&lt;&gt;""") - COUNTIF($ED$2:$ED$92, ""))</f>
        <v>0.37777777777777777</v>
      </c>
      <c r="EF95" s="36" t="str">
        <f t="shared" si="74"/>
        <v>Early</v>
      </c>
      <c r="EG95" s="207"/>
      <c r="EH95" s="194" t="e">
        <f t="shared" ca="1" si="75"/>
        <v>#NAME?</v>
      </c>
      <c r="EI95" s="194" t="e">
        <f t="shared" ca="1" si="76"/>
        <v>#NAME?</v>
      </c>
      <c r="EJ95" s="209" t="e">
        <f t="shared" ca="1" si="77"/>
        <v>#NAME?</v>
      </c>
      <c r="EK95" s="208" t="e">
        <f t="shared" ca="1" si="193"/>
        <v>#NAME?</v>
      </c>
      <c r="EL95" s="36" t="str">
        <f t="shared" si="79"/>
        <v>No</v>
      </c>
      <c r="EM95" s="207"/>
      <c r="EN95" s="192">
        <f t="shared" si="194"/>
        <v>2.1428571428571428</v>
      </c>
      <c r="EO95" s="192">
        <f t="shared" si="195"/>
        <v>1</v>
      </c>
      <c r="EP95" s="209">
        <f t="shared" si="82"/>
        <v>3.1428571428571428</v>
      </c>
      <c r="EQ95" s="210">
        <f t="shared" si="196"/>
        <v>1.8971962616822431</v>
      </c>
      <c r="ER95" s="36" t="e">
        <f t="shared" ca="1" si="84"/>
        <v>#NAME?</v>
      </c>
      <c r="ES95" s="40">
        <f ca="1">COUNTIF($ER$2:$ER$92, ER95)/(COUNTIF($ER$2:$ER$92, "&lt;&gt;""") - COUNTIF($ER$2:$ER$92, ""))</f>
        <v>1</v>
      </c>
      <c r="ET95" s="36">
        <f t="shared" si="85"/>
        <v>1</v>
      </c>
      <c r="EU95" s="40">
        <f>COUNTIF($ET$2:$ET$92, ET95)/(COUNTIF($ET$2:$ET$92, "&lt;&gt;""") - COUNTIF($ET$2:$ET$92, ""))</f>
        <v>0.45555555555555555</v>
      </c>
      <c r="EV95" s="36">
        <f t="shared" si="86"/>
        <v>4</v>
      </c>
      <c r="EW95" s="40">
        <f>COUNTIF($EV$2:$EV$92, EV95)/(COUNTIF($EV$2:$EV$92, "&lt;&gt;""") - COUNTIF($EV$2:$EV$92, ""))</f>
        <v>0.12222222222222222</v>
      </c>
      <c r="EX95" s="36" t="str">
        <f t="shared" si="87"/>
        <v>No</v>
      </c>
      <c r="EY95" s="40">
        <f>COUNTIF($EX$2:$EX$92, EX95)/(COUNTIF($EX$2:$EX$92, "&lt;&gt;""") - COUNTIF($EX$2:$EX$92, ""))</f>
        <v>0.72222222222222221</v>
      </c>
      <c r="EZ95" s="36" t="str">
        <f t="shared" ref="EZ95:FB95" si="218">BM95</f>
        <v>No</v>
      </c>
      <c r="FA95" s="36" t="str">
        <f t="shared" si="218"/>
        <v>No</v>
      </c>
      <c r="FB95" s="36" t="str">
        <f t="shared" si="218"/>
        <v>No</v>
      </c>
      <c r="FC95" s="207"/>
      <c r="FD95" s="36" t="str">
        <f t="shared" si="89"/>
        <v>Transactional</v>
      </c>
      <c r="FE95" s="40">
        <f>COUNTIF($FD$2:$FD$92, FD95)/(COUNTIF($FD$2:$FD$92, "&lt;&gt;""") - COUNTIF($FD$2:$FD$92, ""))</f>
        <v>0.6</v>
      </c>
      <c r="FF95" s="36" t="str">
        <f t="shared" si="90"/>
        <v>B2B</v>
      </c>
      <c r="FG95" s="40">
        <f>COUNTIF($FF$2:$FF$92, FF95)/(COUNTIF($FF$2:$FF$92, "&lt;&gt;""") - COUNTIF($FF$2:$FF$92, ""))</f>
        <v>0.24444444444444444</v>
      </c>
      <c r="FH95" s="36" t="str">
        <f t="shared" si="91"/>
        <v>High</v>
      </c>
      <c r="FI95" s="40">
        <f>COUNTIF($FH$2:$FH$92, FH95)/(COUNTIF($FH$2:$FH$92, "&lt;&gt;""") - COUNTIF($FH$2:$FH$92, ""))</f>
        <v>0.53333333333333333</v>
      </c>
      <c r="FJ95" s="36" t="str">
        <f t="shared" si="92"/>
        <v>High</v>
      </c>
      <c r="FK95" s="40">
        <f>COUNTIF($FJ$2:$FJ$92, FJ95)/(COUNTIF($FJ$2:$FJ$92, "&lt;&gt;""") - COUNTIF($FJ$2:$FJ$92, ""))</f>
        <v>0.58888888888888891</v>
      </c>
      <c r="FL95" s="207"/>
      <c r="FM95" s="192">
        <f t="shared" si="93"/>
        <v>3</v>
      </c>
      <c r="FN95" s="192" t="e">
        <f t="shared" ca="1" si="94"/>
        <v>#NAME?</v>
      </c>
      <c r="FO95" s="192" t="e">
        <f t="shared" ca="1" si="95"/>
        <v>#NAME?</v>
      </c>
      <c r="FP95" s="192" t="e">
        <f t="shared" ca="1" si="96"/>
        <v>#NAME?</v>
      </c>
      <c r="FQ95" s="209" t="e">
        <f t="shared" ca="1" si="97"/>
        <v>#NAME?</v>
      </c>
      <c r="FR95" s="208" t="e">
        <f t="shared" ca="1" si="198"/>
        <v>#NAME?</v>
      </c>
      <c r="FS95" s="36" t="str">
        <f t="shared" si="99"/>
        <v>Pre-Product</v>
      </c>
      <c r="FT95" s="196">
        <f>COUNTIF($FS$2:$FS$92, FS95)/(COUNTIF($FS$2:$FS$92, "&lt;&gt;""") - COUNTIF($FZ$2:$FZ$92, ""))</f>
        <v>0.22222222222222221</v>
      </c>
      <c r="FU95" s="207"/>
      <c r="FV95" s="192">
        <f t="shared" si="100"/>
        <v>3</v>
      </c>
      <c r="FW95" s="197" t="e">
        <f t="shared" ca="1" si="101"/>
        <v>#NAME?</v>
      </c>
      <c r="FX95" s="209" t="e">
        <f t="shared" ca="1" si="102"/>
        <v>#NAME?</v>
      </c>
      <c r="FY95" s="211" t="e">
        <f t="shared" ca="1" si="199"/>
        <v>#NAME?</v>
      </c>
      <c r="FZ95" s="36" t="str">
        <f t="shared" si="104"/>
        <v>Yes</v>
      </c>
      <c r="GA95" s="196">
        <f>COUNTIF($FZ$2:$FZ$92, FZ95)/(COUNTIF($FZ$2:$FZ$92, "&lt;&gt;""") - COUNTIF($FZ$2:$FZ$92, ""))</f>
        <v>0.23333333333333334</v>
      </c>
      <c r="GB95" s="196" t="str">
        <f t="shared" si="105"/>
        <v>High</v>
      </c>
      <c r="GC95" s="196">
        <f>COUNTIF($GB$2:$GB$92, GB95)/(COUNTIF($GB$2:$GB$92, "&lt;&gt;""") - COUNTIF($GB$2:$GB$92, ""))</f>
        <v>0.43333333333333335</v>
      </c>
      <c r="GD95" s="196" t="str">
        <f t="shared" si="106"/>
        <v>Low</v>
      </c>
      <c r="GE95" s="196">
        <f>COUNTIF($GD$2:$GD$92, GD95)/(COUNTIF($GD$2:$GD$92, "&lt;&gt;""") - COUNTIF($GD$2:$GD$92, ""))</f>
        <v>0.18888888888888888</v>
      </c>
      <c r="GF95" s="207"/>
      <c r="GG95" s="36"/>
      <c r="GH95" s="209" t="e">
        <f t="shared" ca="1" si="107"/>
        <v>#NAME?</v>
      </c>
      <c r="GI95" s="212" t="e">
        <f t="shared" ca="1" si="200"/>
        <v>#NAME?</v>
      </c>
    </row>
    <row r="96" spans="1:191" ht="15.75" customHeight="1">
      <c r="A96" s="182"/>
      <c r="B96" s="182" t="s">
        <v>433</v>
      </c>
      <c r="C96" s="256">
        <v>1780122</v>
      </c>
      <c r="D96" s="247" t="s">
        <v>1103</v>
      </c>
      <c r="E96" s="259">
        <v>43815.452777777777</v>
      </c>
      <c r="F96" s="243" t="s">
        <v>329</v>
      </c>
      <c r="G96" s="257" t="s">
        <v>1104</v>
      </c>
      <c r="H96" s="257" t="s">
        <v>1105</v>
      </c>
      <c r="I96" s="258">
        <v>43812</v>
      </c>
      <c r="J96" s="260" t="s">
        <v>1106</v>
      </c>
      <c r="K96" s="260" t="s">
        <v>1103</v>
      </c>
      <c r="M96" s="243" t="s">
        <v>918</v>
      </c>
      <c r="N96" s="243" t="s">
        <v>194</v>
      </c>
      <c r="O96" s="243" t="s">
        <v>30</v>
      </c>
      <c r="P96" s="243" t="s">
        <v>174</v>
      </c>
      <c r="Q96" s="243" t="s">
        <v>35</v>
      </c>
      <c r="R96" s="187"/>
      <c r="S96" s="243" t="s">
        <v>269</v>
      </c>
      <c r="T96" s="248"/>
      <c r="U96" s="249"/>
      <c r="V96" s="64"/>
      <c r="W96" s="69">
        <v>10000000</v>
      </c>
      <c r="X96" s="261">
        <v>0.15</v>
      </c>
      <c r="Y96" s="55">
        <f t="shared" si="158"/>
        <v>8500000</v>
      </c>
      <c r="Z96" s="274">
        <f t="shared" si="159"/>
        <v>8500000</v>
      </c>
      <c r="AA96" s="183" t="e">
        <f t="shared" ca="1" si="160"/>
        <v>#NAME?</v>
      </c>
      <c r="AB96" s="243" t="s">
        <v>36</v>
      </c>
      <c r="AC96" s="243" t="s">
        <v>218</v>
      </c>
      <c r="AD96" s="243" t="s">
        <v>180</v>
      </c>
      <c r="AE96" s="243" t="s">
        <v>190</v>
      </c>
      <c r="AF96" s="243" t="s">
        <v>39</v>
      </c>
      <c r="AG96" s="243" t="s">
        <v>39</v>
      </c>
      <c r="AH96" s="239" t="s">
        <v>190</v>
      </c>
      <c r="AI96" s="64"/>
      <c r="AJ96" s="279">
        <v>10520447637</v>
      </c>
      <c r="AK96" s="224" t="e">
        <f t="shared" ca="1" si="161"/>
        <v>#NAME?</v>
      </c>
      <c r="AL96" s="279">
        <v>10520447637</v>
      </c>
      <c r="AM96" s="224" t="e">
        <f t="shared" ca="1" si="162"/>
        <v>#NAME?</v>
      </c>
      <c r="AN96" s="279">
        <v>0.19</v>
      </c>
      <c r="AO96" s="185" t="e">
        <f t="shared" ca="1" si="63"/>
        <v>#NAME?</v>
      </c>
      <c r="AP96" s="185" t="s">
        <v>242</v>
      </c>
      <c r="AQ96" s="243" t="s">
        <v>39</v>
      </c>
      <c r="AR96" s="243" t="s">
        <v>181</v>
      </c>
      <c r="AS96" s="243" t="s">
        <v>182</v>
      </c>
      <c r="AT96" s="35" t="s">
        <v>39</v>
      </c>
      <c r="AU96" s="35" t="s">
        <v>39</v>
      </c>
      <c r="AV96" s="243" t="s">
        <v>190</v>
      </c>
      <c r="AW96" s="243" t="s">
        <v>227</v>
      </c>
      <c r="AX96" s="243" t="s">
        <v>190</v>
      </c>
      <c r="AY96" s="243" t="s">
        <v>190</v>
      </c>
      <c r="AZ96" s="64">
        <v>0</v>
      </c>
      <c r="BA96" s="55" t="e">
        <f t="shared" ca="1" si="163"/>
        <v>#NAME?</v>
      </c>
      <c r="BB96" s="279">
        <v>0</v>
      </c>
      <c r="BC96" s="280">
        <v>215000</v>
      </c>
      <c r="BD96" s="62" t="e">
        <f t="shared" ca="1" si="164"/>
        <v>#NAME?</v>
      </c>
      <c r="BE96" s="277">
        <f t="shared" si="165"/>
        <v>1</v>
      </c>
      <c r="BF96" s="62" t="e">
        <f t="shared" ca="1" si="166"/>
        <v>#NAME?</v>
      </c>
      <c r="BG96" s="243" t="s">
        <v>183</v>
      </c>
      <c r="BH96" s="187"/>
      <c r="BI96" s="243" t="s">
        <v>227</v>
      </c>
      <c r="BJ96" s="239">
        <v>2</v>
      </c>
      <c r="BK96" s="279">
        <v>2</v>
      </c>
      <c r="BL96" s="239" t="s">
        <v>227</v>
      </c>
      <c r="BM96" s="243" t="s">
        <v>190</v>
      </c>
      <c r="BN96" s="243" t="s">
        <v>227</v>
      </c>
      <c r="BO96" s="243" t="s">
        <v>190</v>
      </c>
      <c r="BP96" s="256">
        <v>5</v>
      </c>
      <c r="BQ96" s="256">
        <v>2</v>
      </c>
      <c r="BR96" s="256">
        <v>0</v>
      </c>
      <c r="BS96" s="256">
        <v>1</v>
      </c>
      <c r="BT96" s="205"/>
      <c r="BU96" s="16">
        <v>3</v>
      </c>
      <c r="BV96" s="16">
        <v>0</v>
      </c>
      <c r="BW96" s="16">
        <v>41</v>
      </c>
      <c r="BX96" s="16" t="s">
        <v>227</v>
      </c>
      <c r="BY96" s="205"/>
      <c r="BZ96" s="16">
        <v>4</v>
      </c>
      <c r="CA96" s="16">
        <v>0</v>
      </c>
      <c r="CB96" s="16">
        <v>34</v>
      </c>
      <c r="CC96" s="16" t="s">
        <v>190</v>
      </c>
      <c r="CD96" s="205"/>
      <c r="CI96" s="205"/>
      <c r="CN96" s="205"/>
      <c r="CS96" s="205"/>
      <c r="CX96" s="205"/>
      <c r="DC96" s="205"/>
      <c r="DH96" s="205"/>
      <c r="DM96" s="205"/>
      <c r="DN96" s="205"/>
      <c r="DO96" s="205"/>
      <c r="DQ96" s="206"/>
      <c r="DR96" s="188">
        <f t="shared" si="64"/>
        <v>3.5</v>
      </c>
      <c r="DS96" s="188"/>
      <c r="DT96" s="189">
        <f t="shared" si="65"/>
        <v>0</v>
      </c>
      <c r="DU96" s="189"/>
      <c r="DV96" s="188">
        <f t="shared" si="66"/>
        <v>37.5</v>
      </c>
      <c r="DW96" s="183" t="e">
        <f t="shared" ca="1" si="67"/>
        <v>#NAME?</v>
      </c>
      <c r="DX96" s="207"/>
      <c r="DY96" s="190" t="e">
        <f t="shared" ca="1" si="68"/>
        <v>#NAME?</v>
      </c>
      <c r="DZ96" s="191">
        <f t="shared" si="190"/>
        <v>2.5789473684210527</v>
      </c>
      <c r="EA96" s="191" t="str">
        <f t="shared" si="191"/>
        <v/>
      </c>
      <c r="EB96" s="191" t="str">
        <f t="shared" si="192"/>
        <v/>
      </c>
      <c r="EC96" s="208" t="e">
        <f t="shared" ca="1" si="72"/>
        <v>#NAME?</v>
      </c>
      <c r="ED96" s="36" t="str">
        <f t="shared" si="73"/>
        <v>SAFE</v>
      </c>
      <c r="EE96" s="193">
        <f>COUNTIF($ED$2:$ED$92, ED96)/(COUNTIF($ED$2:$ED$92, "&lt;&gt;""") - COUNTIF($ED$2:$ED$92, ""))</f>
        <v>0.37777777777777777</v>
      </c>
      <c r="EF96" s="36" t="str">
        <f t="shared" si="74"/>
        <v>Early</v>
      </c>
      <c r="EG96" s="207"/>
      <c r="EH96" s="194" t="e">
        <f t="shared" ca="1" si="75"/>
        <v>#NAME?</v>
      </c>
      <c r="EI96" s="194" t="e">
        <f t="shared" ca="1" si="76"/>
        <v>#NAME?</v>
      </c>
      <c r="EJ96" s="209" t="e">
        <f t="shared" ca="1" si="77"/>
        <v>#NAME?</v>
      </c>
      <c r="EK96" s="208" t="e">
        <f t="shared" ca="1" si="193"/>
        <v>#NAME?</v>
      </c>
      <c r="EL96" s="36" t="str">
        <f t="shared" si="79"/>
        <v>No</v>
      </c>
      <c r="EM96" s="207"/>
      <c r="EN96" s="192">
        <f t="shared" si="194"/>
        <v>1.3333333333333333</v>
      </c>
      <c r="EO96" s="192">
        <f t="shared" si="195"/>
        <v>1</v>
      </c>
      <c r="EP96" s="209">
        <f t="shared" si="82"/>
        <v>2.333333333333333</v>
      </c>
      <c r="EQ96" s="210">
        <f t="shared" si="196"/>
        <v>1.261682242990654</v>
      </c>
      <c r="ER96" s="36" t="e">
        <f t="shared" ca="1" si="84"/>
        <v>#NAME?</v>
      </c>
      <c r="ES96" s="40">
        <f ca="1">COUNTIF($ER$2:$ER$92, ER96)/(COUNTIF($ER$2:$ER$92, "&lt;&gt;""") - COUNTIF($ER$2:$ER$92, ""))</f>
        <v>1</v>
      </c>
      <c r="ET96" s="36">
        <f t="shared" si="85"/>
        <v>2</v>
      </c>
      <c r="EU96" s="40">
        <f>COUNTIF($ET$2:$ET$92, ET96)/(COUNTIF($ET$2:$ET$92, "&lt;&gt;""") - COUNTIF($ET$2:$ET$92, ""))</f>
        <v>0.45555555555555555</v>
      </c>
      <c r="EV96" s="36">
        <f t="shared" si="86"/>
        <v>2</v>
      </c>
      <c r="EW96" s="40">
        <f>COUNTIF($EV$2:$EV$92, EV96)/(COUNTIF($EV$2:$EV$92, "&lt;&gt;""") - COUNTIF($EV$2:$EV$92, ""))</f>
        <v>0.15555555555555556</v>
      </c>
      <c r="EX96" s="36" t="str">
        <f t="shared" si="87"/>
        <v>Yes</v>
      </c>
      <c r="EY96" s="40">
        <f>COUNTIF($EX$2:$EX$92, EX96)/(COUNTIF($EX$2:$EX$92, "&lt;&gt;""") - COUNTIF($EX$2:$EX$92, ""))</f>
        <v>0.27777777777777779</v>
      </c>
      <c r="EZ96" s="36" t="str">
        <f t="shared" ref="EZ96:FB96" si="219">BM96</f>
        <v>No</v>
      </c>
      <c r="FA96" s="36" t="str">
        <f t="shared" si="219"/>
        <v>Yes</v>
      </c>
      <c r="FB96" s="36" t="str">
        <f t="shared" si="219"/>
        <v>No</v>
      </c>
      <c r="FC96" s="207"/>
      <c r="FD96" s="36" t="str">
        <f t="shared" si="89"/>
        <v>Transactional</v>
      </c>
      <c r="FE96" s="40">
        <f>COUNTIF($FD$2:$FD$92, FD96)/(COUNTIF($FD$2:$FD$92, "&lt;&gt;""") - COUNTIF($FD$2:$FD$92, ""))</f>
        <v>0.6</v>
      </c>
      <c r="FF96" s="36" t="str">
        <f t="shared" si="90"/>
        <v>B2B/B2C</v>
      </c>
      <c r="FG96" s="40">
        <f>COUNTIF($FF$2:$FF$92, FF96)/(COUNTIF($FF$2:$FF$92, "&lt;&gt;""") - COUNTIF($FF$2:$FF$92, ""))</f>
        <v>0.27777777777777779</v>
      </c>
      <c r="FH96" s="36" t="str">
        <f t="shared" si="91"/>
        <v>High</v>
      </c>
      <c r="FI96" s="40">
        <f>COUNTIF($FH$2:$FH$92, FH96)/(COUNTIF($FH$2:$FH$92, "&lt;&gt;""") - COUNTIF($FH$2:$FH$92, ""))</f>
        <v>0.53333333333333333</v>
      </c>
      <c r="FJ96" s="36" t="str">
        <f t="shared" si="92"/>
        <v>High</v>
      </c>
      <c r="FK96" s="40">
        <f>COUNTIF($FJ$2:$FJ$92, FJ96)/(COUNTIF($FJ$2:$FJ$92, "&lt;&gt;""") - COUNTIF($FJ$2:$FJ$92, ""))</f>
        <v>0.58888888888888891</v>
      </c>
      <c r="FL96" s="207"/>
      <c r="FM96" s="192">
        <f t="shared" si="93"/>
        <v>1</v>
      </c>
      <c r="FN96" s="192" t="e">
        <f t="shared" ca="1" si="94"/>
        <v>#NAME?</v>
      </c>
      <c r="FO96" s="192" t="e">
        <f t="shared" ca="1" si="95"/>
        <v>#NAME?</v>
      </c>
      <c r="FP96" s="192" t="e">
        <f t="shared" ca="1" si="96"/>
        <v>#NAME?</v>
      </c>
      <c r="FQ96" s="209" t="e">
        <f t="shared" ca="1" si="97"/>
        <v>#NAME?</v>
      </c>
      <c r="FR96" s="208" t="e">
        <f t="shared" ca="1" si="198"/>
        <v>#NAME?</v>
      </c>
      <c r="FS96" s="36" t="str">
        <f t="shared" si="99"/>
        <v>Pre-Revenue</v>
      </c>
      <c r="FT96" s="196">
        <f>COUNTIF($FS$2:$FS$92, FS96)/(COUNTIF($FS$2:$FS$92, "&lt;&gt;""") - COUNTIF($FZ$2:$FZ$92, ""))</f>
        <v>0.2</v>
      </c>
      <c r="FU96" s="207"/>
      <c r="FV96" s="192">
        <f t="shared" si="100"/>
        <v>3</v>
      </c>
      <c r="FW96" s="197" t="e">
        <f t="shared" ca="1" si="101"/>
        <v>#NAME?</v>
      </c>
      <c r="FX96" s="209" t="e">
        <f t="shared" ca="1" si="102"/>
        <v>#NAME?</v>
      </c>
      <c r="FY96" s="211" t="e">
        <f t="shared" ca="1" si="199"/>
        <v>#NAME?</v>
      </c>
      <c r="FZ96" s="36" t="str">
        <f t="shared" si="104"/>
        <v>Yes</v>
      </c>
      <c r="GA96" s="196">
        <f>COUNTIF($FZ$2:$FZ$92, FZ96)/(COUNTIF($FZ$2:$FZ$92, "&lt;&gt;""") - COUNTIF($FZ$2:$FZ$92, ""))</f>
        <v>0.23333333333333334</v>
      </c>
      <c r="GB96" s="196" t="str">
        <f t="shared" si="105"/>
        <v>High</v>
      </c>
      <c r="GC96" s="196">
        <f>COUNTIF($GB$2:$GB$92, GB96)/(COUNTIF($GB$2:$GB$92, "&lt;&gt;""") - COUNTIF($GB$2:$GB$92, ""))</f>
        <v>0.43333333333333335</v>
      </c>
      <c r="GD96" s="196" t="str">
        <f t="shared" si="106"/>
        <v>High</v>
      </c>
      <c r="GE96" s="196">
        <f>COUNTIF($GD$2:$GD$92, GD96)/(COUNTIF($GD$2:$GD$92, "&lt;&gt;""") - COUNTIF($GD$2:$GD$92, ""))</f>
        <v>0.8</v>
      </c>
      <c r="GF96" s="207"/>
      <c r="GG96" s="36"/>
      <c r="GH96" s="209" t="e">
        <f t="shared" ca="1" si="107"/>
        <v>#NAME?</v>
      </c>
      <c r="GI96" s="212" t="e">
        <f t="shared" ca="1" si="200"/>
        <v>#NAME?</v>
      </c>
    </row>
    <row r="97" spans="1:191" ht="15.75" customHeight="1">
      <c r="A97" s="182"/>
      <c r="B97" s="182" t="s">
        <v>433</v>
      </c>
      <c r="C97" s="256">
        <v>1799231</v>
      </c>
      <c r="D97" s="247" t="s">
        <v>1107</v>
      </c>
      <c r="E97" s="259">
        <v>43885.433333333334</v>
      </c>
      <c r="F97" s="243" t="s">
        <v>270</v>
      </c>
      <c r="G97" s="257" t="s">
        <v>1108</v>
      </c>
      <c r="H97" s="257" t="s">
        <v>1109</v>
      </c>
      <c r="I97" s="258">
        <v>43853</v>
      </c>
      <c r="J97" s="260" t="s">
        <v>1110</v>
      </c>
      <c r="K97" s="260" t="s">
        <v>1107</v>
      </c>
      <c r="M97" s="243" t="s">
        <v>28</v>
      </c>
      <c r="N97" s="243" t="s">
        <v>336</v>
      </c>
      <c r="O97" s="243" t="s">
        <v>30</v>
      </c>
      <c r="P97" s="243" t="s">
        <v>174</v>
      </c>
      <c r="Q97" s="243" t="s">
        <v>35</v>
      </c>
      <c r="R97" s="187"/>
      <c r="S97" s="243" t="s">
        <v>216</v>
      </c>
      <c r="T97" s="248"/>
      <c r="U97" s="249"/>
      <c r="V97" s="64">
        <v>3062500</v>
      </c>
      <c r="W97" s="250"/>
      <c r="X97" s="261"/>
      <c r="Y97" s="55" t="str">
        <f t="shared" si="158"/>
        <v/>
      </c>
      <c r="Z97" s="274">
        <f t="shared" si="159"/>
        <v>3062500</v>
      </c>
      <c r="AA97" s="183" t="e">
        <f t="shared" ca="1" si="160"/>
        <v>#NAME?</v>
      </c>
      <c r="AB97" s="243" t="s">
        <v>36</v>
      </c>
      <c r="AC97" s="243" t="s">
        <v>218</v>
      </c>
      <c r="AD97" s="243" t="s">
        <v>180</v>
      </c>
      <c r="AE97" s="243" t="s">
        <v>227</v>
      </c>
      <c r="AF97" s="243" t="s">
        <v>181</v>
      </c>
      <c r="AG97" s="243" t="s">
        <v>39</v>
      </c>
      <c r="AH97" s="239" t="s">
        <v>190</v>
      </c>
      <c r="AI97" s="64"/>
      <c r="AJ97" s="279">
        <v>21756500000</v>
      </c>
      <c r="AK97" s="224" t="e">
        <f t="shared" ca="1" si="161"/>
        <v>#NAME?</v>
      </c>
      <c r="AL97" s="279">
        <v>21756500000</v>
      </c>
      <c r="AM97" s="224" t="e">
        <f t="shared" ca="1" si="162"/>
        <v>#NAME?</v>
      </c>
      <c r="AN97" s="279">
        <v>0.70699999999999996</v>
      </c>
      <c r="AO97" s="185" t="e">
        <f t="shared" ca="1" si="63"/>
        <v>#NAME?</v>
      </c>
      <c r="AP97" s="185" t="s">
        <v>264</v>
      </c>
      <c r="AQ97" s="243" t="s">
        <v>181</v>
      </c>
      <c r="AR97" s="243" t="s">
        <v>181</v>
      </c>
      <c r="AS97" s="243" t="s">
        <v>42</v>
      </c>
      <c r="AT97" s="35" t="s">
        <v>181</v>
      </c>
      <c r="AU97" s="35" t="s">
        <v>39</v>
      </c>
      <c r="AV97" s="243" t="s">
        <v>190</v>
      </c>
      <c r="AW97" s="243" t="s">
        <v>190</v>
      </c>
      <c r="AX97" s="243" t="s">
        <v>190</v>
      </c>
      <c r="AY97" s="243" t="s">
        <v>190</v>
      </c>
      <c r="AZ97" s="64">
        <v>0</v>
      </c>
      <c r="BA97" s="55" t="e">
        <f t="shared" ca="1" si="163"/>
        <v>#NAME?</v>
      </c>
      <c r="BB97" s="279">
        <v>0</v>
      </c>
      <c r="BC97" s="279">
        <v>0</v>
      </c>
      <c r="BD97" s="62" t="e">
        <f t="shared" ca="1" si="164"/>
        <v>#NAME?</v>
      </c>
      <c r="BE97" s="277">
        <f t="shared" si="165"/>
        <v>1</v>
      </c>
      <c r="BF97" s="62" t="e">
        <f t="shared" ca="1" si="166"/>
        <v>#NAME?</v>
      </c>
      <c r="BG97" s="243" t="s">
        <v>43</v>
      </c>
      <c r="BH97" s="187"/>
      <c r="BI97" s="243" t="s">
        <v>190</v>
      </c>
      <c r="BJ97" s="256">
        <v>0</v>
      </c>
      <c r="BK97" s="279">
        <v>1</v>
      </c>
      <c r="BL97" s="176" t="s">
        <v>190</v>
      </c>
      <c r="BM97" s="243" t="s">
        <v>190</v>
      </c>
      <c r="BN97" s="243" t="s">
        <v>190</v>
      </c>
      <c r="BO97" s="243" t="s">
        <v>190</v>
      </c>
      <c r="BP97" s="239">
        <v>0</v>
      </c>
      <c r="BQ97" s="256">
        <v>1</v>
      </c>
      <c r="BR97" s="256">
        <v>1</v>
      </c>
      <c r="BS97" s="256">
        <v>0</v>
      </c>
      <c r="BT97" s="205"/>
      <c r="BU97" s="16">
        <v>4</v>
      </c>
      <c r="BV97" s="16">
        <v>0</v>
      </c>
      <c r="BW97" s="16">
        <v>49</v>
      </c>
      <c r="BX97" s="16" t="s">
        <v>190</v>
      </c>
      <c r="BY97" s="205"/>
      <c r="CD97" s="205"/>
      <c r="CI97" s="205"/>
      <c r="CN97" s="205"/>
      <c r="CS97" s="205"/>
      <c r="CX97" s="205"/>
      <c r="DC97" s="205"/>
      <c r="DH97" s="205"/>
      <c r="DM97" s="205"/>
      <c r="DN97" s="205"/>
      <c r="DO97" s="205"/>
      <c r="DQ97" s="206"/>
      <c r="DR97" s="188">
        <f t="shared" si="64"/>
        <v>4</v>
      </c>
      <c r="DS97" s="188"/>
      <c r="DT97" s="189">
        <f t="shared" si="65"/>
        <v>0</v>
      </c>
      <c r="DU97" s="189"/>
      <c r="DV97" s="188">
        <f t="shared" si="66"/>
        <v>49</v>
      </c>
      <c r="DW97" s="183" t="e">
        <f t="shared" ca="1" si="67"/>
        <v>#NAME?</v>
      </c>
      <c r="DX97" s="207"/>
      <c r="DY97" s="190" t="e">
        <f t="shared" ca="1" si="68"/>
        <v>#NAME?</v>
      </c>
      <c r="DZ97" s="191" t="str">
        <f t="shared" si="190"/>
        <v/>
      </c>
      <c r="EA97" s="191" t="str">
        <f t="shared" si="191"/>
        <v/>
      </c>
      <c r="EB97" s="191" t="str">
        <f t="shared" si="192"/>
        <v/>
      </c>
      <c r="EC97" s="208" t="e">
        <f t="shared" ca="1" si="72"/>
        <v>#NAME?</v>
      </c>
      <c r="ED97" s="36" t="str">
        <f t="shared" si="73"/>
        <v>Equity - Common</v>
      </c>
      <c r="EE97" s="193">
        <f>COUNTIF($ED$2:$ED$92, ED97)/(COUNTIF($ED$2:$ED$92, "&lt;&gt;""") - COUNTIF($ED$2:$ED$92, ""))</f>
        <v>0.32222222222222224</v>
      </c>
      <c r="EF97" s="36" t="str">
        <f t="shared" si="74"/>
        <v>Early</v>
      </c>
      <c r="EG97" s="207"/>
      <c r="EH97" s="194" t="e">
        <f t="shared" ca="1" si="75"/>
        <v>#NAME?</v>
      </c>
      <c r="EI97" s="194" t="e">
        <f t="shared" ca="1" si="76"/>
        <v>#NAME?</v>
      </c>
      <c r="EJ97" s="209" t="e">
        <f t="shared" ca="1" si="77"/>
        <v>#NAME?</v>
      </c>
      <c r="EK97" s="208" t="e">
        <f t="shared" ca="1" si="193"/>
        <v>#NAME?</v>
      </c>
      <c r="EL97" s="36" t="str">
        <f t="shared" si="79"/>
        <v>No</v>
      </c>
      <c r="EM97" s="207"/>
      <c r="EN97" s="192">
        <f t="shared" si="194"/>
        <v>1.3809523809523809</v>
      </c>
      <c r="EO97" s="192">
        <f t="shared" si="195"/>
        <v>1</v>
      </c>
      <c r="EP97" s="209">
        <f t="shared" si="82"/>
        <v>2.3809523809523809</v>
      </c>
      <c r="EQ97" s="210">
        <f t="shared" si="196"/>
        <v>1.2990654205607477</v>
      </c>
      <c r="ER97" s="36" t="e">
        <f t="shared" ca="1" si="84"/>
        <v>#NAME?</v>
      </c>
      <c r="ES97" s="40">
        <f ca="1">COUNTIF($ER$2:$ER$92, ER97)/(COUNTIF($ER$2:$ER$92, "&lt;&gt;""") - COUNTIF($ER$2:$ER$92, ""))</f>
        <v>1</v>
      </c>
      <c r="ET97" s="36">
        <f t="shared" si="85"/>
        <v>1</v>
      </c>
      <c r="EU97" s="40">
        <f>COUNTIF($ET$2:$ET$92, ET97)/(COUNTIF($ET$2:$ET$92, "&lt;&gt;""") - COUNTIF($ET$2:$ET$92, ""))</f>
        <v>0.45555555555555555</v>
      </c>
      <c r="EV97" s="36">
        <f t="shared" si="86"/>
        <v>1</v>
      </c>
      <c r="EW97" s="40">
        <f>COUNTIF($EV$2:$EV$92, EV97)/(COUNTIF($EV$2:$EV$92, "&lt;&gt;""") - COUNTIF($EV$2:$EV$92, ""))</f>
        <v>7.7777777777777779E-2</v>
      </c>
      <c r="EX97" s="36" t="str">
        <f t="shared" si="87"/>
        <v>No</v>
      </c>
      <c r="EY97" s="40">
        <f>COUNTIF($EX$2:$EX$92, EX97)/(COUNTIF($EX$2:$EX$92, "&lt;&gt;""") - COUNTIF($EX$2:$EX$92, ""))</f>
        <v>0.72222222222222221</v>
      </c>
      <c r="EZ97" s="36" t="str">
        <f t="shared" ref="EZ97:FB97" si="220">BM97</f>
        <v>No</v>
      </c>
      <c r="FA97" s="36" t="str">
        <f t="shared" si="220"/>
        <v>No</v>
      </c>
      <c r="FB97" s="36" t="str">
        <f t="shared" si="220"/>
        <v>No</v>
      </c>
      <c r="FC97" s="207"/>
      <c r="FD97" s="36" t="str">
        <f t="shared" si="89"/>
        <v>Transactional</v>
      </c>
      <c r="FE97" s="40">
        <f>COUNTIF($FD$2:$FD$92, FD97)/(COUNTIF($FD$2:$FD$92, "&lt;&gt;""") - COUNTIF($FD$2:$FD$92, ""))</f>
        <v>0.6</v>
      </c>
      <c r="FF97" s="36" t="str">
        <f t="shared" si="90"/>
        <v>B2B/B2C</v>
      </c>
      <c r="FG97" s="40">
        <f>COUNTIF($FF$2:$FF$92, FF97)/(COUNTIF($FF$2:$FF$92, "&lt;&gt;""") - COUNTIF($FF$2:$FF$92, ""))</f>
        <v>0.27777777777777779</v>
      </c>
      <c r="FH97" s="36" t="str">
        <f t="shared" si="91"/>
        <v>Low</v>
      </c>
      <c r="FI97" s="40">
        <f>COUNTIF($FH$2:$FH$92, FH97)/(COUNTIF($FH$2:$FH$92, "&lt;&gt;""") - COUNTIF($FH$2:$FH$92, ""))</f>
        <v>0.46666666666666667</v>
      </c>
      <c r="FJ97" s="36" t="str">
        <f t="shared" si="92"/>
        <v>High</v>
      </c>
      <c r="FK97" s="40">
        <f>COUNTIF($FJ$2:$FJ$92, FJ97)/(COUNTIF($FJ$2:$FJ$92, "&lt;&gt;""") - COUNTIF($FJ$2:$FJ$92, ""))</f>
        <v>0.58888888888888891</v>
      </c>
      <c r="FL97" s="207"/>
      <c r="FM97" s="192">
        <f t="shared" si="93"/>
        <v>1</v>
      </c>
      <c r="FN97" s="192" t="e">
        <f t="shared" ca="1" si="94"/>
        <v>#NAME?</v>
      </c>
      <c r="FO97" s="192" t="e">
        <f t="shared" ca="1" si="95"/>
        <v>#NAME?</v>
      </c>
      <c r="FP97" s="192" t="e">
        <f t="shared" ca="1" si="96"/>
        <v>#NAME?</v>
      </c>
      <c r="FQ97" s="209" t="e">
        <f t="shared" ca="1" si="97"/>
        <v>#NAME?</v>
      </c>
      <c r="FR97" s="208" t="e">
        <f t="shared" ca="1" si="198"/>
        <v>#NAME?</v>
      </c>
      <c r="FS97" s="36" t="str">
        <f t="shared" si="99"/>
        <v>Pre-Product</v>
      </c>
      <c r="FT97" s="196">
        <f>COUNTIF($FS$2:$FS$92, FS97)/(COUNTIF($FS$2:$FS$92, "&lt;&gt;""") - COUNTIF($FZ$2:$FZ$92, ""))</f>
        <v>0.22222222222222221</v>
      </c>
      <c r="FU97" s="207"/>
      <c r="FV97" s="192" t="e">
        <f t="shared" ca="1" si="100"/>
        <v>#NAME?</v>
      </c>
      <c r="FW97" s="197" t="e">
        <f t="shared" ca="1" si="101"/>
        <v>#NAME?</v>
      </c>
      <c r="FX97" s="209" t="e">
        <f t="shared" ca="1" si="102"/>
        <v>#NAME?</v>
      </c>
      <c r="FY97" s="211" t="e">
        <f t="shared" ca="1" si="199"/>
        <v>#NAME?</v>
      </c>
      <c r="FZ97" s="36" t="str">
        <f t="shared" si="104"/>
        <v>No</v>
      </c>
      <c r="GA97" s="196">
        <f>COUNTIF($FZ$2:$FZ$92, FZ97)/(COUNTIF($FZ$2:$FZ$92, "&lt;&gt;""") - COUNTIF($FZ$2:$FZ$92, ""))</f>
        <v>0.76666666666666672</v>
      </c>
      <c r="GB97" s="196" t="str">
        <f t="shared" si="105"/>
        <v>Low</v>
      </c>
      <c r="GC97" s="196">
        <f>COUNTIF($GB$2:$GB$92, GB97)/(COUNTIF($GB$2:$GB$92, "&lt;&gt;""") - COUNTIF($GB$2:$GB$92, ""))</f>
        <v>0.55555555555555558</v>
      </c>
      <c r="GD97" s="196" t="str">
        <f t="shared" si="106"/>
        <v>High</v>
      </c>
      <c r="GE97" s="196">
        <f>COUNTIF($GD$2:$GD$92, GD97)/(COUNTIF($GD$2:$GD$92, "&lt;&gt;""") - COUNTIF($GD$2:$GD$92, ""))</f>
        <v>0.8</v>
      </c>
      <c r="GF97" s="207"/>
      <c r="GG97" s="36"/>
      <c r="GH97" s="209" t="e">
        <f t="shared" ca="1" si="107"/>
        <v>#NAME?</v>
      </c>
      <c r="GI97" s="212" t="e">
        <f t="shared" ca="1" si="200"/>
        <v>#NAME?</v>
      </c>
    </row>
    <row r="98" spans="1:191" ht="15.75" customHeight="1">
      <c r="A98" s="174"/>
      <c r="B98" s="174" t="s">
        <v>433</v>
      </c>
      <c r="C98" s="238">
        <v>1779318</v>
      </c>
      <c r="D98" s="244" t="s">
        <v>1111</v>
      </c>
      <c r="E98" s="254">
        <v>43885.436111111114</v>
      </c>
      <c r="F98" s="239" t="s">
        <v>329</v>
      </c>
      <c r="G98" s="32" t="s">
        <v>1112</v>
      </c>
      <c r="H98" s="32" t="s">
        <v>1113</v>
      </c>
      <c r="I98" s="255">
        <v>43882</v>
      </c>
      <c r="J98" s="247" t="s">
        <v>1114</v>
      </c>
      <c r="K98" s="247" t="s">
        <v>1111</v>
      </c>
      <c r="M98" s="16" t="s">
        <v>343</v>
      </c>
      <c r="N98" s="239" t="s">
        <v>315</v>
      </c>
      <c r="O98" s="239" t="s">
        <v>30</v>
      </c>
      <c r="P98" s="239" t="s">
        <v>174</v>
      </c>
      <c r="Q98" s="239" t="s">
        <v>35</v>
      </c>
      <c r="R98" s="187"/>
      <c r="S98" s="239" t="s">
        <v>269</v>
      </c>
      <c r="T98" s="248"/>
      <c r="U98" s="249"/>
      <c r="V98" s="250"/>
      <c r="W98" s="69">
        <v>10000000</v>
      </c>
      <c r="X98" s="264">
        <v>0.2</v>
      </c>
      <c r="Y98" s="55">
        <f t="shared" si="158"/>
        <v>8000000</v>
      </c>
      <c r="Z98" s="274">
        <f t="shared" si="159"/>
        <v>8000000</v>
      </c>
      <c r="AA98" s="183" t="e">
        <f t="shared" ca="1" si="160"/>
        <v>#NAME?</v>
      </c>
      <c r="AB98" s="239" t="s">
        <v>36</v>
      </c>
      <c r="AC98" s="239" t="s">
        <v>218</v>
      </c>
      <c r="AD98" s="239" t="s">
        <v>180</v>
      </c>
      <c r="AE98" s="239" t="s">
        <v>227</v>
      </c>
      <c r="AF98" s="239" t="s">
        <v>181</v>
      </c>
      <c r="AG98" s="239" t="s">
        <v>181</v>
      </c>
      <c r="AH98" s="239" t="s">
        <v>190</v>
      </c>
      <c r="AI98" s="251"/>
      <c r="AJ98" s="279">
        <v>853609882367</v>
      </c>
      <c r="AK98" s="224" t="e">
        <f t="shared" ca="1" si="161"/>
        <v>#NAME?</v>
      </c>
      <c r="AL98" s="279">
        <v>265000000000</v>
      </c>
      <c r="AM98" s="224" t="e">
        <f t="shared" ca="1" si="162"/>
        <v>#NAME?</v>
      </c>
      <c r="AN98" s="279">
        <v>3.5000000000000003E-2</v>
      </c>
      <c r="AO98" s="185" t="e">
        <f t="shared" ca="1" si="63"/>
        <v>#NAME?</v>
      </c>
      <c r="AP98" s="185" t="s">
        <v>252</v>
      </c>
      <c r="AQ98" s="239" t="s">
        <v>39</v>
      </c>
      <c r="AR98" s="239" t="s">
        <v>181</v>
      </c>
      <c r="AS98" s="239" t="s">
        <v>182</v>
      </c>
      <c r="AT98" s="29" t="s">
        <v>39</v>
      </c>
      <c r="AU98" s="29" t="s">
        <v>39</v>
      </c>
      <c r="AV98" s="239" t="s">
        <v>190</v>
      </c>
      <c r="AW98" s="239" t="s">
        <v>190</v>
      </c>
      <c r="AX98" s="239" t="s">
        <v>227</v>
      </c>
      <c r="AY98" s="239" t="s">
        <v>227</v>
      </c>
      <c r="AZ98" s="251">
        <v>41866</v>
      </c>
      <c r="BA98" s="55" t="e">
        <f t="shared" ca="1" si="163"/>
        <v>#NAME?</v>
      </c>
      <c r="BB98" s="279">
        <v>4175</v>
      </c>
      <c r="BC98" s="280">
        <v>0</v>
      </c>
      <c r="BD98" s="62" t="e">
        <f t="shared" ca="1" si="164"/>
        <v>#NAME?</v>
      </c>
      <c r="BE98" s="277">
        <f t="shared" si="165"/>
        <v>1</v>
      </c>
      <c r="BF98" s="62" t="e">
        <f t="shared" ca="1" si="166"/>
        <v>#NAME?</v>
      </c>
      <c r="BG98" s="239" t="s">
        <v>202</v>
      </c>
      <c r="BH98" s="187"/>
      <c r="BI98" s="239" t="s">
        <v>190</v>
      </c>
      <c r="BJ98" s="239">
        <v>0</v>
      </c>
      <c r="BK98" s="279">
        <v>4</v>
      </c>
      <c r="BL98" s="239" t="s">
        <v>227</v>
      </c>
      <c r="BM98" s="239" t="s">
        <v>190</v>
      </c>
      <c r="BN98" s="239" t="s">
        <v>227</v>
      </c>
      <c r="BO98" s="239" t="s">
        <v>190</v>
      </c>
      <c r="BP98" s="238">
        <v>7</v>
      </c>
      <c r="BQ98" s="238">
        <v>5</v>
      </c>
      <c r="BR98" s="238">
        <v>0</v>
      </c>
      <c r="BS98" s="238">
        <v>4</v>
      </c>
      <c r="BT98" s="205"/>
      <c r="BU98" s="16">
        <v>16</v>
      </c>
      <c r="BV98" s="16">
        <v>0</v>
      </c>
      <c r="BW98" s="16">
        <v>36</v>
      </c>
      <c r="BX98" s="16" t="s">
        <v>190</v>
      </c>
      <c r="BY98" s="205"/>
      <c r="BZ98" s="16">
        <v>2</v>
      </c>
      <c r="CA98" s="16">
        <v>0</v>
      </c>
      <c r="CB98" s="16">
        <v>47</v>
      </c>
      <c r="CC98" s="16" t="s">
        <v>190</v>
      </c>
      <c r="CD98" s="205"/>
      <c r="CE98" s="16">
        <v>2</v>
      </c>
      <c r="CF98" s="16">
        <v>0</v>
      </c>
      <c r="CG98" s="16">
        <v>34</v>
      </c>
      <c r="CH98" s="16" t="s">
        <v>190</v>
      </c>
      <c r="CI98" s="205"/>
      <c r="CJ98" s="16">
        <v>4</v>
      </c>
      <c r="CK98" s="16">
        <v>0</v>
      </c>
      <c r="CL98" s="16">
        <v>40</v>
      </c>
      <c r="CM98" s="16" t="s">
        <v>190</v>
      </c>
      <c r="CN98" s="205"/>
      <c r="CS98" s="205"/>
      <c r="CX98" s="205"/>
      <c r="DC98" s="205"/>
      <c r="DH98" s="205"/>
      <c r="DM98" s="205"/>
      <c r="DN98" s="205"/>
      <c r="DO98" s="205"/>
      <c r="DQ98" s="206"/>
      <c r="DR98" s="188">
        <f t="shared" si="64"/>
        <v>6</v>
      </c>
      <c r="DS98" s="188"/>
      <c r="DT98" s="189">
        <f t="shared" si="65"/>
        <v>0</v>
      </c>
      <c r="DU98" s="189"/>
      <c r="DV98" s="188">
        <f t="shared" si="66"/>
        <v>39.25</v>
      </c>
      <c r="DW98" s="183" t="e">
        <f t="shared" ca="1" si="67"/>
        <v>#NAME?</v>
      </c>
      <c r="DX98" s="207"/>
      <c r="DY98" s="190" t="e">
        <f t="shared" ca="1" si="68"/>
        <v>#NAME?</v>
      </c>
      <c r="DZ98" s="191">
        <f t="shared" si="190"/>
        <v>3.1052631578947367</v>
      </c>
      <c r="EA98" s="191" t="str">
        <f t="shared" si="191"/>
        <v/>
      </c>
      <c r="EB98" s="191" t="str">
        <f t="shared" si="192"/>
        <v/>
      </c>
      <c r="EC98" s="208" t="e">
        <f t="shared" ca="1" si="72"/>
        <v>#NAME?</v>
      </c>
      <c r="ED98" s="36" t="str">
        <f t="shared" si="73"/>
        <v>SAFE</v>
      </c>
      <c r="EE98" s="193">
        <f>COUNTIF($ED$2:$ED$92, ED98)/(COUNTIF($ED$2:$ED$92, "&lt;&gt;""") - COUNTIF($ED$2:$ED$92, ""))</f>
        <v>0.37777777777777777</v>
      </c>
      <c r="EF98" s="36" t="str">
        <f t="shared" si="74"/>
        <v>Early</v>
      </c>
      <c r="EG98" s="207"/>
      <c r="EH98" s="194" t="e">
        <f t="shared" ca="1" si="75"/>
        <v>#NAME?</v>
      </c>
      <c r="EI98" s="194" t="e">
        <f t="shared" ca="1" si="76"/>
        <v>#NAME?</v>
      </c>
      <c r="EJ98" s="209" t="e">
        <f t="shared" ca="1" si="77"/>
        <v>#NAME?</v>
      </c>
      <c r="EK98" s="208" t="e">
        <f t="shared" ca="1" si="193"/>
        <v>#NAME?</v>
      </c>
      <c r="EL98" s="36" t="str">
        <f t="shared" si="79"/>
        <v>No</v>
      </c>
      <c r="EM98" s="207"/>
      <c r="EN98" s="192">
        <f t="shared" si="194"/>
        <v>1.5714285714285714</v>
      </c>
      <c r="EO98" s="192">
        <f t="shared" si="195"/>
        <v>1</v>
      </c>
      <c r="EP98" s="209">
        <f t="shared" si="82"/>
        <v>2.5714285714285712</v>
      </c>
      <c r="EQ98" s="210">
        <f t="shared" si="196"/>
        <v>1.4485981308411213</v>
      </c>
      <c r="ER98" s="36" t="e">
        <f t="shared" ca="1" si="84"/>
        <v>#NAME?</v>
      </c>
      <c r="ES98" s="40">
        <f ca="1">COUNTIF($ER$2:$ER$92, ER98)/(COUNTIF($ER$2:$ER$92, "&lt;&gt;""") - COUNTIF($ER$2:$ER$92, ""))</f>
        <v>1</v>
      </c>
      <c r="ET98" s="36">
        <f t="shared" si="85"/>
        <v>4</v>
      </c>
      <c r="EU98" s="40">
        <f>COUNTIF($ET$2:$ET$92, ET98)/(COUNTIF($ET$2:$ET$92, "&lt;&gt;""") - COUNTIF($ET$2:$ET$92, ""))</f>
        <v>4.4444444444444446E-2</v>
      </c>
      <c r="EV98" s="36">
        <f t="shared" si="86"/>
        <v>5</v>
      </c>
      <c r="EW98" s="40">
        <f>COUNTIF($EV$2:$EV$92, EV98)/(COUNTIF($EV$2:$EV$92, "&lt;&gt;""") - COUNTIF($EV$2:$EV$92, ""))</f>
        <v>0.13333333333333333</v>
      </c>
      <c r="EX98" s="36" t="str">
        <f t="shared" si="87"/>
        <v>Yes</v>
      </c>
      <c r="EY98" s="40">
        <f>COUNTIF($EX$2:$EX$92, EX98)/(COUNTIF($EX$2:$EX$92, "&lt;&gt;""") - COUNTIF($EX$2:$EX$92, ""))</f>
        <v>0.27777777777777779</v>
      </c>
      <c r="EZ98" s="36" t="str">
        <f t="shared" ref="EZ98:FB98" si="221">BM98</f>
        <v>No</v>
      </c>
      <c r="FA98" s="36" t="str">
        <f t="shared" si="221"/>
        <v>Yes</v>
      </c>
      <c r="FB98" s="36" t="str">
        <f t="shared" si="221"/>
        <v>No</v>
      </c>
      <c r="FC98" s="207"/>
      <c r="FD98" s="36" t="str">
        <f t="shared" si="89"/>
        <v>Transactional</v>
      </c>
      <c r="FE98" s="40">
        <f>COUNTIF($FD$2:$FD$92, FD98)/(COUNTIF($FD$2:$FD$92, "&lt;&gt;""") - COUNTIF($FD$2:$FD$92, ""))</f>
        <v>0.6</v>
      </c>
      <c r="FF98" s="36" t="str">
        <f t="shared" si="90"/>
        <v>B2B/B2C</v>
      </c>
      <c r="FG98" s="40">
        <f>COUNTIF($FF$2:$FF$92, FF98)/(COUNTIF($FF$2:$FF$92, "&lt;&gt;""") - COUNTIF($FF$2:$FF$92, ""))</f>
        <v>0.27777777777777779</v>
      </c>
      <c r="FH98" s="36" t="str">
        <f t="shared" si="91"/>
        <v>Low</v>
      </c>
      <c r="FI98" s="40">
        <f>COUNTIF($FH$2:$FH$92, FH98)/(COUNTIF($FH$2:$FH$92, "&lt;&gt;""") - COUNTIF($FH$2:$FH$92, ""))</f>
        <v>0.46666666666666667</v>
      </c>
      <c r="FJ98" s="36" t="str">
        <f t="shared" si="92"/>
        <v>Low</v>
      </c>
      <c r="FK98" s="40">
        <f>COUNTIF($FJ$2:$FJ$92, FJ98)/(COUNTIF($FJ$2:$FJ$92, "&lt;&gt;""") - COUNTIF($FJ$2:$FJ$92, ""))</f>
        <v>0.41111111111111109</v>
      </c>
      <c r="FL98" s="207"/>
      <c r="FM98" s="192">
        <f t="shared" si="93"/>
        <v>5</v>
      </c>
      <c r="FN98" s="192" t="e">
        <f t="shared" ca="1" si="94"/>
        <v>#NAME?</v>
      </c>
      <c r="FO98" s="192" t="e">
        <f t="shared" ca="1" si="95"/>
        <v>#NAME?</v>
      </c>
      <c r="FP98" s="192" t="e">
        <f t="shared" ca="1" si="96"/>
        <v>#NAME?</v>
      </c>
      <c r="FQ98" s="209" t="e">
        <f t="shared" ca="1" si="97"/>
        <v>#NAME?</v>
      </c>
      <c r="FR98" s="208" t="e">
        <f t="shared" ca="1" si="198"/>
        <v>#NAME?</v>
      </c>
      <c r="FS98" s="36" t="str">
        <f t="shared" si="99"/>
        <v>Pre-Profit</v>
      </c>
      <c r="FT98" s="196">
        <f>COUNTIF($FS$2:$FS$92, FS98)/(COUNTIF($FS$2:$FS$92, "&lt;&gt;""") - COUNTIF($FZ$2:$FZ$92, ""))</f>
        <v>0.51111111111111107</v>
      </c>
      <c r="FU98" s="207"/>
      <c r="FV98" s="192">
        <f t="shared" si="100"/>
        <v>3</v>
      </c>
      <c r="FW98" s="197" t="e">
        <f t="shared" ca="1" si="101"/>
        <v>#NAME?</v>
      </c>
      <c r="FX98" s="209" t="e">
        <f t="shared" ca="1" si="102"/>
        <v>#NAME?</v>
      </c>
      <c r="FY98" s="211" t="e">
        <f t="shared" ca="1" si="199"/>
        <v>#NAME?</v>
      </c>
      <c r="FZ98" s="36" t="str">
        <f t="shared" si="104"/>
        <v>No</v>
      </c>
      <c r="GA98" s="196">
        <f>COUNTIF($FZ$2:$FZ$92, FZ98)/(COUNTIF($FZ$2:$FZ$92, "&lt;&gt;""") - COUNTIF($FZ$2:$FZ$92, ""))</f>
        <v>0.76666666666666672</v>
      </c>
      <c r="GB98" s="196" t="str">
        <f t="shared" si="105"/>
        <v>High</v>
      </c>
      <c r="GC98" s="196">
        <f>COUNTIF($GB$2:$GB$92, GB98)/(COUNTIF($GB$2:$GB$92, "&lt;&gt;""") - COUNTIF($GB$2:$GB$92, ""))</f>
        <v>0.43333333333333335</v>
      </c>
      <c r="GD98" s="196" t="str">
        <f t="shared" si="106"/>
        <v>High</v>
      </c>
      <c r="GE98" s="196">
        <f>COUNTIF($GD$2:$GD$92, GD98)/(COUNTIF($GD$2:$GD$92, "&lt;&gt;""") - COUNTIF($GD$2:$GD$92, ""))</f>
        <v>0.8</v>
      </c>
      <c r="GF98" s="207"/>
      <c r="GG98" s="36"/>
      <c r="GH98" s="209" t="e">
        <f t="shared" ca="1" si="107"/>
        <v>#NAME?</v>
      </c>
      <c r="GI98" s="212" t="e">
        <f t="shared" ca="1" si="200"/>
        <v>#NAME?</v>
      </c>
    </row>
    <row r="99" spans="1:191" ht="15.75" customHeight="1">
      <c r="A99" s="174"/>
      <c r="B99" s="174" t="s">
        <v>433</v>
      </c>
      <c r="C99" s="238">
        <v>1702255</v>
      </c>
      <c r="D99" s="244" t="s">
        <v>1115</v>
      </c>
      <c r="E99" s="245">
        <v>43885.469444444447</v>
      </c>
      <c r="F99" s="239" t="s">
        <v>337</v>
      </c>
      <c r="G99" s="32" t="s">
        <v>1116</v>
      </c>
      <c r="H99" s="32" t="s">
        <v>1117</v>
      </c>
      <c r="I99" s="246">
        <v>43881</v>
      </c>
      <c r="J99" s="247" t="s">
        <v>1118</v>
      </c>
      <c r="K99" s="247" t="s">
        <v>1115</v>
      </c>
      <c r="M99" s="16" t="s">
        <v>343</v>
      </c>
      <c r="N99" s="239" t="s">
        <v>315</v>
      </c>
      <c r="O99" s="239" t="s">
        <v>30</v>
      </c>
      <c r="P99" s="239" t="s">
        <v>197</v>
      </c>
      <c r="Q99" s="239" t="s">
        <v>35</v>
      </c>
      <c r="R99" s="187"/>
      <c r="S99" s="239" t="s">
        <v>216</v>
      </c>
      <c r="T99" s="248"/>
      <c r="U99" s="249"/>
      <c r="V99" s="69">
        <v>7970000</v>
      </c>
      <c r="W99" s="250"/>
      <c r="X99" s="268"/>
      <c r="Y99" s="55" t="str">
        <f t="shared" si="158"/>
        <v/>
      </c>
      <c r="Z99" s="274">
        <f t="shared" si="159"/>
        <v>7970000</v>
      </c>
      <c r="AA99" s="183" t="e">
        <f t="shared" ca="1" si="160"/>
        <v>#NAME?</v>
      </c>
      <c r="AB99" s="239" t="s">
        <v>36</v>
      </c>
      <c r="AC99" s="239" t="s">
        <v>37</v>
      </c>
      <c r="AD99" s="239" t="s">
        <v>180</v>
      </c>
      <c r="AE99" s="239" t="s">
        <v>227</v>
      </c>
      <c r="AF99" s="239" t="s">
        <v>181</v>
      </c>
      <c r="AG99" s="239" t="s">
        <v>181</v>
      </c>
      <c r="AH99" s="239" t="s">
        <v>190</v>
      </c>
      <c r="AI99" s="251"/>
      <c r="AJ99" s="279">
        <v>853609882367</v>
      </c>
      <c r="AK99" s="224" t="e">
        <f t="shared" ca="1" si="161"/>
        <v>#NAME?</v>
      </c>
      <c r="AL99" s="279">
        <v>93848952414</v>
      </c>
      <c r="AM99" s="224" t="e">
        <f t="shared" ca="1" si="162"/>
        <v>#NAME?</v>
      </c>
      <c r="AN99" s="279">
        <v>0.16200000000000001</v>
      </c>
      <c r="AO99" s="185" t="e">
        <f t="shared" ca="1" si="63"/>
        <v>#NAME?</v>
      </c>
      <c r="AP99" s="185" t="s">
        <v>264</v>
      </c>
      <c r="AQ99" s="239" t="s">
        <v>39</v>
      </c>
      <c r="AR99" s="239" t="s">
        <v>39</v>
      </c>
      <c r="AS99" s="239" t="s">
        <v>182</v>
      </c>
      <c r="AT99" s="29" t="s">
        <v>39</v>
      </c>
      <c r="AU99" s="29" t="s">
        <v>39</v>
      </c>
      <c r="AV99" s="239" t="s">
        <v>190</v>
      </c>
      <c r="AW99" s="239" t="s">
        <v>227</v>
      </c>
      <c r="AX99" s="239" t="s">
        <v>227</v>
      </c>
      <c r="AY99" s="239" t="s">
        <v>190</v>
      </c>
      <c r="AZ99" s="251">
        <v>0</v>
      </c>
      <c r="BA99" s="55" t="e">
        <f t="shared" ca="1" si="163"/>
        <v>#NAME?</v>
      </c>
      <c r="BB99" s="279">
        <v>52226</v>
      </c>
      <c r="BC99" s="280">
        <v>0</v>
      </c>
      <c r="BD99" s="62" t="e">
        <f t="shared" ca="1" si="164"/>
        <v>#NAME?</v>
      </c>
      <c r="BE99" s="277">
        <f t="shared" si="165"/>
        <v>1</v>
      </c>
      <c r="BF99" s="62" t="e">
        <f t="shared" ca="1" si="166"/>
        <v>#NAME?</v>
      </c>
      <c r="BG99" s="239" t="s">
        <v>183</v>
      </c>
      <c r="BH99" s="187"/>
      <c r="BI99" s="239" t="s">
        <v>227</v>
      </c>
      <c r="BJ99" s="239">
        <v>4</v>
      </c>
      <c r="BK99" s="279">
        <v>1</v>
      </c>
      <c r="BL99" s="176" t="s">
        <v>190</v>
      </c>
      <c r="BM99" s="239" t="s">
        <v>190</v>
      </c>
      <c r="BN99" s="239" t="s">
        <v>190</v>
      </c>
      <c r="BO99" s="239" t="s">
        <v>190</v>
      </c>
      <c r="BP99" s="238">
        <v>1</v>
      </c>
      <c r="BQ99" s="238">
        <v>10</v>
      </c>
      <c r="BR99" s="238">
        <v>4</v>
      </c>
      <c r="BS99" s="238">
        <v>0</v>
      </c>
      <c r="BT99" s="205"/>
      <c r="BU99" s="16">
        <v>5</v>
      </c>
      <c r="BV99" s="16">
        <v>0</v>
      </c>
      <c r="BW99" s="16">
        <v>53</v>
      </c>
      <c r="BX99" s="16" t="s">
        <v>190</v>
      </c>
      <c r="BY99" s="205"/>
      <c r="CD99" s="205"/>
      <c r="CI99" s="205"/>
      <c r="CN99" s="205"/>
      <c r="CS99" s="205"/>
      <c r="CX99" s="205"/>
      <c r="DC99" s="205"/>
      <c r="DH99" s="205"/>
      <c r="DM99" s="205"/>
      <c r="DN99" s="205"/>
      <c r="DO99" s="205"/>
      <c r="DQ99" s="206"/>
      <c r="DR99" s="188">
        <f t="shared" si="64"/>
        <v>5</v>
      </c>
      <c r="DS99" s="188"/>
      <c r="DT99" s="189">
        <f t="shared" si="65"/>
        <v>0</v>
      </c>
      <c r="DU99" s="189"/>
      <c r="DV99" s="188">
        <f t="shared" si="66"/>
        <v>53</v>
      </c>
      <c r="DW99" s="183" t="e">
        <f t="shared" ca="1" si="67"/>
        <v>#NAME?</v>
      </c>
      <c r="DX99" s="207"/>
      <c r="DY99" s="190" t="e">
        <f t="shared" ca="1" si="68"/>
        <v>#NAME?</v>
      </c>
      <c r="DZ99" s="191" t="str">
        <f t="shared" si="190"/>
        <v/>
      </c>
      <c r="EA99" s="191" t="str">
        <f t="shared" si="191"/>
        <v/>
      </c>
      <c r="EB99" s="191" t="str">
        <f t="shared" si="192"/>
        <v/>
      </c>
      <c r="EC99" s="208" t="e">
        <f t="shared" ca="1" si="72"/>
        <v>#NAME?</v>
      </c>
      <c r="ED99" s="36" t="str">
        <f t="shared" si="73"/>
        <v>Equity - Common</v>
      </c>
      <c r="EE99" s="193">
        <f>COUNTIF($ED$2:$ED$92, ED99)/(COUNTIF($ED$2:$ED$92, "&lt;&gt;""") - COUNTIF($ED$2:$ED$92, ""))</f>
        <v>0.32222222222222224</v>
      </c>
      <c r="EF99" s="36" t="str">
        <f t="shared" si="74"/>
        <v>Early</v>
      </c>
      <c r="EG99" s="207"/>
      <c r="EH99" s="194" t="e">
        <f t="shared" ca="1" si="75"/>
        <v>#NAME?</v>
      </c>
      <c r="EI99" s="194" t="e">
        <f t="shared" ca="1" si="76"/>
        <v>#NAME?</v>
      </c>
      <c r="EJ99" s="209" t="e">
        <f t="shared" ca="1" si="77"/>
        <v>#NAME?</v>
      </c>
      <c r="EK99" s="208" t="e">
        <f t="shared" ca="1" si="193"/>
        <v>#NAME?</v>
      </c>
      <c r="EL99" s="36" t="str">
        <f t="shared" si="79"/>
        <v>No</v>
      </c>
      <c r="EM99" s="207"/>
      <c r="EN99" s="192">
        <f t="shared" si="194"/>
        <v>1.4761904761904763</v>
      </c>
      <c r="EO99" s="192">
        <f t="shared" si="195"/>
        <v>1</v>
      </c>
      <c r="EP99" s="209">
        <f t="shared" si="82"/>
        <v>2.4761904761904763</v>
      </c>
      <c r="EQ99" s="210">
        <f t="shared" si="196"/>
        <v>1.3738317757009346</v>
      </c>
      <c r="ER99" s="36" t="e">
        <f t="shared" ca="1" si="84"/>
        <v>#NAME?</v>
      </c>
      <c r="ES99" s="40">
        <f ca="1">COUNTIF($ER$2:$ER$92, ER99)/(COUNTIF($ER$2:$ER$92, "&lt;&gt;""") - COUNTIF($ER$2:$ER$92, ""))</f>
        <v>1</v>
      </c>
      <c r="ET99" s="36">
        <f t="shared" si="85"/>
        <v>1</v>
      </c>
      <c r="EU99" s="40">
        <f>COUNTIF($ET$2:$ET$92, ET99)/(COUNTIF($ET$2:$ET$92, "&lt;&gt;""") - COUNTIF($ET$2:$ET$92, ""))</f>
        <v>0.45555555555555555</v>
      </c>
      <c r="EV99" s="36">
        <f t="shared" si="86"/>
        <v>10</v>
      </c>
      <c r="EW99" s="40">
        <f>COUNTIF($EV$2:$EV$92, EV99)/(COUNTIF($EV$2:$EV$92, "&lt;&gt;""") - COUNTIF($EV$2:$EV$92, ""))</f>
        <v>2.2222222222222223E-2</v>
      </c>
      <c r="EX99" s="36" t="str">
        <f t="shared" si="87"/>
        <v>No</v>
      </c>
      <c r="EY99" s="40">
        <f>COUNTIF($EX$2:$EX$92, EX99)/(COUNTIF($EX$2:$EX$92, "&lt;&gt;""") - COUNTIF($EX$2:$EX$92, ""))</f>
        <v>0.72222222222222221</v>
      </c>
      <c r="EZ99" s="36" t="str">
        <f t="shared" ref="EZ99:FB99" si="222">BM99</f>
        <v>No</v>
      </c>
      <c r="FA99" s="36" t="str">
        <f t="shared" si="222"/>
        <v>No</v>
      </c>
      <c r="FB99" s="36" t="str">
        <f t="shared" si="222"/>
        <v>No</v>
      </c>
      <c r="FC99" s="207"/>
      <c r="FD99" s="36" t="str">
        <f t="shared" si="89"/>
        <v>Transactional</v>
      </c>
      <c r="FE99" s="40">
        <f>COUNTIF($FD$2:$FD$92, FD99)/(COUNTIF($FD$2:$FD$92, "&lt;&gt;""") - COUNTIF($FD$2:$FD$92, ""))</f>
        <v>0.6</v>
      </c>
      <c r="FF99" s="36" t="str">
        <f t="shared" si="90"/>
        <v>B2B</v>
      </c>
      <c r="FG99" s="40">
        <f>COUNTIF($FF$2:$FF$92, FF99)/(COUNTIF($FF$2:$FF$92, "&lt;&gt;""") - COUNTIF($FF$2:$FF$92, ""))</f>
        <v>0.24444444444444444</v>
      </c>
      <c r="FH99" s="36" t="str">
        <f t="shared" si="91"/>
        <v>Low</v>
      </c>
      <c r="FI99" s="40">
        <f>COUNTIF($FH$2:$FH$92, FH99)/(COUNTIF($FH$2:$FH$92, "&lt;&gt;""") - COUNTIF($FH$2:$FH$92, ""))</f>
        <v>0.46666666666666667</v>
      </c>
      <c r="FJ99" s="36" t="str">
        <f t="shared" si="92"/>
        <v>Low</v>
      </c>
      <c r="FK99" s="40">
        <f>COUNTIF($FJ$2:$FJ$92, FJ99)/(COUNTIF($FJ$2:$FJ$92, "&lt;&gt;""") - COUNTIF($FJ$2:$FJ$92, ""))</f>
        <v>0.41111111111111109</v>
      </c>
      <c r="FL99" s="207"/>
      <c r="FM99" s="192">
        <f t="shared" si="93"/>
        <v>3</v>
      </c>
      <c r="FN99" s="192" t="e">
        <f t="shared" ca="1" si="94"/>
        <v>#NAME?</v>
      </c>
      <c r="FO99" s="192" t="e">
        <f t="shared" ca="1" si="95"/>
        <v>#NAME?</v>
      </c>
      <c r="FP99" s="192" t="e">
        <f t="shared" ca="1" si="96"/>
        <v>#NAME?</v>
      </c>
      <c r="FQ99" s="209" t="e">
        <f t="shared" ca="1" si="97"/>
        <v>#NAME?</v>
      </c>
      <c r="FR99" s="208" t="e">
        <f t="shared" ca="1" si="198"/>
        <v>#NAME?</v>
      </c>
      <c r="FS99" s="36" t="str">
        <f t="shared" si="99"/>
        <v>Pre-Revenue</v>
      </c>
      <c r="FT99" s="196">
        <f>COUNTIF($FS$2:$FS$92, FS99)/(COUNTIF($FS$2:$FS$92, "&lt;&gt;""") - COUNTIF($FZ$2:$FZ$92, ""))</f>
        <v>0.2</v>
      </c>
      <c r="FU99" s="207"/>
      <c r="FV99" s="192" t="e">
        <f t="shared" ca="1" si="100"/>
        <v>#NAME?</v>
      </c>
      <c r="FW99" s="197" t="e">
        <f t="shared" ca="1" si="101"/>
        <v>#NAME?</v>
      </c>
      <c r="FX99" s="209" t="e">
        <f t="shared" ca="1" si="102"/>
        <v>#NAME?</v>
      </c>
      <c r="FY99" s="211" t="e">
        <f t="shared" ca="1" si="199"/>
        <v>#NAME?</v>
      </c>
      <c r="FZ99" s="36" t="str">
        <f t="shared" si="104"/>
        <v>Yes</v>
      </c>
      <c r="GA99" s="196">
        <f>COUNTIF($FZ$2:$FZ$92, FZ99)/(COUNTIF($FZ$2:$FZ$92, "&lt;&gt;""") - COUNTIF($FZ$2:$FZ$92, ""))</f>
        <v>0.23333333333333334</v>
      </c>
      <c r="GB99" s="196" t="str">
        <f t="shared" si="105"/>
        <v>High</v>
      </c>
      <c r="GC99" s="196">
        <f>COUNTIF($GB$2:$GB$92, GB99)/(COUNTIF($GB$2:$GB$92, "&lt;&gt;""") - COUNTIF($GB$2:$GB$92, ""))</f>
        <v>0.43333333333333335</v>
      </c>
      <c r="GD99" s="196" t="str">
        <f t="shared" si="106"/>
        <v>High</v>
      </c>
      <c r="GE99" s="196">
        <f>COUNTIF($GD$2:$GD$92, GD99)/(COUNTIF($GD$2:$GD$92, "&lt;&gt;""") - COUNTIF($GD$2:$GD$92, ""))</f>
        <v>0.8</v>
      </c>
      <c r="GF99" s="207"/>
      <c r="GG99" s="36"/>
      <c r="GH99" s="209" t="e">
        <f t="shared" ca="1" si="107"/>
        <v>#NAME?</v>
      </c>
      <c r="GI99" s="212" t="e">
        <f t="shared" ca="1" si="200"/>
        <v>#NAME?</v>
      </c>
    </row>
    <row r="100" spans="1:191" ht="15.75" customHeight="1">
      <c r="A100" s="174"/>
      <c r="B100" s="174" t="s">
        <v>433</v>
      </c>
      <c r="C100" s="238">
        <v>1800204</v>
      </c>
      <c r="D100" s="244" t="s">
        <v>1119</v>
      </c>
      <c r="E100" s="245">
        <v>43885.474999999999</v>
      </c>
      <c r="F100" s="239" t="s">
        <v>344</v>
      </c>
      <c r="G100" s="32" t="s">
        <v>1120</v>
      </c>
      <c r="H100" s="32" t="s">
        <v>1121</v>
      </c>
      <c r="I100" s="255">
        <v>43852</v>
      </c>
      <c r="J100" s="247" t="s">
        <v>1122</v>
      </c>
      <c r="K100" s="247" t="s">
        <v>1119</v>
      </c>
      <c r="M100" s="29" t="s">
        <v>243</v>
      </c>
      <c r="N100" s="239" t="s">
        <v>213</v>
      </c>
      <c r="O100" s="239" t="s">
        <v>30</v>
      </c>
      <c r="P100" s="239" t="s">
        <v>174</v>
      </c>
      <c r="Q100" s="239" t="s">
        <v>35</v>
      </c>
      <c r="R100" s="187"/>
      <c r="S100" s="239" t="s">
        <v>232</v>
      </c>
      <c r="T100" s="248"/>
      <c r="U100" s="249"/>
      <c r="V100" s="69">
        <v>5000000</v>
      </c>
      <c r="W100" s="250"/>
      <c r="X100" s="264"/>
      <c r="Y100" s="55" t="str">
        <f t="shared" si="158"/>
        <v/>
      </c>
      <c r="Z100" s="274">
        <f t="shared" si="159"/>
        <v>5000000</v>
      </c>
      <c r="AA100" s="183" t="e">
        <f t="shared" ca="1" si="160"/>
        <v>#NAME?</v>
      </c>
      <c r="AB100" s="239" t="s">
        <v>36</v>
      </c>
      <c r="AC100" s="239" t="s">
        <v>218</v>
      </c>
      <c r="AD100" s="239" t="s">
        <v>38</v>
      </c>
      <c r="AE100" s="239" t="s">
        <v>190</v>
      </c>
      <c r="AF100" s="239" t="s">
        <v>181</v>
      </c>
      <c r="AG100" s="239" t="s">
        <v>181</v>
      </c>
      <c r="AH100" s="239" t="s">
        <v>190</v>
      </c>
      <c r="AI100" s="251"/>
      <c r="AJ100" s="279">
        <v>31200000000</v>
      </c>
      <c r="AK100" s="224" t="e">
        <f t="shared" ca="1" si="161"/>
        <v>#NAME?</v>
      </c>
      <c r="AL100" s="279">
        <v>31200000000</v>
      </c>
      <c r="AM100" s="224" t="e">
        <f t="shared" ca="1" si="162"/>
        <v>#NAME?</v>
      </c>
      <c r="AN100" s="279">
        <v>0.04</v>
      </c>
      <c r="AO100" s="185" t="e">
        <f t="shared" ca="1" si="63"/>
        <v>#NAME?</v>
      </c>
      <c r="AP100" s="185" t="s">
        <v>264</v>
      </c>
      <c r="AQ100" s="239" t="s">
        <v>39</v>
      </c>
      <c r="AR100" s="239" t="s">
        <v>181</v>
      </c>
      <c r="AS100" s="239" t="s">
        <v>182</v>
      </c>
      <c r="AT100" s="29" t="s">
        <v>181</v>
      </c>
      <c r="AU100" s="29" t="s">
        <v>39</v>
      </c>
      <c r="AV100" s="239" t="s">
        <v>227</v>
      </c>
      <c r="AW100" s="239" t="s">
        <v>190</v>
      </c>
      <c r="AX100" s="239" t="s">
        <v>227</v>
      </c>
      <c r="AY100" s="239" t="s">
        <v>227</v>
      </c>
      <c r="AZ100" s="251">
        <v>10623</v>
      </c>
      <c r="BA100" s="55" t="e">
        <f t="shared" ca="1" si="163"/>
        <v>#NAME?</v>
      </c>
      <c r="BB100" s="279">
        <v>3380</v>
      </c>
      <c r="BC100" s="279">
        <v>0</v>
      </c>
      <c r="BD100" s="62" t="e">
        <f t="shared" ca="1" si="164"/>
        <v>#NAME?</v>
      </c>
      <c r="BE100" s="277">
        <f t="shared" si="165"/>
        <v>1</v>
      </c>
      <c r="BF100" s="62" t="e">
        <f t="shared" ca="1" si="166"/>
        <v>#NAME?</v>
      </c>
      <c r="BG100" s="239" t="s">
        <v>202</v>
      </c>
      <c r="BH100" s="187"/>
      <c r="BI100" s="239" t="s">
        <v>190</v>
      </c>
      <c r="BJ100" s="239">
        <v>0</v>
      </c>
      <c r="BK100" s="279">
        <v>1</v>
      </c>
      <c r="BL100" s="176" t="s">
        <v>190</v>
      </c>
      <c r="BM100" s="239" t="s">
        <v>190</v>
      </c>
      <c r="BN100" s="239" t="s">
        <v>190</v>
      </c>
      <c r="BO100" s="239" t="s">
        <v>190</v>
      </c>
      <c r="BP100" s="238">
        <v>2</v>
      </c>
      <c r="BQ100" s="238">
        <v>3</v>
      </c>
      <c r="BR100" s="238">
        <v>1</v>
      </c>
      <c r="BS100" s="238">
        <v>0</v>
      </c>
      <c r="BT100" s="205"/>
      <c r="BU100" s="16">
        <v>9</v>
      </c>
      <c r="BV100" s="16">
        <v>0</v>
      </c>
      <c r="BW100" s="16">
        <v>55</v>
      </c>
      <c r="BX100" s="16" t="s">
        <v>190</v>
      </c>
      <c r="BY100" s="205"/>
      <c r="CD100" s="205"/>
      <c r="CI100" s="205"/>
      <c r="CN100" s="205"/>
      <c r="CS100" s="205"/>
      <c r="CX100" s="205"/>
      <c r="DC100" s="205"/>
      <c r="DH100" s="205"/>
      <c r="DM100" s="205"/>
      <c r="DN100" s="205"/>
      <c r="DO100" s="205"/>
      <c r="DQ100" s="206"/>
      <c r="DR100" s="188">
        <f t="shared" si="64"/>
        <v>9</v>
      </c>
      <c r="DS100" s="188"/>
      <c r="DT100" s="189">
        <f t="shared" si="65"/>
        <v>0</v>
      </c>
      <c r="DU100" s="189"/>
      <c r="DV100" s="188">
        <f t="shared" si="66"/>
        <v>55</v>
      </c>
      <c r="DW100" s="183" t="e">
        <f t="shared" ca="1" si="67"/>
        <v>#NAME?</v>
      </c>
      <c r="DX100" s="207"/>
      <c r="DY100" s="190" t="e">
        <f t="shared" ca="1" si="68"/>
        <v>#NAME?</v>
      </c>
      <c r="DZ100" s="191" t="str">
        <f t="shared" si="190"/>
        <v/>
      </c>
      <c r="EA100" s="191" t="str">
        <f t="shared" si="191"/>
        <v/>
      </c>
      <c r="EB100" s="191" t="str">
        <f t="shared" si="192"/>
        <v/>
      </c>
      <c r="EC100" s="208" t="e">
        <f t="shared" ca="1" si="72"/>
        <v>#NAME?</v>
      </c>
      <c r="ED100" s="36" t="str">
        <f t="shared" si="73"/>
        <v>Equity - Preferred</v>
      </c>
      <c r="EE100" s="193">
        <f>COUNTIF($ED$2:$ED$92, ED100)/(COUNTIF($ED$2:$ED$92, "&lt;&gt;""") - COUNTIF($ED$2:$ED$92, ""))</f>
        <v>6.6666666666666666E-2</v>
      </c>
      <c r="EF100" s="36" t="str">
        <f t="shared" si="74"/>
        <v>Early</v>
      </c>
      <c r="EG100" s="207"/>
      <c r="EH100" s="194" t="e">
        <f t="shared" ca="1" si="75"/>
        <v>#NAME?</v>
      </c>
      <c r="EI100" s="194" t="e">
        <f t="shared" ca="1" si="76"/>
        <v>#NAME?</v>
      </c>
      <c r="EJ100" s="209" t="e">
        <f t="shared" ca="1" si="77"/>
        <v>#NAME?</v>
      </c>
      <c r="EK100" s="208" t="e">
        <f t="shared" ca="1" si="193"/>
        <v>#NAME?</v>
      </c>
      <c r="EL100" s="36" t="str">
        <f t="shared" si="79"/>
        <v>Yes</v>
      </c>
      <c r="EM100" s="207"/>
      <c r="EN100" s="192">
        <f t="shared" si="194"/>
        <v>1.8571428571428572</v>
      </c>
      <c r="EO100" s="192">
        <f t="shared" si="195"/>
        <v>1</v>
      </c>
      <c r="EP100" s="209">
        <f t="shared" si="82"/>
        <v>2.8571428571428572</v>
      </c>
      <c r="EQ100" s="210">
        <f t="shared" si="196"/>
        <v>1.6728971962616823</v>
      </c>
      <c r="ER100" s="36" t="e">
        <f t="shared" ca="1" si="84"/>
        <v>#NAME?</v>
      </c>
      <c r="ES100" s="40">
        <f ca="1">COUNTIF($ER$2:$ER$92, ER100)/(COUNTIF($ER$2:$ER$92, "&lt;&gt;""") - COUNTIF($ER$2:$ER$92, ""))</f>
        <v>1</v>
      </c>
      <c r="ET100" s="36">
        <f t="shared" si="85"/>
        <v>1</v>
      </c>
      <c r="EU100" s="40">
        <f>COUNTIF($ET$2:$ET$92, ET100)/(COUNTIF($ET$2:$ET$92, "&lt;&gt;""") - COUNTIF($ET$2:$ET$92, ""))</f>
        <v>0.45555555555555555</v>
      </c>
      <c r="EV100" s="36">
        <f t="shared" si="86"/>
        <v>3</v>
      </c>
      <c r="EW100" s="40">
        <f>COUNTIF($EV$2:$EV$92, EV100)/(COUNTIF($EV$2:$EV$92, "&lt;&gt;""") - COUNTIF($EV$2:$EV$92, ""))</f>
        <v>8.8888888888888892E-2</v>
      </c>
      <c r="EX100" s="36" t="str">
        <f t="shared" si="87"/>
        <v>No</v>
      </c>
      <c r="EY100" s="40">
        <f>COUNTIF($EX$2:$EX$92, EX100)/(COUNTIF($EX$2:$EX$92, "&lt;&gt;""") - COUNTIF($EX$2:$EX$92, ""))</f>
        <v>0.72222222222222221</v>
      </c>
      <c r="EZ100" s="36" t="str">
        <f t="shared" ref="EZ100:FB100" si="223">BM100</f>
        <v>No</v>
      </c>
      <c r="FA100" s="36" t="str">
        <f t="shared" si="223"/>
        <v>No</v>
      </c>
      <c r="FB100" s="36" t="str">
        <f t="shared" si="223"/>
        <v>No</v>
      </c>
      <c r="FC100" s="207"/>
      <c r="FD100" s="36" t="str">
        <f t="shared" si="89"/>
        <v>Transactional</v>
      </c>
      <c r="FE100" s="40">
        <f>COUNTIF($FD$2:$FD$92, FD100)/(COUNTIF($FD$2:$FD$92, "&lt;&gt;""") - COUNTIF($FD$2:$FD$92, ""))</f>
        <v>0.6</v>
      </c>
      <c r="FF100" s="36" t="str">
        <f t="shared" si="90"/>
        <v>B2B/B2C</v>
      </c>
      <c r="FG100" s="40">
        <f>COUNTIF($FF$2:$FF$92, FF100)/(COUNTIF($FF$2:$FF$92, "&lt;&gt;""") - COUNTIF($FF$2:$FF$92, ""))</f>
        <v>0.27777777777777779</v>
      </c>
      <c r="FH100" s="36" t="str">
        <f t="shared" si="91"/>
        <v>Low</v>
      </c>
      <c r="FI100" s="40">
        <f>COUNTIF($FH$2:$FH$92, FH100)/(COUNTIF($FH$2:$FH$92, "&lt;&gt;""") - COUNTIF($FH$2:$FH$92, ""))</f>
        <v>0.46666666666666667</v>
      </c>
      <c r="FJ100" s="36" t="str">
        <f t="shared" si="92"/>
        <v>Low</v>
      </c>
      <c r="FK100" s="40">
        <f>COUNTIF($FJ$2:$FJ$92, FJ100)/(COUNTIF($FJ$2:$FJ$92, "&lt;&gt;""") - COUNTIF($FJ$2:$FJ$92, ""))</f>
        <v>0.41111111111111109</v>
      </c>
      <c r="FL100" s="207"/>
      <c r="FM100" s="192">
        <f t="shared" si="93"/>
        <v>5</v>
      </c>
      <c r="FN100" s="192" t="e">
        <f t="shared" ca="1" si="94"/>
        <v>#NAME?</v>
      </c>
      <c r="FO100" s="192" t="e">
        <f t="shared" ca="1" si="95"/>
        <v>#NAME?</v>
      </c>
      <c r="FP100" s="192" t="e">
        <f t="shared" ca="1" si="96"/>
        <v>#NAME?</v>
      </c>
      <c r="FQ100" s="209" t="e">
        <f t="shared" ca="1" si="97"/>
        <v>#NAME?</v>
      </c>
      <c r="FR100" s="208" t="e">
        <f t="shared" ca="1" si="198"/>
        <v>#NAME?</v>
      </c>
      <c r="FS100" s="36" t="str">
        <f t="shared" si="99"/>
        <v>Pre-Profit</v>
      </c>
      <c r="FT100" s="196">
        <f>COUNTIF($FS$2:$FS$92, FS100)/(COUNTIF($FS$2:$FS$92, "&lt;&gt;""") - COUNTIF($FZ$2:$FZ$92, ""))</f>
        <v>0.51111111111111107</v>
      </c>
      <c r="FU100" s="207"/>
      <c r="FV100" s="192">
        <f t="shared" si="100"/>
        <v>3</v>
      </c>
      <c r="FW100" s="197" t="e">
        <f t="shared" ca="1" si="101"/>
        <v>#NAME?</v>
      </c>
      <c r="FX100" s="209" t="e">
        <f t="shared" ca="1" si="102"/>
        <v>#NAME?</v>
      </c>
      <c r="FY100" s="211" t="e">
        <f t="shared" ca="1" si="199"/>
        <v>#NAME?</v>
      </c>
      <c r="FZ100" s="36" t="str">
        <f t="shared" si="104"/>
        <v>No</v>
      </c>
      <c r="GA100" s="196">
        <f>COUNTIF($FZ$2:$FZ$92, FZ100)/(COUNTIF($FZ$2:$FZ$92, "&lt;&gt;""") - COUNTIF($FZ$2:$FZ$92, ""))</f>
        <v>0.76666666666666672</v>
      </c>
      <c r="GB100" s="196" t="str">
        <f t="shared" si="105"/>
        <v>Low</v>
      </c>
      <c r="GC100" s="196">
        <f>COUNTIF($GB$2:$GB$92, GB100)/(COUNTIF($GB$2:$GB$92, "&lt;&gt;""") - COUNTIF($GB$2:$GB$92, ""))</f>
        <v>0.55555555555555558</v>
      </c>
      <c r="GD100" s="196" t="str">
        <f t="shared" si="106"/>
        <v>High</v>
      </c>
      <c r="GE100" s="196">
        <f>COUNTIF($GD$2:$GD$92, GD100)/(COUNTIF($GD$2:$GD$92, "&lt;&gt;""") - COUNTIF($GD$2:$GD$92, ""))</f>
        <v>0.8</v>
      </c>
      <c r="GF100" s="207"/>
      <c r="GG100" s="36"/>
      <c r="GH100" s="209" t="e">
        <f t="shared" ca="1" si="107"/>
        <v>#NAME?</v>
      </c>
      <c r="GI100" s="212" t="e">
        <f t="shared" ca="1" si="200"/>
        <v>#NAME?</v>
      </c>
    </row>
    <row r="101" spans="1:191" ht="15.75" customHeight="1">
      <c r="A101" s="182"/>
      <c r="B101" s="182" t="s">
        <v>433</v>
      </c>
      <c r="C101" s="256">
        <v>1792754</v>
      </c>
      <c r="D101" s="247" t="s">
        <v>1123</v>
      </c>
      <c r="E101" s="259">
        <v>43886.450694444444</v>
      </c>
      <c r="F101" s="243" t="s">
        <v>221</v>
      </c>
      <c r="G101" s="257" t="s">
        <v>1124</v>
      </c>
      <c r="H101" s="257" t="s">
        <v>1125</v>
      </c>
      <c r="I101" s="258">
        <v>44191</v>
      </c>
      <c r="J101" s="260" t="s">
        <v>1126</v>
      </c>
      <c r="K101" s="247" t="s">
        <v>1127</v>
      </c>
      <c r="M101" s="29" t="s">
        <v>747</v>
      </c>
      <c r="N101" s="243" t="s">
        <v>324</v>
      </c>
      <c r="O101" s="243" t="s">
        <v>30</v>
      </c>
      <c r="P101" s="243" t="s">
        <v>174</v>
      </c>
      <c r="Q101" s="243" t="s">
        <v>35</v>
      </c>
      <c r="R101" s="187"/>
      <c r="S101" s="243" t="s">
        <v>216</v>
      </c>
      <c r="T101" s="248"/>
      <c r="U101" s="249"/>
      <c r="V101" s="69">
        <v>15000000</v>
      </c>
      <c r="W101" s="250"/>
      <c r="X101" s="268"/>
      <c r="Y101" s="55" t="str">
        <f t="shared" si="158"/>
        <v/>
      </c>
      <c r="Z101" s="274">
        <f t="shared" si="159"/>
        <v>15000000</v>
      </c>
      <c r="AA101" s="183" t="e">
        <f t="shared" ca="1" si="160"/>
        <v>#NAME?</v>
      </c>
      <c r="AB101" s="243" t="s">
        <v>178</v>
      </c>
      <c r="AC101" s="243" t="s">
        <v>37</v>
      </c>
      <c r="AD101" s="243" t="s">
        <v>180</v>
      </c>
      <c r="AE101" s="243" t="s">
        <v>227</v>
      </c>
      <c r="AF101" s="243" t="s">
        <v>39</v>
      </c>
      <c r="AG101" s="243" t="s">
        <v>39</v>
      </c>
      <c r="AH101" s="239" t="s">
        <v>190</v>
      </c>
      <c r="AI101" s="64"/>
      <c r="AJ101" s="279">
        <v>2960071400</v>
      </c>
      <c r="AK101" s="224" t="e">
        <f t="shared" ca="1" si="161"/>
        <v>#NAME?</v>
      </c>
      <c r="AL101" s="279">
        <v>2960071400</v>
      </c>
      <c r="AM101" s="224" t="e">
        <f t="shared" ca="1" si="162"/>
        <v>#NAME?</v>
      </c>
      <c r="AN101" s="279">
        <v>6.7000000000000004E-2</v>
      </c>
      <c r="AO101" s="185" t="e">
        <f t="shared" ca="1" si="63"/>
        <v>#NAME?</v>
      </c>
      <c r="AP101" s="185" t="s">
        <v>169</v>
      </c>
      <c r="AQ101" s="243" t="s">
        <v>39</v>
      </c>
      <c r="AR101" s="243" t="s">
        <v>39</v>
      </c>
      <c r="AS101" s="243" t="s">
        <v>182</v>
      </c>
      <c r="AT101" s="35" t="s">
        <v>39</v>
      </c>
      <c r="AU101" s="35" t="s">
        <v>181</v>
      </c>
      <c r="AV101" s="243" t="s">
        <v>190</v>
      </c>
      <c r="AW101" s="243" t="s">
        <v>227</v>
      </c>
      <c r="AX101" s="243" t="s">
        <v>227</v>
      </c>
      <c r="AY101" s="243" t="s">
        <v>227</v>
      </c>
      <c r="AZ101" s="64">
        <v>3400</v>
      </c>
      <c r="BA101" s="55" t="e">
        <f t="shared" ca="1" si="163"/>
        <v>#NAME?</v>
      </c>
      <c r="BB101" s="279">
        <v>50586</v>
      </c>
      <c r="BC101" s="280">
        <v>1600000</v>
      </c>
      <c r="BD101" s="62" t="e">
        <f t="shared" ca="1" si="164"/>
        <v>#NAME?</v>
      </c>
      <c r="BE101" s="277">
        <f t="shared" si="165"/>
        <v>3.1616249999999999E-2</v>
      </c>
      <c r="BF101" s="62" t="e">
        <f t="shared" ca="1" si="166"/>
        <v>#NAME?</v>
      </c>
      <c r="BG101" s="243" t="s">
        <v>202</v>
      </c>
      <c r="BH101" s="187"/>
      <c r="BI101" s="243" t="s">
        <v>227</v>
      </c>
      <c r="BJ101" s="239">
        <v>1</v>
      </c>
      <c r="BK101" s="279">
        <v>1</v>
      </c>
      <c r="BL101" s="176" t="s">
        <v>190</v>
      </c>
      <c r="BM101" s="243" t="s">
        <v>190</v>
      </c>
      <c r="BN101" s="243" t="s">
        <v>190</v>
      </c>
      <c r="BO101" s="243" t="s">
        <v>190</v>
      </c>
      <c r="BP101" s="256">
        <v>3</v>
      </c>
      <c r="BQ101" s="256">
        <v>3</v>
      </c>
      <c r="BR101" s="256">
        <v>4</v>
      </c>
      <c r="BS101" s="256">
        <v>0</v>
      </c>
      <c r="BT101" s="205"/>
      <c r="BU101" s="16">
        <v>9</v>
      </c>
      <c r="BV101" s="16">
        <v>0</v>
      </c>
      <c r="BW101" s="16">
        <v>51</v>
      </c>
      <c r="BX101" s="16" t="s">
        <v>190</v>
      </c>
      <c r="BY101" s="205"/>
      <c r="CD101" s="205"/>
      <c r="CI101" s="205"/>
      <c r="CN101" s="205"/>
      <c r="CS101" s="205"/>
      <c r="CX101" s="205"/>
      <c r="DC101" s="205"/>
      <c r="DH101" s="205"/>
      <c r="DM101" s="205"/>
      <c r="DN101" s="205"/>
      <c r="DO101" s="205"/>
      <c r="DQ101" s="206"/>
      <c r="DR101" s="188">
        <f t="shared" si="64"/>
        <v>9</v>
      </c>
      <c r="DS101" s="188"/>
      <c r="DT101" s="189">
        <f t="shared" si="65"/>
        <v>0</v>
      </c>
      <c r="DU101" s="189"/>
      <c r="DV101" s="188">
        <f t="shared" si="66"/>
        <v>51</v>
      </c>
      <c r="DW101" s="183" t="e">
        <f t="shared" ca="1" si="67"/>
        <v>#NAME?</v>
      </c>
      <c r="DX101" s="207"/>
      <c r="DY101" s="190" t="e">
        <f t="shared" ca="1" si="68"/>
        <v>#NAME?</v>
      </c>
      <c r="DZ101" s="191" t="str">
        <f t="shared" si="190"/>
        <v/>
      </c>
      <c r="EA101" s="191" t="str">
        <f t="shared" si="191"/>
        <v/>
      </c>
      <c r="EB101" s="191" t="str">
        <f t="shared" si="192"/>
        <v/>
      </c>
      <c r="EC101" s="208" t="e">
        <f t="shared" ca="1" si="72"/>
        <v>#NAME?</v>
      </c>
      <c r="ED101" s="36" t="str">
        <f t="shared" si="73"/>
        <v>Equity - Common</v>
      </c>
      <c r="EE101" s="193">
        <f>COUNTIF($ED$2:$ED$92, ED101)/(COUNTIF($ED$2:$ED$92, "&lt;&gt;""") - COUNTIF($ED$2:$ED$92, ""))</f>
        <v>0.32222222222222224</v>
      </c>
      <c r="EF101" s="36" t="str">
        <f t="shared" si="74"/>
        <v>Early</v>
      </c>
      <c r="EG101" s="207"/>
      <c r="EH101" s="194" t="e">
        <f t="shared" ca="1" si="75"/>
        <v>#NAME?</v>
      </c>
      <c r="EI101" s="194" t="e">
        <f t="shared" ca="1" si="76"/>
        <v>#NAME?</v>
      </c>
      <c r="EJ101" s="209" t="e">
        <f t="shared" ca="1" si="77"/>
        <v>#NAME?</v>
      </c>
      <c r="EK101" s="208" t="e">
        <f t="shared" ca="1" si="193"/>
        <v>#NAME?</v>
      </c>
      <c r="EL101" s="36" t="str">
        <f t="shared" si="79"/>
        <v>No</v>
      </c>
      <c r="EM101" s="207"/>
      <c r="EN101" s="192">
        <f t="shared" si="194"/>
        <v>1.8571428571428572</v>
      </c>
      <c r="EO101" s="192">
        <f t="shared" si="195"/>
        <v>1</v>
      </c>
      <c r="EP101" s="209">
        <f t="shared" si="82"/>
        <v>2.8571428571428572</v>
      </c>
      <c r="EQ101" s="210">
        <f t="shared" si="196"/>
        <v>1.6728971962616823</v>
      </c>
      <c r="ER101" s="36" t="e">
        <f t="shared" ca="1" si="84"/>
        <v>#NAME?</v>
      </c>
      <c r="ES101" s="40">
        <f ca="1">COUNTIF($ER$2:$ER$92, ER101)/(COUNTIF($ER$2:$ER$92, "&lt;&gt;""") - COUNTIF($ER$2:$ER$92, ""))</f>
        <v>1</v>
      </c>
      <c r="ET101" s="36">
        <f t="shared" si="85"/>
        <v>1</v>
      </c>
      <c r="EU101" s="40">
        <f>COUNTIF($ET$2:$ET$92, ET101)/(COUNTIF($ET$2:$ET$92, "&lt;&gt;""") - COUNTIF($ET$2:$ET$92, ""))</f>
        <v>0.45555555555555555</v>
      </c>
      <c r="EV101" s="36">
        <f t="shared" si="86"/>
        <v>3</v>
      </c>
      <c r="EW101" s="40">
        <f>COUNTIF($EV$2:$EV$92, EV101)/(COUNTIF($EV$2:$EV$92, "&lt;&gt;""") - COUNTIF($EV$2:$EV$92, ""))</f>
        <v>8.8888888888888892E-2</v>
      </c>
      <c r="EX101" s="36" t="str">
        <f t="shared" si="87"/>
        <v>No</v>
      </c>
      <c r="EY101" s="40">
        <f>COUNTIF($EX$2:$EX$92, EX101)/(COUNTIF($EX$2:$EX$92, "&lt;&gt;""") - COUNTIF($EX$2:$EX$92, ""))</f>
        <v>0.72222222222222221</v>
      </c>
      <c r="EZ101" s="36" t="str">
        <f t="shared" ref="EZ101:FB101" si="224">BM101</f>
        <v>No</v>
      </c>
      <c r="FA101" s="36" t="str">
        <f t="shared" si="224"/>
        <v>No</v>
      </c>
      <c r="FB101" s="36" t="str">
        <f t="shared" si="224"/>
        <v>No</v>
      </c>
      <c r="FC101" s="207"/>
      <c r="FD101" s="36" t="str">
        <f t="shared" si="89"/>
        <v>Recurring</v>
      </c>
      <c r="FE101" s="40">
        <f>COUNTIF($FD$2:$FD$92, FD101)/(COUNTIF($FD$2:$FD$92, "&lt;&gt;""") - COUNTIF($FD$2:$FD$92, ""))</f>
        <v>0.4</v>
      </c>
      <c r="FF101" s="36" t="str">
        <f t="shared" si="90"/>
        <v>B2B</v>
      </c>
      <c r="FG101" s="40">
        <f>COUNTIF($FF$2:$FF$92, FF101)/(COUNTIF($FF$2:$FF$92, "&lt;&gt;""") - COUNTIF($FF$2:$FF$92, ""))</f>
        <v>0.24444444444444444</v>
      </c>
      <c r="FH101" s="36" t="str">
        <f t="shared" si="91"/>
        <v>High</v>
      </c>
      <c r="FI101" s="40">
        <f>COUNTIF($FH$2:$FH$92, FH101)/(COUNTIF($FH$2:$FH$92, "&lt;&gt;""") - COUNTIF($FH$2:$FH$92, ""))</f>
        <v>0.53333333333333333</v>
      </c>
      <c r="FJ101" s="36" t="str">
        <f t="shared" si="92"/>
        <v>High</v>
      </c>
      <c r="FK101" s="40">
        <f>COUNTIF($FJ$2:$FJ$92, FJ101)/(COUNTIF($FJ$2:$FJ$92, "&lt;&gt;""") - COUNTIF($FJ$2:$FJ$92, ""))</f>
        <v>0.58888888888888891</v>
      </c>
      <c r="FL101" s="207"/>
      <c r="FM101" s="192">
        <f t="shared" si="93"/>
        <v>5</v>
      </c>
      <c r="FN101" s="192" t="e">
        <f t="shared" ca="1" si="94"/>
        <v>#NAME?</v>
      </c>
      <c r="FO101" s="192" t="e">
        <f t="shared" ca="1" si="95"/>
        <v>#NAME?</v>
      </c>
      <c r="FP101" s="192" t="e">
        <f t="shared" ca="1" si="96"/>
        <v>#NAME?</v>
      </c>
      <c r="FQ101" s="209" t="e">
        <f t="shared" ca="1" si="97"/>
        <v>#NAME?</v>
      </c>
      <c r="FR101" s="208" t="e">
        <f t="shared" ca="1" si="198"/>
        <v>#NAME?</v>
      </c>
      <c r="FS101" s="36" t="str">
        <f t="shared" si="99"/>
        <v>Pre-Profit</v>
      </c>
      <c r="FT101" s="196">
        <f>COUNTIF($FS$2:$FS$92, FS101)/(COUNTIF($FS$2:$FS$92, "&lt;&gt;""") - COUNTIF($FZ$2:$FZ$92, ""))</f>
        <v>0.51111111111111107</v>
      </c>
      <c r="FU101" s="207"/>
      <c r="FV101" s="192" t="e">
        <f t="shared" ca="1" si="100"/>
        <v>#NAME?</v>
      </c>
      <c r="FW101" s="197" t="e">
        <f t="shared" ca="1" si="101"/>
        <v>#NAME?</v>
      </c>
      <c r="FX101" s="209" t="e">
        <f t="shared" ca="1" si="102"/>
        <v>#NAME?</v>
      </c>
      <c r="FY101" s="211" t="e">
        <f t="shared" ca="1" si="199"/>
        <v>#NAME?</v>
      </c>
      <c r="FZ101" s="36" t="str">
        <f t="shared" si="104"/>
        <v>Yes</v>
      </c>
      <c r="GA101" s="196">
        <f>COUNTIF($FZ$2:$FZ$92, FZ101)/(COUNTIF($FZ$2:$FZ$92, "&lt;&gt;""") - COUNTIF($FZ$2:$FZ$92, ""))</f>
        <v>0.23333333333333334</v>
      </c>
      <c r="GB101" s="196" t="str">
        <f t="shared" si="105"/>
        <v>High</v>
      </c>
      <c r="GC101" s="196">
        <f>COUNTIF($GB$2:$GB$92, GB101)/(COUNTIF($GB$2:$GB$92, "&lt;&gt;""") - COUNTIF($GB$2:$GB$92, ""))</f>
        <v>0.43333333333333335</v>
      </c>
      <c r="GD101" s="196" t="str">
        <f t="shared" si="106"/>
        <v>Low</v>
      </c>
      <c r="GE101" s="196">
        <f>COUNTIF($GD$2:$GD$92, GD101)/(COUNTIF($GD$2:$GD$92, "&lt;&gt;""") - COUNTIF($GD$2:$GD$92, ""))</f>
        <v>0.18888888888888888</v>
      </c>
      <c r="GF101" s="207"/>
      <c r="GG101" s="36"/>
      <c r="GH101" s="209" t="e">
        <f t="shared" ca="1" si="107"/>
        <v>#NAME?</v>
      </c>
      <c r="GI101" s="212" t="e">
        <f t="shared" ca="1" si="200"/>
        <v>#NAME?</v>
      </c>
    </row>
    <row r="102" spans="1:191" ht="15.75" customHeight="1">
      <c r="A102" s="182"/>
      <c r="B102" s="182" t="s">
        <v>433</v>
      </c>
      <c r="C102" s="256">
        <v>1801721</v>
      </c>
      <c r="D102" s="247" t="s">
        <v>1128</v>
      </c>
      <c r="E102" s="259">
        <v>43886.508333333331</v>
      </c>
      <c r="F102" s="243" t="s">
        <v>847</v>
      </c>
      <c r="G102" s="257" t="s">
        <v>1129</v>
      </c>
      <c r="H102" s="257" t="s">
        <v>1130</v>
      </c>
      <c r="I102" s="258">
        <v>43885</v>
      </c>
      <c r="J102" s="260" t="s">
        <v>1131</v>
      </c>
      <c r="K102" s="260" t="s">
        <v>1132</v>
      </c>
      <c r="M102" s="243" t="s">
        <v>1133</v>
      </c>
      <c r="N102" s="243" t="s">
        <v>315</v>
      </c>
      <c r="O102" s="243" t="s">
        <v>30</v>
      </c>
      <c r="P102" s="243" t="s">
        <v>174</v>
      </c>
      <c r="Q102" s="243" t="s">
        <v>35</v>
      </c>
      <c r="R102" s="187"/>
      <c r="S102" s="243" t="s">
        <v>176</v>
      </c>
      <c r="T102" s="248"/>
      <c r="U102" s="249"/>
      <c r="V102" s="250"/>
      <c r="W102" s="69">
        <v>3200000</v>
      </c>
      <c r="X102" s="264">
        <v>0.2</v>
      </c>
      <c r="Y102" s="55">
        <f t="shared" si="158"/>
        <v>2560000</v>
      </c>
      <c r="Z102" s="274">
        <f t="shared" si="159"/>
        <v>2560000</v>
      </c>
      <c r="AA102" s="183" t="e">
        <f t="shared" ca="1" si="160"/>
        <v>#NAME?</v>
      </c>
      <c r="AB102" s="243" t="s">
        <v>36</v>
      </c>
      <c r="AC102" s="243" t="s">
        <v>179</v>
      </c>
      <c r="AD102" s="243" t="s">
        <v>38</v>
      </c>
      <c r="AE102" s="243" t="s">
        <v>227</v>
      </c>
      <c r="AF102" s="243" t="s">
        <v>39</v>
      </c>
      <c r="AG102" s="243" t="s">
        <v>181</v>
      </c>
      <c r="AH102" s="239" t="s">
        <v>190</v>
      </c>
      <c r="AI102" s="64"/>
      <c r="AJ102" s="279">
        <v>3401700000</v>
      </c>
      <c r="AK102" s="224" t="e">
        <f t="shared" ca="1" si="161"/>
        <v>#NAME?</v>
      </c>
      <c r="AL102" s="279">
        <v>34017000</v>
      </c>
      <c r="AM102" s="224" t="e">
        <f t="shared" ca="1" si="162"/>
        <v>#NAME?</v>
      </c>
      <c r="AN102" s="279">
        <v>0.17599999999999999</v>
      </c>
      <c r="AO102" s="185" t="e">
        <f t="shared" ca="1" si="63"/>
        <v>#NAME?</v>
      </c>
      <c r="AP102" s="185" t="s">
        <v>192</v>
      </c>
      <c r="AQ102" s="243" t="s">
        <v>181</v>
      </c>
      <c r="AR102" s="243" t="s">
        <v>181</v>
      </c>
      <c r="AS102" s="243" t="s">
        <v>42</v>
      </c>
      <c r="AT102" s="35" t="s">
        <v>181</v>
      </c>
      <c r="AU102" s="35" t="s">
        <v>181</v>
      </c>
      <c r="AV102" s="243" t="s">
        <v>190</v>
      </c>
      <c r="AW102" s="243" t="s">
        <v>190</v>
      </c>
      <c r="AX102" s="243" t="s">
        <v>227</v>
      </c>
      <c r="AY102" s="243" t="s">
        <v>227</v>
      </c>
      <c r="AZ102" s="64">
        <v>131164</v>
      </c>
      <c r="BA102" s="55" t="e">
        <f t="shared" ca="1" si="163"/>
        <v>#NAME?</v>
      </c>
      <c r="BB102" s="279">
        <v>1246</v>
      </c>
      <c r="BC102" s="280">
        <v>0</v>
      </c>
      <c r="BD102" s="62" t="e">
        <f t="shared" ca="1" si="164"/>
        <v>#NAME?</v>
      </c>
      <c r="BE102" s="277">
        <f t="shared" si="165"/>
        <v>1</v>
      </c>
      <c r="BF102" s="62" t="e">
        <f t="shared" ca="1" si="166"/>
        <v>#NAME?</v>
      </c>
      <c r="BG102" s="243" t="s">
        <v>202</v>
      </c>
      <c r="BH102" s="187"/>
      <c r="BI102" s="243" t="s">
        <v>190</v>
      </c>
      <c r="BJ102" s="239">
        <v>0</v>
      </c>
      <c r="BK102" s="279">
        <v>1</v>
      </c>
      <c r="BL102" s="176" t="s">
        <v>190</v>
      </c>
      <c r="BM102" s="243" t="s">
        <v>190</v>
      </c>
      <c r="BN102" s="243" t="s">
        <v>190</v>
      </c>
      <c r="BO102" s="243" t="s">
        <v>190</v>
      </c>
      <c r="BP102" s="256">
        <v>1</v>
      </c>
      <c r="BQ102" s="256">
        <v>4</v>
      </c>
      <c r="BR102" s="256">
        <v>0</v>
      </c>
      <c r="BS102" s="256">
        <v>0</v>
      </c>
      <c r="BT102" s="205"/>
      <c r="BU102" s="16">
        <v>2</v>
      </c>
      <c r="BV102" s="16">
        <v>0</v>
      </c>
      <c r="BW102" s="16">
        <v>51</v>
      </c>
      <c r="BX102" s="16" t="s">
        <v>227</v>
      </c>
      <c r="BY102" s="205"/>
      <c r="CD102" s="205"/>
      <c r="CI102" s="205"/>
      <c r="CN102" s="205"/>
      <c r="CS102" s="205"/>
      <c r="CX102" s="205"/>
      <c r="DC102" s="205"/>
      <c r="DH102" s="205"/>
      <c r="DM102" s="205"/>
      <c r="DN102" s="205"/>
      <c r="DO102" s="205"/>
      <c r="DQ102" s="206"/>
      <c r="DR102" s="188">
        <f t="shared" si="64"/>
        <v>2</v>
      </c>
      <c r="DS102" s="188"/>
      <c r="DT102" s="189">
        <f t="shared" si="65"/>
        <v>0</v>
      </c>
      <c r="DU102" s="189"/>
      <c r="DV102" s="188">
        <f t="shared" si="66"/>
        <v>51</v>
      </c>
      <c r="DW102" s="183" t="e">
        <f t="shared" ca="1" si="67"/>
        <v>#NAME?</v>
      </c>
      <c r="DX102" s="207"/>
      <c r="DY102" s="190" t="e">
        <f t="shared" ca="1" si="68"/>
        <v>#NAME?</v>
      </c>
      <c r="DZ102" s="191">
        <f t="shared" si="190"/>
        <v>3.1052631578947367</v>
      </c>
      <c r="EA102" s="191" t="str">
        <f t="shared" si="191"/>
        <v/>
      </c>
      <c r="EB102" s="191" t="str">
        <f t="shared" si="192"/>
        <v/>
      </c>
      <c r="EC102" s="208" t="e">
        <f t="shared" ca="1" si="72"/>
        <v>#NAME?</v>
      </c>
      <c r="ED102" s="36" t="str">
        <f t="shared" si="73"/>
        <v>Convertible Note</v>
      </c>
      <c r="EE102" s="193">
        <f>COUNTIF($ED$2:$ED$92, ED102)/(COUNTIF($ED$2:$ED$92, "&lt;&gt;""") - COUNTIF($ED$2:$ED$92, ""))</f>
        <v>0.13333333333333333</v>
      </c>
      <c r="EF102" s="36" t="str">
        <f t="shared" si="74"/>
        <v>Early</v>
      </c>
      <c r="EG102" s="207"/>
      <c r="EH102" s="194" t="e">
        <f t="shared" ca="1" si="75"/>
        <v>#NAME?</v>
      </c>
      <c r="EI102" s="194" t="e">
        <f t="shared" ca="1" si="76"/>
        <v>#NAME?</v>
      </c>
      <c r="EJ102" s="209" t="e">
        <f t="shared" ca="1" si="77"/>
        <v>#NAME?</v>
      </c>
      <c r="EK102" s="208" t="e">
        <f t="shared" ca="1" si="193"/>
        <v>#NAME?</v>
      </c>
      <c r="EL102" s="36" t="str">
        <f t="shared" si="79"/>
        <v>No</v>
      </c>
      <c r="EM102" s="207"/>
      <c r="EN102" s="192">
        <f t="shared" si="194"/>
        <v>1.1904761904761905</v>
      </c>
      <c r="EO102" s="192">
        <f t="shared" si="195"/>
        <v>1</v>
      </c>
      <c r="EP102" s="209">
        <f t="shared" si="82"/>
        <v>2.1904761904761907</v>
      </c>
      <c r="EQ102" s="210">
        <f t="shared" si="196"/>
        <v>1.1495327102803741</v>
      </c>
      <c r="ER102" s="36" t="e">
        <f t="shared" ca="1" si="84"/>
        <v>#NAME?</v>
      </c>
      <c r="ES102" s="40">
        <f ca="1">COUNTIF($ER$2:$ER$92, ER102)/(COUNTIF($ER$2:$ER$92, "&lt;&gt;""") - COUNTIF($ER$2:$ER$92, ""))</f>
        <v>1</v>
      </c>
      <c r="ET102" s="36">
        <f t="shared" si="85"/>
        <v>1</v>
      </c>
      <c r="EU102" s="40">
        <f>COUNTIF($ET$2:$ET$92, ET102)/(COUNTIF($ET$2:$ET$92, "&lt;&gt;""") - COUNTIF($ET$2:$ET$92, ""))</f>
        <v>0.45555555555555555</v>
      </c>
      <c r="EV102" s="36">
        <f t="shared" si="86"/>
        <v>4</v>
      </c>
      <c r="EW102" s="40">
        <f>COUNTIF($EV$2:$EV$92, EV102)/(COUNTIF($EV$2:$EV$92, "&lt;&gt;""") - COUNTIF($EV$2:$EV$92, ""))</f>
        <v>0.12222222222222222</v>
      </c>
      <c r="EX102" s="36" t="str">
        <f t="shared" si="87"/>
        <v>No</v>
      </c>
      <c r="EY102" s="40">
        <f>COUNTIF($EX$2:$EX$92, EX102)/(COUNTIF($EX$2:$EX$92, "&lt;&gt;""") - COUNTIF($EX$2:$EX$92, ""))</f>
        <v>0.72222222222222221</v>
      </c>
      <c r="EZ102" s="36" t="str">
        <f t="shared" ref="EZ102:FB102" si="225">BM102</f>
        <v>No</v>
      </c>
      <c r="FA102" s="36" t="str">
        <f t="shared" si="225"/>
        <v>No</v>
      </c>
      <c r="FB102" s="36" t="str">
        <f t="shared" si="225"/>
        <v>No</v>
      </c>
      <c r="FC102" s="207"/>
      <c r="FD102" s="36" t="str">
        <f t="shared" si="89"/>
        <v>Transactional</v>
      </c>
      <c r="FE102" s="40">
        <f>COUNTIF($FD$2:$FD$92, FD102)/(COUNTIF($FD$2:$FD$92, "&lt;&gt;""") - COUNTIF($FD$2:$FD$92, ""))</f>
        <v>0.6</v>
      </c>
      <c r="FF102" s="36" t="str">
        <f t="shared" si="90"/>
        <v>B2C</v>
      </c>
      <c r="FG102" s="40">
        <f>COUNTIF($FF$2:$FF$92, FF102)/(COUNTIF($FF$2:$FF$92, "&lt;&gt;""") - COUNTIF($FF$2:$FF$92, ""))</f>
        <v>0.41111111111111109</v>
      </c>
      <c r="FH102" s="36" t="str">
        <f t="shared" si="91"/>
        <v>High</v>
      </c>
      <c r="FI102" s="40">
        <f>COUNTIF($FH$2:$FH$92, FH102)/(COUNTIF($FH$2:$FH$92, "&lt;&gt;""") - COUNTIF($FH$2:$FH$92, ""))</f>
        <v>0.53333333333333333</v>
      </c>
      <c r="FJ102" s="36" t="str">
        <f t="shared" si="92"/>
        <v>Low</v>
      </c>
      <c r="FK102" s="40">
        <f>COUNTIF($FJ$2:$FJ$92, FJ102)/(COUNTIF($FJ$2:$FJ$92, "&lt;&gt;""") - COUNTIF($FJ$2:$FJ$92, ""))</f>
        <v>0.41111111111111109</v>
      </c>
      <c r="FL102" s="207"/>
      <c r="FM102" s="192">
        <f t="shared" si="93"/>
        <v>5</v>
      </c>
      <c r="FN102" s="192" t="e">
        <f t="shared" ca="1" si="94"/>
        <v>#NAME?</v>
      </c>
      <c r="FO102" s="192" t="e">
        <f t="shared" ca="1" si="95"/>
        <v>#NAME?</v>
      </c>
      <c r="FP102" s="192" t="e">
        <f t="shared" ca="1" si="96"/>
        <v>#NAME?</v>
      </c>
      <c r="FQ102" s="209" t="e">
        <f t="shared" ca="1" si="97"/>
        <v>#NAME?</v>
      </c>
      <c r="FR102" s="208" t="e">
        <f t="shared" ca="1" si="198"/>
        <v>#NAME?</v>
      </c>
      <c r="FS102" s="36" t="str">
        <f t="shared" si="99"/>
        <v>Pre-Profit</v>
      </c>
      <c r="FT102" s="196">
        <f>COUNTIF($FS$2:$FS$92, FS102)/(COUNTIF($FS$2:$FS$92, "&lt;&gt;""") - COUNTIF($FZ$2:$FZ$92, ""))</f>
        <v>0.51111111111111107</v>
      </c>
      <c r="FU102" s="207"/>
      <c r="FV102" s="192" t="e">
        <f t="shared" ca="1" si="100"/>
        <v>#NAME?</v>
      </c>
      <c r="FW102" s="197" t="e">
        <f t="shared" ca="1" si="101"/>
        <v>#NAME?</v>
      </c>
      <c r="FX102" s="209" t="e">
        <f t="shared" ca="1" si="102"/>
        <v>#NAME?</v>
      </c>
      <c r="FY102" s="211" t="e">
        <f t="shared" ca="1" si="199"/>
        <v>#NAME?</v>
      </c>
      <c r="FZ102" s="36" t="str">
        <f t="shared" si="104"/>
        <v>No</v>
      </c>
      <c r="GA102" s="196">
        <f>COUNTIF($FZ$2:$FZ$92, FZ102)/(COUNTIF($FZ$2:$FZ$92, "&lt;&gt;""") - COUNTIF($FZ$2:$FZ$92, ""))</f>
        <v>0.76666666666666672</v>
      </c>
      <c r="GB102" s="196" t="str">
        <f t="shared" si="105"/>
        <v>Low</v>
      </c>
      <c r="GC102" s="196">
        <f>COUNTIF($GB$2:$GB$92, GB102)/(COUNTIF($GB$2:$GB$92, "&lt;&gt;""") - COUNTIF($GB$2:$GB$92, ""))</f>
        <v>0.55555555555555558</v>
      </c>
      <c r="GD102" s="196" t="str">
        <f t="shared" si="106"/>
        <v>Low</v>
      </c>
      <c r="GE102" s="196">
        <f>COUNTIF($GD$2:$GD$92, GD102)/(COUNTIF($GD$2:$GD$92, "&lt;&gt;""") - COUNTIF($GD$2:$GD$92, ""))</f>
        <v>0.18888888888888888</v>
      </c>
      <c r="GF102" s="207"/>
      <c r="GG102" s="36"/>
      <c r="GH102" s="209" t="e">
        <f t="shared" ca="1" si="107"/>
        <v>#NAME?</v>
      </c>
      <c r="GI102" s="212" t="e">
        <f t="shared" ca="1" si="200"/>
        <v>#NAME?</v>
      </c>
    </row>
    <row r="103" spans="1:191" ht="15.75" customHeight="1">
      <c r="A103" s="182"/>
      <c r="B103" s="182" t="s">
        <v>433</v>
      </c>
      <c r="C103" s="256">
        <v>1777476</v>
      </c>
      <c r="D103" s="247" t="s">
        <v>1134</v>
      </c>
      <c r="E103" s="265">
        <v>43886.512499999997</v>
      </c>
      <c r="F103" s="243" t="s">
        <v>333</v>
      </c>
      <c r="G103" s="257" t="s">
        <v>1135</v>
      </c>
      <c r="H103" s="257" t="s">
        <v>1136</v>
      </c>
      <c r="I103" s="258">
        <v>43879</v>
      </c>
      <c r="J103" s="247" t="s">
        <v>1137</v>
      </c>
      <c r="K103" s="247" t="s">
        <v>1138</v>
      </c>
      <c r="M103" s="35" t="s">
        <v>293</v>
      </c>
      <c r="N103" s="243" t="s">
        <v>168</v>
      </c>
      <c r="O103" s="243" t="s">
        <v>30</v>
      </c>
      <c r="P103" s="243" t="s">
        <v>214</v>
      </c>
      <c r="Q103" s="243" t="s">
        <v>35</v>
      </c>
      <c r="R103" s="239" t="s">
        <v>199</v>
      </c>
      <c r="S103" s="243" t="s">
        <v>176</v>
      </c>
      <c r="T103" s="248"/>
      <c r="U103" s="249"/>
      <c r="V103" s="250"/>
      <c r="W103" s="69">
        <v>40000000</v>
      </c>
      <c r="X103" s="264">
        <v>0.2</v>
      </c>
      <c r="Y103" s="55">
        <f t="shared" si="158"/>
        <v>32000000</v>
      </c>
      <c r="Z103" s="274">
        <f t="shared" si="159"/>
        <v>32000000</v>
      </c>
      <c r="AA103" s="183" t="e">
        <f t="shared" ca="1" si="160"/>
        <v>#NAME?</v>
      </c>
      <c r="AB103" s="243" t="s">
        <v>36</v>
      </c>
      <c r="AC103" s="243" t="s">
        <v>218</v>
      </c>
      <c r="AD103" s="243" t="s">
        <v>38</v>
      </c>
      <c r="AE103" s="243" t="s">
        <v>227</v>
      </c>
      <c r="AF103" s="243" t="s">
        <v>181</v>
      </c>
      <c r="AG103" s="243" t="s">
        <v>39</v>
      </c>
      <c r="AH103" s="239" t="s">
        <v>190</v>
      </c>
      <c r="AI103" s="64"/>
      <c r="AJ103" s="279">
        <v>800000000000</v>
      </c>
      <c r="AK103" s="224" t="e">
        <f t="shared" ca="1" si="161"/>
        <v>#NAME?</v>
      </c>
      <c r="AL103" s="279">
        <v>50000000000</v>
      </c>
      <c r="AM103" s="224" t="e">
        <f t="shared" ca="1" si="162"/>
        <v>#NAME?</v>
      </c>
      <c r="AN103" s="279">
        <v>9.8000000000000004E-2</v>
      </c>
      <c r="AO103" s="185" t="e">
        <f t="shared" ca="1" si="63"/>
        <v>#NAME?</v>
      </c>
      <c r="AP103" s="185" t="s">
        <v>264</v>
      </c>
      <c r="AQ103" s="243" t="s">
        <v>181</v>
      </c>
      <c r="AR103" s="243" t="s">
        <v>181</v>
      </c>
      <c r="AS103" s="243" t="s">
        <v>42</v>
      </c>
      <c r="AT103" s="35" t="s">
        <v>181</v>
      </c>
      <c r="AU103" s="35" t="s">
        <v>39</v>
      </c>
      <c r="AV103" s="243" t="s">
        <v>190</v>
      </c>
      <c r="AW103" s="243" t="s">
        <v>190</v>
      </c>
      <c r="AX103" s="243" t="s">
        <v>227</v>
      </c>
      <c r="AY103" s="243" t="s">
        <v>227</v>
      </c>
      <c r="AZ103" s="64">
        <v>18442226</v>
      </c>
      <c r="BA103" s="55" t="e">
        <f t="shared" ca="1" si="163"/>
        <v>#NAME?</v>
      </c>
      <c r="BB103" s="279">
        <v>195878</v>
      </c>
      <c r="BC103" s="279">
        <v>3000000</v>
      </c>
      <c r="BD103" s="62" t="e">
        <f t="shared" ca="1" si="164"/>
        <v>#NAME?</v>
      </c>
      <c r="BE103" s="277">
        <f t="shared" si="165"/>
        <v>6.5292666666666666E-2</v>
      </c>
      <c r="BF103" s="62" t="e">
        <f t="shared" ca="1" si="166"/>
        <v>#NAME?</v>
      </c>
      <c r="BG103" s="243" t="s">
        <v>202</v>
      </c>
      <c r="BH103" s="187"/>
      <c r="BI103" s="243" t="s">
        <v>190</v>
      </c>
      <c r="BJ103" s="256">
        <v>0</v>
      </c>
      <c r="BK103" s="279">
        <v>3</v>
      </c>
      <c r="BL103" s="239" t="s">
        <v>227</v>
      </c>
      <c r="BM103" s="243" t="s">
        <v>190</v>
      </c>
      <c r="BN103" s="243" t="s">
        <v>227</v>
      </c>
      <c r="BO103" s="243" t="s">
        <v>190</v>
      </c>
      <c r="BP103" s="256">
        <v>2</v>
      </c>
      <c r="BQ103" s="256">
        <v>79</v>
      </c>
      <c r="BR103" s="256">
        <v>0</v>
      </c>
      <c r="BS103" s="256">
        <v>0</v>
      </c>
      <c r="BT103" s="205"/>
      <c r="BU103" s="16">
        <v>20</v>
      </c>
      <c r="BV103" s="16">
        <v>1</v>
      </c>
      <c r="BW103" s="16">
        <v>42</v>
      </c>
      <c r="BX103" s="16" t="s">
        <v>190</v>
      </c>
      <c r="BY103" s="205"/>
      <c r="BZ103" s="16">
        <v>19</v>
      </c>
      <c r="CA103" s="16">
        <v>0</v>
      </c>
      <c r="CB103" s="16">
        <v>41</v>
      </c>
      <c r="CC103" s="16" t="s">
        <v>190</v>
      </c>
      <c r="CD103" s="205"/>
      <c r="CE103" s="16">
        <v>8</v>
      </c>
      <c r="CF103" s="16">
        <v>0</v>
      </c>
      <c r="CG103" s="16">
        <v>43</v>
      </c>
      <c r="CH103" s="16" t="s">
        <v>227</v>
      </c>
      <c r="CI103" s="205"/>
      <c r="CN103" s="205"/>
      <c r="CS103" s="205"/>
      <c r="CX103" s="205"/>
      <c r="DC103" s="205"/>
      <c r="DH103" s="205"/>
      <c r="DM103" s="205"/>
      <c r="DN103" s="205"/>
      <c r="DO103" s="205"/>
      <c r="DQ103" s="206"/>
      <c r="DR103" s="188">
        <f t="shared" si="64"/>
        <v>15.666666666666666</v>
      </c>
      <c r="DS103" s="188"/>
      <c r="DT103" s="189">
        <f t="shared" si="65"/>
        <v>1</v>
      </c>
      <c r="DU103" s="189"/>
      <c r="DV103" s="188">
        <f t="shared" si="66"/>
        <v>42</v>
      </c>
      <c r="DW103" s="183" t="e">
        <f t="shared" ca="1" si="67"/>
        <v>#NAME?</v>
      </c>
      <c r="DX103" s="207"/>
      <c r="DY103" s="190" t="e">
        <f t="shared" ca="1" si="68"/>
        <v>#NAME?</v>
      </c>
      <c r="DZ103" s="191">
        <f t="shared" si="190"/>
        <v>3.1052631578947367</v>
      </c>
      <c r="EA103" s="191" t="str">
        <f t="shared" si="191"/>
        <v/>
      </c>
      <c r="EB103" s="191" t="str">
        <f t="shared" si="192"/>
        <v/>
      </c>
      <c r="EC103" s="208" t="e">
        <f t="shared" ca="1" si="72"/>
        <v>#NAME?</v>
      </c>
      <c r="ED103" s="36" t="str">
        <f t="shared" si="73"/>
        <v>Convertible Note</v>
      </c>
      <c r="EE103" s="193">
        <f>COUNTIF($ED$2:$ED$92, ED103)/(COUNTIF($ED$2:$ED$92, "&lt;&gt;""") - COUNTIF($ED$2:$ED$92, ""))</f>
        <v>0.13333333333333333</v>
      </c>
      <c r="EF103" s="36" t="str">
        <f t="shared" si="74"/>
        <v>Early</v>
      </c>
      <c r="EG103" s="207"/>
      <c r="EH103" s="194" t="e">
        <f t="shared" ca="1" si="75"/>
        <v>#NAME?</v>
      </c>
      <c r="EI103" s="194" t="e">
        <f t="shared" ca="1" si="76"/>
        <v>#NAME?</v>
      </c>
      <c r="EJ103" s="209" t="e">
        <f t="shared" ca="1" si="77"/>
        <v>#NAME?</v>
      </c>
      <c r="EK103" s="208" t="e">
        <f t="shared" ca="1" si="193"/>
        <v>#NAME?</v>
      </c>
      <c r="EL103" s="36" t="str">
        <f t="shared" si="79"/>
        <v>No</v>
      </c>
      <c r="EM103" s="207"/>
      <c r="EN103" s="192">
        <f t="shared" si="194"/>
        <v>2.4920634920634921</v>
      </c>
      <c r="EO103" s="192">
        <f t="shared" si="195"/>
        <v>2</v>
      </c>
      <c r="EP103" s="209">
        <f t="shared" si="82"/>
        <v>4.4920634920634921</v>
      </c>
      <c r="EQ103" s="210">
        <f t="shared" si="196"/>
        <v>2.9563862928348912</v>
      </c>
      <c r="ER103" s="36" t="e">
        <f t="shared" ca="1" si="84"/>
        <v>#NAME?</v>
      </c>
      <c r="ES103" s="40">
        <f ca="1">COUNTIF($ER$2:$ER$92, ER103)/(COUNTIF($ER$2:$ER$92, "&lt;&gt;""") - COUNTIF($ER$2:$ER$92, ""))</f>
        <v>1</v>
      </c>
      <c r="ET103" s="36">
        <f t="shared" si="85"/>
        <v>3</v>
      </c>
      <c r="EU103" s="40">
        <f>COUNTIF($ET$2:$ET$92, ET103)/(COUNTIF($ET$2:$ET$92, "&lt;&gt;""") - COUNTIF($ET$2:$ET$92, ""))</f>
        <v>4.4444444444444446E-2</v>
      </c>
      <c r="EV103" s="36">
        <f t="shared" si="86"/>
        <v>79</v>
      </c>
      <c r="EW103" s="40">
        <f>COUNTIF($EV$2:$EV$92, EV103)/(COUNTIF($EV$2:$EV$92, "&lt;&gt;""") - COUNTIF($EV$2:$EV$92, ""))</f>
        <v>0</v>
      </c>
      <c r="EX103" s="36" t="str">
        <f t="shared" si="87"/>
        <v>Yes</v>
      </c>
      <c r="EY103" s="40">
        <f>COUNTIF($EX$2:$EX$92, EX103)/(COUNTIF($EX$2:$EX$92, "&lt;&gt;""") - COUNTIF($EX$2:$EX$92, ""))</f>
        <v>0.27777777777777779</v>
      </c>
      <c r="EZ103" s="36" t="str">
        <f t="shared" ref="EZ103:FB103" si="226">BM103</f>
        <v>No</v>
      </c>
      <c r="FA103" s="36" t="str">
        <f t="shared" si="226"/>
        <v>Yes</v>
      </c>
      <c r="FB103" s="36" t="str">
        <f t="shared" si="226"/>
        <v>No</v>
      </c>
      <c r="FC103" s="207"/>
      <c r="FD103" s="36" t="str">
        <f t="shared" si="89"/>
        <v>Transactional</v>
      </c>
      <c r="FE103" s="40">
        <f>COUNTIF($FD$2:$FD$92, FD103)/(COUNTIF($FD$2:$FD$92, "&lt;&gt;""") - COUNTIF($FD$2:$FD$92, ""))</f>
        <v>0.6</v>
      </c>
      <c r="FF103" s="36" t="str">
        <f t="shared" si="90"/>
        <v>B2B/B2C</v>
      </c>
      <c r="FG103" s="40">
        <f>COUNTIF($FF$2:$FF$92, FF103)/(COUNTIF($FF$2:$FF$92, "&lt;&gt;""") - COUNTIF($FF$2:$FF$92, ""))</f>
        <v>0.27777777777777779</v>
      </c>
      <c r="FH103" s="36" t="str">
        <f t="shared" si="91"/>
        <v>Low</v>
      </c>
      <c r="FI103" s="40">
        <f>COUNTIF($FH$2:$FH$92, FH103)/(COUNTIF($FH$2:$FH$92, "&lt;&gt;""") - COUNTIF($FH$2:$FH$92, ""))</f>
        <v>0.46666666666666667</v>
      </c>
      <c r="FJ103" s="36" t="str">
        <f t="shared" si="92"/>
        <v>High</v>
      </c>
      <c r="FK103" s="40">
        <f>COUNTIF($FJ$2:$FJ$92, FJ103)/(COUNTIF($FJ$2:$FJ$92, "&lt;&gt;""") - COUNTIF($FJ$2:$FJ$92, ""))</f>
        <v>0.58888888888888891</v>
      </c>
      <c r="FL103" s="207"/>
      <c r="FM103" s="192">
        <f t="shared" si="93"/>
        <v>5</v>
      </c>
      <c r="FN103" s="192" t="e">
        <f t="shared" ca="1" si="94"/>
        <v>#NAME?</v>
      </c>
      <c r="FO103" s="192" t="e">
        <f t="shared" ca="1" si="95"/>
        <v>#NAME?</v>
      </c>
      <c r="FP103" s="192" t="e">
        <f t="shared" ca="1" si="96"/>
        <v>#NAME?</v>
      </c>
      <c r="FQ103" s="209" t="e">
        <f t="shared" ca="1" si="97"/>
        <v>#NAME?</v>
      </c>
      <c r="FR103" s="208" t="e">
        <f t="shared" ca="1" si="198"/>
        <v>#NAME?</v>
      </c>
      <c r="FS103" s="36" t="str">
        <f t="shared" si="99"/>
        <v>Pre-Profit</v>
      </c>
      <c r="FT103" s="196">
        <f>COUNTIF($FS$2:$FS$92, FS103)/(COUNTIF($FS$2:$FS$92, "&lt;&gt;""") - COUNTIF($FZ$2:$FZ$92, ""))</f>
        <v>0.51111111111111107</v>
      </c>
      <c r="FU103" s="207"/>
      <c r="FV103" s="192" t="e">
        <f t="shared" ca="1" si="100"/>
        <v>#NAME?</v>
      </c>
      <c r="FW103" s="197" t="e">
        <f t="shared" ca="1" si="101"/>
        <v>#NAME?</v>
      </c>
      <c r="FX103" s="209" t="e">
        <f t="shared" ca="1" si="102"/>
        <v>#NAME?</v>
      </c>
      <c r="FY103" s="211" t="e">
        <f t="shared" ca="1" si="199"/>
        <v>#NAME?</v>
      </c>
      <c r="FZ103" s="36" t="str">
        <f t="shared" si="104"/>
        <v>No</v>
      </c>
      <c r="GA103" s="196">
        <f>COUNTIF($FZ$2:$FZ$92, FZ103)/(COUNTIF($FZ$2:$FZ$92, "&lt;&gt;""") - COUNTIF($FZ$2:$FZ$92, ""))</f>
        <v>0.76666666666666672</v>
      </c>
      <c r="GB103" s="196" t="str">
        <f t="shared" si="105"/>
        <v>Low</v>
      </c>
      <c r="GC103" s="196">
        <f>COUNTIF($GB$2:$GB$92, GB103)/(COUNTIF($GB$2:$GB$92, "&lt;&gt;""") - COUNTIF($GB$2:$GB$92, ""))</f>
        <v>0.55555555555555558</v>
      </c>
      <c r="GD103" s="196" t="str">
        <f t="shared" si="106"/>
        <v>High</v>
      </c>
      <c r="GE103" s="196">
        <f>COUNTIF($GD$2:$GD$92, GD103)/(COUNTIF($GD$2:$GD$92, "&lt;&gt;""") - COUNTIF($GD$2:$GD$92, ""))</f>
        <v>0.8</v>
      </c>
      <c r="GF103" s="207"/>
      <c r="GG103" s="36"/>
      <c r="GH103" s="209" t="e">
        <f t="shared" ca="1" si="107"/>
        <v>#NAME?</v>
      </c>
      <c r="GI103" s="212" t="e">
        <f t="shared" ca="1" si="200"/>
        <v>#NAME?</v>
      </c>
    </row>
    <row r="104" spans="1:191" ht="15.75" customHeight="1">
      <c r="A104" s="182"/>
      <c r="B104" s="182" t="s">
        <v>433</v>
      </c>
      <c r="C104" s="256">
        <v>1802465</v>
      </c>
      <c r="D104" s="247" t="s">
        <v>1139</v>
      </c>
      <c r="E104" s="265">
        <v>43887.421527777777</v>
      </c>
      <c r="F104" s="243" t="s">
        <v>329</v>
      </c>
      <c r="G104" s="257" t="s">
        <v>1140</v>
      </c>
      <c r="H104" s="257" t="s">
        <v>1141</v>
      </c>
      <c r="I104" s="258">
        <v>43886</v>
      </c>
      <c r="J104" s="247" t="s">
        <v>1142</v>
      </c>
      <c r="K104" s="247" t="s">
        <v>1139</v>
      </c>
      <c r="M104" s="35" t="s">
        <v>293</v>
      </c>
      <c r="N104" s="243" t="s">
        <v>168</v>
      </c>
      <c r="O104" s="243" t="s">
        <v>30</v>
      </c>
      <c r="P104" s="243" t="s">
        <v>174</v>
      </c>
      <c r="Q104" s="243" t="s">
        <v>35</v>
      </c>
      <c r="R104" s="187"/>
      <c r="S104" s="243" t="s">
        <v>269</v>
      </c>
      <c r="T104" s="248"/>
      <c r="U104" s="249"/>
      <c r="V104" s="250"/>
      <c r="W104" s="69">
        <v>5000000</v>
      </c>
      <c r="X104" s="264">
        <v>0.2</v>
      </c>
      <c r="Y104" s="55">
        <f t="shared" si="158"/>
        <v>4000000</v>
      </c>
      <c r="Z104" s="274">
        <f t="shared" si="159"/>
        <v>4000000</v>
      </c>
      <c r="AA104" s="183" t="e">
        <f t="shared" ca="1" si="160"/>
        <v>#NAME?</v>
      </c>
      <c r="AB104" s="243" t="s">
        <v>36</v>
      </c>
      <c r="AC104" s="243" t="s">
        <v>218</v>
      </c>
      <c r="AD104" s="243" t="s">
        <v>38</v>
      </c>
      <c r="AE104" s="243" t="s">
        <v>190</v>
      </c>
      <c r="AF104" s="243" t="s">
        <v>39</v>
      </c>
      <c r="AG104" s="243" t="s">
        <v>181</v>
      </c>
      <c r="AH104" s="239" t="s">
        <v>190</v>
      </c>
      <c r="AI104" s="64"/>
      <c r="AJ104" s="279">
        <v>22200000000</v>
      </c>
      <c r="AK104" s="224" t="e">
        <f t="shared" ca="1" si="161"/>
        <v>#NAME?</v>
      </c>
      <c r="AL104" s="279">
        <v>22200000000</v>
      </c>
      <c r="AM104" s="224" t="e">
        <f t="shared" ca="1" si="162"/>
        <v>#NAME?</v>
      </c>
      <c r="AN104" s="279">
        <v>1.7000000000000001E-2</v>
      </c>
      <c r="AO104" s="185" t="e">
        <f t="shared" ca="1" si="63"/>
        <v>#NAME?</v>
      </c>
      <c r="AP104" s="185" t="s">
        <v>264</v>
      </c>
      <c r="AQ104" s="243" t="s">
        <v>181</v>
      </c>
      <c r="AR104" s="243" t="s">
        <v>181</v>
      </c>
      <c r="AS104" s="243" t="s">
        <v>42</v>
      </c>
      <c r="AT104" s="35" t="s">
        <v>181</v>
      </c>
      <c r="AU104" s="35" t="s">
        <v>39</v>
      </c>
      <c r="AV104" s="243" t="s">
        <v>190</v>
      </c>
      <c r="AW104" s="243" t="s">
        <v>190</v>
      </c>
      <c r="AX104" s="243" t="s">
        <v>227</v>
      </c>
      <c r="AY104" s="243" t="s">
        <v>227</v>
      </c>
      <c r="AZ104" s="64">
        <v>191851</v>
      </c>
      <c r="BA104" s="55" t="e">
        <f t="shared" ca="1" si="163"/>
        <v>#NAME?</v>
      </c>
      <c r="BB104" s="279">
        <v>2225</v>
      </c>
      <c r="BC104" s="279">
        <v>35000</v>
      </c>
      <c r="BD104" s="62" t="e">
        <f t="shared" ca="1" si="164"/>
        <v>#NAME?</v>
      </c>
      <c r="BE104" s="277">
        <f t="shared" si="165"/>
        <v>6.357142857142857E-2</v>
      </c>
      <c r="BF104" s="62" t="e">
        <f t="shared" ca="1" si="166"/>
        <v>#NAME?</v>
      </c>
      <c r="BG104" s="243" t="s">
        <v>202</v>
      </c>
      <c r="BH104" s="187"/>
      <c r="BI104" s="243" t="s">
        <v>190</v>
      </c>
      <c r="BJ104" s="239">
        <v>0</v>
      </c>
      <c r="BK104" s="279">
        <v>1</v>
      </c>
      <c r="BL104" s="176" t="s">
        <v>190</v>
      </c>
      <c r="BM104" s="243" t="s">
        <v>227</v>
      </c>
      <c r="BN104" s="243" t="s">
        <v>227</v>
      </c>
      <c r="BO104" s="243" t="s">
        <v>190</v>
      </c>
      <c r="BP104" s="256">
        <v>1</v>
      </c>
      <c r="BQ104" s="256">
        <v>2</v>
      </c>
      <c r="BR104" s="256">
        <v>0</v>
      </c>
      <c r="BS104" s="256">
        <v>0</v>
      </c>
      <c r="BT104" s="205"/>
      <c r="BU104" s="16">
        <v>3</v>
      </c>
      <c r="BV104" s="16">
        <v>0</v>
      </c>
      <c r="BW104" s="16">
        <v>18</v>
      </c>
      <c r="BX104" s="16" t="s">
        <v>190</v>
      </c>
      <c r="BY104" s="205"/>
      <c r="CD104" s="205"/>
      <c r="CI104" s="205"/>
      <c r="CN104" s="205"/>
      <c r="CS104" s="205"/>
      <c r="CX104" s="205"/>
      <c r="DC104" s="205"/>
      <c r="DH104" s="205"/>
      <c r="DM104" s="205"/>
      <c r="DN104" s="205"/>
      <c r="DO104" s="205"/>
      <c r="DQ104" s="206"/>
      <c r="DR104" s="188">
        <f t="shared" si="64"/>
        <v>3</v>
      </c>
      <c r="DS104" s="188"/>
      <c r="DT104" s="189">
        <f t="shared" si="65"/>
        <v>0</v>
      </c>
      <c r="DU104" s="189"/>
      <c r="DV104" s="188">
        <f t="shared" si="66"/>
        <v>18</v>
      </c>
      <c r="DW104" s="183" t="e">
        <f t="shared" ca="1" si="67"/>
        <v>#NAME?</v>
      </c>
      <c r="DX104" s="207"/>
      <c r="DY104" s="190" t="e">
        <f t="shared" ca="1" si="68"/>
        <v>#NAME?</v>
      </c>
      <c r="DZ104" s="191">
        <f t="shared" si="190"/>
        <v>3.1052631578947367</v>
      </c>
      <c r="EA104" s="191" t="str">
        <f t="shared" si="191"/>
        <v/>
      </c>
      <c r="EB104" s="191" t="str">
        <f t="shared" si="192"/>
        <v/>
      </c>
      <c r="EC104" s="208" t="e">
        <f t="shared" ca="1" si="72"/>
        <v>#NAME?</v>
      </c>
      <c r="ED104" s="36" t="str">
        <f t="shared" si="73"/>
        <v>SAFE</v>
      </c>
      <c r="EE104" s="193">
        <f>COUNTIF($ED$2:$ED$92, ED104)/(COUNTIF($ED$2:$ED$92, "&lt;&gt;""") - COUNTIF($ED$2:$ED$92, ""))</f>
        <v>0.37777777777777777</v>
      </c>
      <c r="EF104" s="36" t="str">
        <f t="shared" si="74"/>
        <v>Early</v>
      </c>
      <c r="EG104" s="207"/>
      <c r="EH104" s="194" t="e">
        <f t="shared" ca="1" si="75"/>
        <v>#NAME?</v>
      </c>
      <c r="EI104" s="194" t="e">
        <f t="shared" ca="1" si="76"/>
        <v>#NAME?</v>
      </c>
      <c r="EJ104" s="209" t="e">
        <f t="shared" ca="1" si="77"/>
        <v>#NAME?</v>
      </c>
      <c r="EK104" s="208" t="e">
        <f t="shared" ca="1" si="193"/>
        <v>#NAME?</v>
      </c>
      <c r="EL104" s="36" t="str">
        <f t="shared" si="79"/>
        <v>No</v>
      </c>
      <c r="EM104" s="207"/>
      <c r="EN104" s="192">
        <f t="shared" si="194"/>
        <v>1.2857142857142856</v>
      </c>
      <c r="EO104" s="192">
        <f t="shared" si="195"/>
        <v>1</v>
      </c>
      <c r="EP104" s="209">
        <f t="shared" si="82"/>
        <v>2.2857142857142856</v>
      </c>
      <c r="EQ104" s="210">
        <f t="shared" si="196"/>
        <v>1.2242990654205608</v>
      </c>
      <c r="ER104" s="36" t="e">
        <f t="shared" ca="1" si="84"/>
        <v>#NAME?</v>
      </c>
      <c r="ES104" s="40">
        <f ca="1">COUNTIF($ER$2:$ER$92, ER104)/(COUNTIF($ER$2:$ER$92, "&lt;&gt;""") - COUNTIF($ER$2:$ER$92, ""))</f>
        <v>1</v>
      </c>
      <c r="ET104" s="36">
        <f t="shared" si="85"/>
        <v>1</v>
      </c>
      <c r="EU104" s="40">
        <f>COUNTIF($ET$2:$ET$92, ET104)/(COUNTIF($ET$2:$ET$92, "&lt;&gt;""") - COUNTIF($ET$2:$ET$92, ""))</f>
        <v>0.45555555555555555</v>
      </c>
      <c r="EV104" s="36">
        <f t="shared" si="86"/>
        <v>2</v>
      </c>
      <c r="EW104" s="40">
        <f>COUNTIF($EV$2:$EV$92, EV104)/(COUNTIF($EV$2:$EV$92, "&lt;&gt;""") - COUNTIF($EV$2:$EV$92, ""))</f>
        <v>0.15555555555555556</v>
      </c>
      <c r="EX104" s="36" t="str">
        <f t="shared" si="87"/>
        <v>No</v>
      </c>
      <c r="EY104" s="40">
        <f>COUNTIF($EX$2:$EX$92, EX104)/(COUNTIF($EX$2:$EX$92, "&lt;&gt;""") - COUNTIF($EX$2:$EX$92, ""))</f>
        <v>0.72222222222222221</v>
      </c>
      <c r="EZ104" s="36" t="str">
        <f t="shared" ref="EZ104:FB104" si="227">BM104</f>
        <v>Yes</v>
      </c>
      <c r="FA104" s="36" t="str">
        <f t="shared" si="227"/>
        <v>Yes</v>
      </c>
      <c r="FB104" s="36" t="str">
        <f t="shared" si="227"/>
        <v>No</v>
      </c>
      <c r="FC104" s="207"/>
      <c r="FD104" s="36" t="str">
        <f t="shared" si="89"/>
        <v>Transactional</v>
      </c>
      <c r="FE104" s="40">
        <f>COUNTIF($FD$2:$FD$92, FD104)/(COUNTIF($FD$2:$FD$92, "&lt;&gt;""") - COUNTIF($FD$2:$FD$92, ""))</f>
        <v>0.6</v>
      </c>
      <c r="FF104" s="36" t="str">
        <f t="shared" si="90"/>
        <v>B2B/B2C</v>
      </c>
      <c r="FG104" s="40">
        <f>COUNTIF($FF$2:$FF$92, FF104)/(COUNTIF($FF$2:$FF$92, "&lt;&gt;""") - COUNTIF($FF$2:$FF$92, ""))</f>
        <v>0.27777777777777779</v>
      </c>
      <c r="FH104" s="36" t="str">
        <f t="shared" si="91"/>
        <v>High</v>
      </c>
      <c r="FI104" s="40">
        <f>COUNTIF($FH$2:$FH$92, FH104)/(COUNTIF($FH$2:$FH$92, "&lt;&gt;""") - COUNTIF($FH$2:$FH$92, ""))</f>
        <v>0.53333333333333333</v>
      </c>
      <c r="FJ104" s="36" t="str">
        <f t="shared" si="92"/>
        <v>Low</v>
      </c>
      <c r="FK104" s="40">
        <f>COUNTIF($FJ$2:$FJ$92, FJ104)/(COUNTIF($FJ$2:$FJ$92, "&lt;&gt;""") - COUNTIF($FJ$2:$FJ$92, ""))</f>
        <v>0.41111111111111109</v>
      </c>
      <c r="FL104" s="207"/>
      <c r="FM104" s="192">
        <f t="shared" si="93"/>
        <v>5</v>
      </c>
      <c r="FN104" s="192" t="e">
        <f t="shared" ca="1" si="94"/>
        <v>#NAME?</v>
      </c>
      <c r="FO104" s="192" t="e">
        <f t="shared" ca="1" si="95"/>
        <v>#NAME?</v>
      </c>
      <c r="FP104" s="192" t="e">
        <f t="shared" ca="1" si="96"/>
        <v>#NAME?</v>
      </c>
      <c r="FQ104" s="209" t="e">
        <f t="shared" ca="1" si="97"/>
        <v>#NAME?</v>
      </c>
      <c r="FR104" s="208" t="e">
        <f t="shared" ca="1" si="198"/>
        <v>#NAME?</v>
      </c>
      <c r="FS104" s="36" t="str">
        <f t="shared" si="99"/>
        <v>Pre-Profit</v>
      </c>
      <c r="FT104" s="196">
        <f>COUNTIF($FS$2:$FS$92, FS104)/(COUNTIF($FS$2:$FS$92, "&lt;&gt;""") - COUNTIF($FZ$2:$FZ$92, ""))</f>
        <v>0.51111111111111107</v>
      </c>
      <c r="FU104" s="207"/>
      <c r="FV104" s="192" t="e">
        <f t="shared" ca="1" si="100"/>
        <v>#NAME?</v>
      </c>
      <c r="FW104" s="197" t="e">
        <f t="shared" ca="1" si="101"/>
        <v>#NAME?</v>
      </c>
      <c r="FX104" s="209" t="e">
        <f t="shared" ca="1" si="102"/>
        <v>#NAME?</v>
      </c>
      <c r="FY104" s="211" t="e">
        <f t="shared" ca="1" si="199"/>
        <v>#NAME?</v>
      </c>
      <c r="FZ104" s="36" t="str">
        <f t="shared" si="104"/>
        <v>No</v>
      </c>
      <c r="GA104" s="196">
        <f>COUNTIF($FZ$2:$FZ$92, FZ104)/(COUNTIF($FZ$2:$FZ$92, "&lt;&gt;""") - COUNTIF($FZ$2:$FZ$92, ""))</f>
        <v>0.76666666666666672</v>
      </c>
      <c r="GB104" s="196" t="str">
        <f t="shared" si="105"/>
        <v>Low</v>
      </c>
      <c r="GC104" s="196">
        <f>COUNTIF($GB$2:$GB$92, GB104)/(COUNTIF($GB$2:$GB$92, "&lt;&gt;""") - COUNTIF($GB$2:$GB$92, ""))</f>
        <v>0.55555555555555558</v>
      </c>
      <c r="GD104" s="196" t="str">
        <f t="shared" si="106"/>
        <v>High</v>
      </c>
      <c r="GE104" s="196">
        <f>COUNTIF($GD$2:$GD$92, GD104)/(COUNTIF($GD$2:$GD$92, "&lt;&gt;""") - COUNTIF($GD$2:$GD$92, ""))</f>
        <v>0.8</v>
      </c>
      <c r="GF104" s="207"/>
      <c r="GG104" s="36"/>
      <c r="GH104" s="209" t="e">
        <f t="shared" ca="1" si="107"/>
        <v>#NAME?</v>
      </c>
      <c r="GI104" s="212" t="e">
        <f t="shared" ca="1" si="200"/>
        <v>#NAME?</v>
      </c>
    </row>
    <row r="105" spans="1:191" ht="15.75" customHeight="1">
      <c r="A105" s="174"/>
      <c r="B105" s="174" t="s">
        <v>433</v>
      </c>
      <c r="C105" s="238">
        <v>1795715</v>
      </c>
      <c r="D105" s="244" t="s">
        <v>1143</v>
      </c>
      <c r="E105" s="254">
        <v>43887.426388888889</v>
      </c>
      <c r="F105" s="239" t="s">
        <v>337</v>
      </c>
      <c r="G105" s="32" t="s">
        <v>1144</v>
      </c>
      <c r="H105" s="32" t="s">
        <v>1145</v>
      </c>
      <c r="I105" s="255">
        <v>43885</v>
      </c>
      <c r="J105" s="247" t="s">
        <v>1146</v>
      </c>
      <c r="K105" s="247" t="s">
        <v>1143</v>
      </c>
      <c r="M105" s="243" t="s">
        <v>28</v>
      </c>
      <c r="N105" s="239" t="s">
        <v>336</v>
      </c>
      <c r="O105" s="239" t="s">
        <v>30</v>
      </c>
      <c r="P105" s="239" t="s">
        <v>174</v>
      </c>
      <c r="Q105" s="239" t="s">
        <v>35</v>
      </c>
      <c r="R105" s="187"/>
      <c r="S105" s="239" t="s">
        <v>216</v>
      </c>
      <c r="T105" s="248"/>
      <c r="U105" s="249"/>
      <c r="V105" s="69">
        <v>8000000</v>
      </c>
      <c r="W105" s="251"/>
      <c r="X105" s="252"/>
      <c r="Y105" s="55" t="str">
        <f t="shared" si="158"/>
        <v/>
      </c>
      <c r="Z105" s="274">
        <f t="shared" si="159"/>
        <v>8000000</v>
      </c>
      <c r="AA105" s="183" t="e">
        <f t="shared" ca="1" si="160"/>
        <v>#NAME?</v>
      </c>
      <c r="AB105" s="239" t="s">
        <v>36</v>
      </c>
      <c r="AC105" s="239" t="s">
        <v>179</v>
      </c>
      <c r="AD105" s="239" t="s">
        <v>38</v>
      </c>
      <c r="AE105" s="239" t="s">
        <v>227</v>
      </c>
      <c r="AF105" s="239" t="s">
        <v>39</v>
      </c>
      <c r="AG105" s="239" t="s">
        <v>181</v>
      </c>
      <c r="AH105" s="239" t="s">
        <v>190</v>
      </c>
      <c r="AI105" s="251"/>
      <c r="AJ105" s="279">
        <v>553700000</v>
      </c>
      <c r="AK105" s="224" t="e">
        <f t="shared" ca="1" si="161"/>
        <v>#NAME?</v>
      </c>
      <c r="AL105" s="279">
        <v>184566667</v>
      </c>
      <c r="AM105" s="224" t="e">
        <f t="shared" ca="1" si="162"/>
        <v>#NAME?</v>
      </c>
      <c r="AN105" s="279">
        <v>0.33500000000000002</v>
      </c>
      <c r="AO105" s="185" t="e">
        <f t="shared" ca="1" si="63"/>
        <v>#NAME?</v>
      </c>
      <c r="AP105" s="185" t="s">
        <v>264</v>
      </c>
      <c r="AQ105" s="239" t="s">
        <v>181</v>
      </c>
      <c r="AR105" s="239" t="s">
        <v>181</v>
      </c>
      <c r="AS105" s="239" t="s">
        <v>42</v>
      </c>
      <c r="AT105" s="29" t="s">
        <v>181</v>
      </c>
      <c r="AU105" s="29" t="s">
        <v>39</v>
      </c>
      <c r="AV105" s="239" t="s">
        <v>190</v>
      </c>
      <c r="AW105" s="239" t="s">
        <v>190</v>
      </c>
      <c r="AX105" s="239" t="s">
        <v>190</v>
      </c>
      <c r="AY105" s="239" t="s">
        <v>190</v>
      </c>
      <c r="AZ105" s="251">
        <v>0</v>
      </c>
      <c r="BA105" s="55" t="e">
        <f t="shared" ca="1" si="163"/>
        <v>#NAME?</v>
      </c>
      <c r="BB105" s="279">
        <v>0</v>
      </c>
      <c r="BC105" s="279">
        <v>0</v>
      </c>
      <c r="BD105" s="62" t="e">
        <f t="shared" ca="1" si="164"/>
        <v>#NAME?</v>
      </c>
      <c r="BE105" s="277">
        <f t="shared" si="165"/>
        <v>1</v>
      </c>
      <c r="BF105" s="62" t="e">
        <f t="shared" ca="1" si="166"/>
        <v>#NAME?</v>
      </c>
      <c r="BG105" s="239" t="s">
        <v>183</v>
      </c>
      <c r="BH105" s="187"/>
      <c r="BI105" s="239" t="s">
        <v>227</v>
      </c>
      <c r="BJ105" s="238">
        <v>1</v>
      </c>
      <c r="BK105" s="279">
        <v>1</v>
      </c>
      <c r="BL105" s="176" t="s">
        <v>190</v>
      </c>
      <c r="BM105" s="239" t="s">
        <v>227</v>
      </c>
      <c r="BN105" s="239" t="s">
        <v>227</v>
      </c>
      <c r="BO105" s="239" t="s">
        <v>190</v>
      </c>
      <c r="BP105" s="238">
        <v>1</v>
      </c>
      <c r="BQ105" s="238">
        <v>2</v>
      </c>
      <c r="BR105" s="238">
        <v>2</v>
      </c>
      <c r="BS105" s="238">
        <v>0</v>
      </c>
      <c r="BT105" s="205"/>
      <c r="BU105" s="16">
        <v>1</v>
      </c>
      <c r="BV105" s="16">
        <v>0</v>
      </c>
      <c r="BW105" s="16">
        <v>44</v>
      </c>
      <c r="BX105" s="16" t="s">
        <v>227</v>
      </c>
      <c r="BY105" s="205"/>
      <c r="CD105" s="205"/>
      <c r="CI105" s="205"/>
      <c r="CN105" s="205"/>
      <c r="CS105" s="205"/>
      <c r="CX105" s="205"/>
      <c r="DC105" s="205"/>
      <c r="DH105" s="205"/>
      <c r="DM105" s="205"/>
      <c r="DN105" s="205"/>
      <c r="DO105" s="205"/>
      <c r="DQ105" s="206"/>
      <c r="DR105" s="188">
        <f t="shared" si="64"/>
        <v>1</v>
      </c>
      <c r="DS105" s="188"/>
      <c r="DT105" s="189">
        <f t="shared" si="65"/>
        <v>0</v>
      </c>
      <c r="DU105" s="189"/>
      <c r="DV105" s="188">
        <f t="shared" si="66"/>
        <v>44</v>
      </c>
      <c r="DW105" s="183" t="e">
        <f t="shared" ca="1" si="67"/>
        <v>#NAME?</v>
      </c>
      <c r="DX105" s="207"/>
      <c r="DY105" s="190" t="e">
        <f t="shared" ca="1" si="68"/>
        <v>#NAME?</v>
      </c>
      <c r="DZ105" s="191" t="str">
        <f t="shared" si="190"/>
        <v/>
      </c>
      <c r="EA105" s="191" t="str">
        <f t="shared" si="191"/>
        <v/>
      </c>
      <c r="EB105" s="191" t="str">
        <f t="shared" si="192"/>
        <v/>
      </c>
      <c r="EC105" s="208" t="e">
        <f t="shared" ca="1" si="72"/>
        <v>#NAME?</v>
      </c>
      <c r="ED105" s="36" t="str">
        <f t="shared" si="73"/>
        <v>Equity - Common</v>
      </c>
      <c r="EE105" s="193">
        <f>COUNTIF($ED$2:$ED$92, ED105)/(COUNTIF($ED$2:$ED$92, "&lt;&gt;""") - COUNTIF($ED$2:$ED$92, ""))</f>
        <v>0.32222222222222224</v>
      </c>
      <c r="EF105" s="36" t="str">
        <f t="shared" si="74"/>
        <v>Early</v>
      </c>
      <c r="EG105" s="207"/>
      <c r="EH105" s="194" t="e">
        <f t="shared" ca="1" si="75"/>
        <v>#NAME?</v>
      </c>
      <c r="EI105" s="194" t="e">
        <f t="shared" ca="1" si="76"/>
        <v>#NAME?</v>
      </c>
      <c r="EJ105" s="209" t="e">
        <f t="shared" ca="1" si="77"/>
        <v>#NAME?</v>
      </c>
      <c r="EK105" s="208" t="e">
        <f t="shared" ca="1" si="193"/>
        <v>#NAME?</v>
      </c>
      <c r="EL105" s="36" t="str">
        <f t="shared" si="79"/>
        <v>No</v>
      </c>
      <c r="EM105" s="207"/>
      <c r="EN105" s="192">
        <f t="shared" si="194"/>
        <v>1.0952380952380953</v>
      </c>
      <c r="EO105" s="192">
        <f t="shared" si="195"/>
        <v>1</v>
      </c>
      <c r="EP105" s="209">
        <f t="shared" si="82"/>
        <v>2.0952380952380953</v>
      </c>
      <c r="EQ105" s="210">
        <f t="shared" si="196"/>
        <v>1.0747663551401869</v>
      </c>
      <c r="ER105" s="36" t="e">
        <f t="shared" ca="1" si="84"/>
        <v>#NAME?</v>
      </c>
      <c r="ES105" s="40">
        <f ca="1">COUNTIF($ER$2:$ER$92, ER105)/(COUNTIF($ER$2:$ER$92, "&lt;&gt;""") - COUNTIF($ER$2:$ER$92, ""))</f>
        <v>1</v>
      </c>
      <c r="ET105" s="36">
        <f t="shared" si="85"/>
        <v>1</v>
      </c>
      <c r="EU105" s="40">
        <f>COUNTIF($ET$2:$ET$92, ET105)/(COUNTIF($ET$2:$ET$92, "&lt;&gt;""") - COUNTIF($ET$2:$ET$92, ""))</f>
        <v>0.45555555555555555</v>
      </c>
      <c r="EV105" s="36">
        <f t="shared" si="86"/>
        <v>2</v>
      </c>
      <c r="EW105" s="40">
        <f>COUNTIF($EV$2:$EV$92, EV105)/(COUNTIF($EV$2:$EV$92, "&lt;&gt;""") - COUNTIF($EV$2:$EV$92, ""))</f>
        <v>0.15555555555555556</v>
      </c>
      <c r="EX105" s="36" t="str">
        <f t="shared" si="87"/>
        <v>No</v>
      </c>
      <c r="EY105" s="40">
        <f>COUNTIF($EX$2:$EX$92, EX105)/(COUNTIF($EX$2:$EX$92, "&lt;&gt;""") - COUNTIF($EX$2:$EX$92, ""))</f>
        <v>0.72222222222222221</v>
      </c>
      <c r="EZ105" s="36" t="str">
        <f t="shared" ref="EZ105:FB105" si="228">BM105</f>
        <v>Yes</v>
      </c>
      <c r="FA105" s="36" t="str">
        <f t="shared" si="228"/>
        <v>Yes</v>
      </c>
      <c r="FB105" s="36" t="str">
        <f t="shared" si="228"/>
        <v>No</v>
      </c>
      <c r="FC105" s="207"/>
      <c r="FD105" s="36" t="str">
        <f t="shared" si="89"/>
        <v>Transactional</v>
      </c>
      <c r="FE105" s="40">
        <f>COUNTIF($FD$2:$FD$92, FD105)/(COUNTIF($FD$2:$FD$92, "&lt;&gt;""") - COUNTIF($FD$2:$FD$92, ""))</f>
        <v>0.6</v>
      </c>
      <c r="FF105" s="36" t="str">
        <f t="shared" si="90"/>
        <v>B2C</v>
      </c>
      <c r="FG105" s="40">
        <f>COUNTIF($FF$2:$FF$92, FF105)/(COUNTIF($FF$2:$FF$92, "&lt;&gt;""") - COUNTIF($FF$2:$FF$92, ""))</f>
        <v>0.41111111111111109</v>
      </c>
      <c r="FH105" s="36" t="str">
        <f t="shared" si="91"/>
        <v>High</v>
      </c>
      <c r="FI105" s="40">
        <f>COUNTIF($FH$2:$FH$92, FH105)/(COUNTIF($FH$2:$FH$92, "&lt;&gt;""") - COUNTIF($FH$2:$FH$92, ""))</f>
        <v>0.53333333333333333</v>
      </c>
      <c r="FJ105" s="36" t="str">
        <f t="shared" si="92"/>
        <v>Low</v>
      </c>
      <c r="FK105" s="40">
        <f>COUNTIF($FJ$2:$FJ$92, FJ105)/(COUNTIF($FJ$2:$FJ$92, "&lt;&gt;""") - COUNTIF($FJ$2:$FJ$92, ""))</f>
        <v>0.41111111111111109</v>
      </c>
      <c r="FL105" s="207"/>
      <c r="FM105" s="192">
        <f t="shared" si="93"/>
        <v>1</v>
      </c>
      <c r="FN105" s="192" t="e">
        <f t="shared" ca="1" si="94"/>
        <v>#NAME?</v>
      </c>
      <c r="FO105" s="192" t="e">
        <f t="shared" ca="1" si="95"/>
        <v>#NAME?</v>
      </c>
      <c r="FP105" s="192" t="e">
        <f t="shared" ca="1" si="96"/>
        <v>#NAME?</v>
      </c>
      <c r="FQ105" s="209" t="e">
        <f t="shared" ca="1" si="97"/>
        <v>#NAME?</v>
      </c>
      <c r="FR105" s="208" t="e">
        <f t="shared" ca="1" si="198"/>
        <v>#NAME?</v>
      </c>
      <c r="FS105" s="36" t="str">
        <f t="shared" si="99"/>
        <v>Pre-Revenue</v>
      </c>
      <c r="FT105" s="196">
        <f>COUNTIF($FS$2:$FS$92, FS105)/(COUNTIF($FS$2:$FS$92, "&lt;&gt;""") - COUNTIF($FZ$2:$FZ$92, ""))</f>
        <v>0.2</v>
      </c>
      <c r="FU105" s="207"/>
      <c r="FV105" s="192" t="e">
        <f t="shared" ca="1" si="100"/>
        <v>#NAME?</v>
      </c>
      <c r="FW105" s="197" t="e">
        <f t="shared" ca="1" si="101"/>
        <v>#NAME?</v>
      </c>
      <c r="FX105" s="209" t="e">
        <f t="shared" ca="1" si="102"/>
        <v>#NAME?</v>
      </c>
      <c r="FY105" s="211" t="e">
        <f t="shared" ca="1" si="199"/>
        <v>#NAME?</v>
      </c>
      <c r="FZ105" s="36" t="str">
        <f t="shared" si="104"/>
        <v>No</v>
      </c>
      <c r="GA105" s="196">
        <f>COUNTIF($FZ$2:$FZ$92, FZ105)/(COUNTIF($FZ$2:$FZ$92, "&lt;&gt;""") - COUNTIF($FZ$2:$FZ$92, ""))</f>
        <v>0.76666666666666672</v>
      </c>
      <c r="GB105" s="196" t="str">
        <f t="shared" si="105"/>
        <v>Low</v>
      </c>
      <c r="GC105" s="196">
        <f>COUNTIF($GB$2:$GB$92, GB105)/(COUNTIF($GB$2:$GB$92, "&lt;&gt;""") - COUNTIF($GB$2:$GB$92, ""))</f>
        <v>0.55555555555555558</v>
      </c>
      <c r="GD105" s="196" t="str">
        <f t="shared" si="106"/>
        <v>High</v>
      </c>
      <c r="GE105" s="196">
        <f>COUNTIF($GD$2:$GD$92, GD105)/(COUNTIF($GD$2:$GD$92, "&lt;&gt;""") - COUNTIF($GD$2:$GD$92, ""))</f>
        <v>0.8</v>
      </c>
      <c r="GF105" s="207"/>
      <c r="GG105" s="36"/>
      <c r="GH105" s="209" t="e">
        <f t="shared" ca="1" si="107"/>
        <v>#NAME?</v>
      </c>
      <c r="GI105" s="212" t="e">
        <f t="shared" ca="1" si="200"/>
        <v>#NAME?</v>
      </c>
    </row>
    <row r="106" spans="1:191" ht="15.75" customHeight="1">
      <c r="A106" s="174"/>
      <c r="B106" s="174" t="s">
        <v>433</v>
      </c>
      <c r="C106" s="238">
        <v>1797565</v>
      </c>
      <c r="D106" s="244" t="s">
        <v>1147</v>
      </c>
      <c r="E106" s="245">
        <v>43887.644444444442</v>
      </c>
      <c r="F106" s="239" t="s">
        <v>221</v>
      </c>
      <c r="G106" s="32" t="s">
        <v>1148</v>
      </c>
      <c r="H106" s="32" t="s">
        <v>1149</v>
      </c>
      <c r="I106" s="246">
        <v>43873</v>
      </c>
      <c r="J106" s="247" t="s">
        <v>1150</v>
      </c>
      <c r="K106" s="247" t="s">
        <v>1151</v>
      </c>
      <c r="M106" s="239" t="s">
        <v>918</v>
      </c>
      <c r="N106" s="239" t="s">
        <v>194</v>
      </c>
      <c r="O106" s="239" t="s">
        <v>30</v>
      </c>
      <c r="P106" s="239" t="s">
        <v>174</v>
      </c>
      <c r="Q106" s="239" t="s">
        <v>35</v>
      </c>
      <c r="R106" s="187"/>
      <c r="S106" s="239" t="s">
        <v>216</v>
      </c>
      <c r="T106" s="248"/>
      <c r="U106" s="249"/>
      <c r="V106" s="69">
        <v>30000000</v>
      </c>
      <c r="W106" s="251"/>
      <c r="X106" s="252"/>
      <c r="Y106" s="55" t="str">
        <f t="shared" si="158"/>
        <v/>
      </c>
      <c r="Z106" s="274">
        <f t="shared" si="159"/>
        <v>30000000</v>
      </c>
      <c r="AA106" s="183" t="e">
        <f t="shared" ca="1" si="160"/>
        <v>#NAME?</v>
      </c>
      <c r="AB106" s="239" t="s">
        <v>178</v>
      </c>
      <c r="AC106" s="239" t="s">
        <v>37</v>
      </c>
      <c r="AD106" s="239" t="s">
        <v>180</v>
      </c>
      <c r="AE106" s="239" t="s">
        <v>227</v>
      </c>
      <c r="AF106" s="239" t="s">
        <v>39</v>
      </c>
      <c r="AG106" s="239" t="s">
        <v>39</v>
      </c>
      <c r="AH106" s="239" t="s">
        <v>190</v>
      </c>
      <c r="AI106" s="251"/>
      <c r="AJ106" s="279">
        <v>100000000000</v>
      </c>
      <c r="AK106" s="224" t="e">
        <f t="shared" ca="1" si="161"/>
        <v>#NAME?</v>
      </c>
      <c r="AL106" s="279">
        <v>100000000000</v>
      </c>
      <c r="AM106" s="224" t="e">
        <f t="shared" ca="1" si="162"/>
        <v>#NAME?</v>
      </c>
      <c r="AN106" s="279">
        <v>0.27</v>
      </c>
      <c r="AO106" s="185" t="e">
        <f t="shared" ca="1" si="63"/>
        <v>#NAME?</v>
      </c>
      <c r="AP106" s="185" t="s">
        <v>252</v>
      </c>
      <c r="AQ106" s="239" t="s">
        <v>39</v>
      </c>
      <c r="AR106" s="239" t="s">
        <v>181</v>
      </c>
      <c r="AS106" s="239" t="s">
        <v>182</v>
      </c>
      <c r="AT106" s="29" t="s">
        <v>39</v>
      </c>
      <c r="AU106" s="29" t="s">
        <v>181</v>
      </c>
      <c r="AV106" s="239" t="s">
        <v>227</v>
      </c>
      <c r="AW106" s="239" t="s">
        <v>227</v>
      </c>
      <c r="AX106" s="239" t="s">
        <v>190</v>
      </c>
      <c r="AY106" s="239" t="s">
        <v>190</v>
      </c>
      <c r="AZ106" s="251">
        <v>0</v>
      </c>
      <c r="BA106" s="55" t="e">
        <f t="shared" ca="1" si="163"/>
        <v>#NAME?</v>
      </c>
      <c r="BB106" s="279">
        <v>0</v>
      </c>
      <c r="BC106" s="279">
        <v>0</v>
      </c>
      <c r="BD106" s="62" t="e">
        <f t="shared" ca="1" si="164"/>
        <v>#NAME?</v>
      </c>
      <c r="BE106" s="277">
        <f t="shared" si="165"/>
        <v>1</v>
      </c>
      <c r="BF106" s="62" t="e">
        <f t="shared" ca="1" si="166"/>
        <v>#NAME?</v>
      </c>
      <c r="BG106" s="239" t="s">
        <v>183</v>
      </c>
      <c r="BH106" s="187"/>
      <c r="BI106" s="239" t="s">
        <v>190</v>
      </c>
      <c r="BJ106" s="239">
        <v>0</v>
      </c>
      <c r="BK106" s="279">
        <v>1</v>
      </c>
      <c r="BL106" s="176" t="s">
        <v>190</v>
      </c>
      <c r="BM106" s="239" t="s">
        <v>190</v>
      </c>
      <c r="BN106" s="239" t="s">
        <v>190</v>
      </c>
      <c r="BO106" s="239" t="s">
        <v>227</v>
      </c>
      <c r="BP106" s="238">
        <v>1</v>
      </c>
      <c r="BQ106" s="238">
        <v>4</v>
      </c>
      <c r="BR106" s="238">
        <v>0</v>
      </c>
      <c r="BS106" s="238">
        <v>0</v>
      </c>
      <c r="BT106" s="205"/>
      <c r="BU106" s="16">
        <v>12</v>
      </c>
      <c r="BV106" s="16">
        <v>0</v>
      </c>
      <c r="BW106" s="16">
        <v>70</v>
      </c>
      <c r="BX106" s="16" t="s">
        <v>190</v>
      </c>
      <c r="BY106" s="205"/>
      <c r="CD106" s="205"/>
      <c r="CI106" s="205"/>
      <c r="CN106" s="205"/>
      <c r="CS106" s="205"/>
      <c r="CX106" s="205"/>
      <c r="DC106" s="205"/>
      <c r="DH106" s="205"/>
      <c r="DM106" s="205"/>
      <c r="DN106" s="205"/>
      <c r="DO106" s="205"/>
      <c r="DQ106" s="206"/>
      <c r="DR106" s="188">
        <f t="shared" si="64"/>
        <v>12</v>
      </c>
      <c r="DS106" s="188"/>
      <c r="DT106" s="189">
        <f t="shared" si="65"/>
        <v>0</v>
      </c>
      <c r="DU106" s="189"/>
      <c r="DV106" s="188">
        <f t="shared" si="66"/>
        <v>70</v>
      </c>
      <c r="DW106" s="183" t="e">
        <f t="shared" ca="1" si="67"/>
        <v>#NAME?</v>
      </c>
      <c r="DX106" s="207"/>
      <c r="DY106" s="190" t="e">
        <f t="shared" ca="1" si="68"/>
        <v>#NAME?</v>
      </c>
      <c r="DZ106" s="191" t="str">
        <f t="shared" si="190"/>
        <v/>
      </c>
      <c r="EA106" s="191" t="str">
        <f t="shared" si="191"/>
        <v/>
      </c>
      <c r="EB106" s="191" t="str">
        <f t="shared" si="192"/>
        <v/>
      </c>
      <c r="EC106" s="208" t="e">
        <f t="shared" ca="1" si="72"/>
        <v>#NAME?</v>
      </c>
      <c r="ED106" s="36" t="str">
        <f t="shared" si="73"/>
        <v>Equity - Common</v>
      </c>
      <c r="EE106" s="193">
        <f>COUNTIF($ED$2:$ED$92, ED106)/(COUNTIF($ED$2:$ED$92, "&lt;&gt;""") - COUNTIF($ED$2:$ED$92, ""))</f>
        <v>0.32222222222222224</v>
      </c>
      <c r="EF106" s="36" t="str">
        <f t="shared" si="74"/>
        <v>Early</v>
      </c>
      <c r="EG106" s="207"/>
      <c r="EH106" s="194" t="e">
        <f t="shared" ca="1" si="75"/>
        <v>#NAME?</v>
      </c>
      <c r="EI106" s="194" t="e">
        <f t="shared" ca="1" si="76"/>
        <v>#NAME?</v>
      </c>
      <c r="EJ106" s="209" t="e">
        <f t="shared" ca="1" si="77"/>
        <v>#NAME?</v>
      </c>
      <c r="EK106" s="208" t="e">
        <f t="shared" ca="1" si="193"/>
        <v>#NAME?</v>
      </c>
      <c r="EL106" s="36" t="str">
        <f t="shared" si="79"/>
        <v>Yes</v>
      </c>
      <c r="EM106" s="207"/>
      <c r="EN106" s="192">
        <f t="shared" si="194"/>
        <v>2.1428571428571428</v>
      </c>
      <c r="EO106" s="192">
        <f t="shared" si="195"/>
        <v>1</v>
      </c>
      <c r="EP106" s="209">
        <f t="shared" si="82"/>
        <v>3.1428571428571428</v>
      </c>
      <c r="EQ106" s="210">
        <f t="shared" si="196"/>
        <v>1.8971962616822431</v>
      </c>
      <c r="ER106" s="36" t="e">
        <f t="shared" ca="1" si="84"/>
        <v>#NAME?</v>
      </c>
      <c r="ES106" s="40">
        <f ca="1">COUNTIF($ER$2:$ER$92, ER106)/(COUNTIF($ER$2:$ER$92, "&lt;&gt;""") - COUNTIF($ER$2:$ER$92, ""))</f>
        <v>1</v>
      </c>
      <c r="ET106" s="36">
        <f t="shared" si="85"/>
        <v>1</v>
      </c>
      <c r="EU106" s="40">
        <f>COUNTIF($ET$2:$ET$92, ET106)/(COUNTIF($ET$2:$ET$92, "&lt;&gt;""") - COUNTIF($ET$2:$ET$92, ""))</f>
        <v>0.45555555555555555</v>
      </c>
      <c r="EV106" s="36">
        <f t="shared" si="86"/>
        <v>4</v>
      </c>
      <c r="EW106" s="40">
        <f>COUNTIF($EV$2:$EV$92, EV106)/(COUNTIF($EV$2:$EV$92, "&lt;&gt;""") - COUNTIF($EV$2:$EV$92, ""))</f>
        <v>0.12222222222222222</v>
      </c>
      <c r="EX106" s="36" t="str">
        <f t="shared" si="87"/>
        <v>No</v>
      </c>
      <c r="EY106" s="40">
        <f>COUNTIF($EX$2:$EX$92, EX106)/(COUNTIF($EX$2:$EX$92, "&lt;&gt;""") - COUNTIF($EX$2:$EX$92, ""))</f>
        <v>0.72222222222222221</v>
      </c>
      <c r="EZ106" s="36" t="str">
        <f t="shared" ref="EZ106:FB106" si="229">BM106</f>
        <v>No</v>
      </c>
      <c r="FA106" s="36" t="str">
        <f t="shared" si="229"/>
        <v>No</v>
      </c>
      <c r="FB106" s="36" t="str">
        <f t="shared" si="229"/>
        <v>Yes</v>
      </c>
      <c r="FC106" s="207"/>
      <c r="FD106" s="36" t="str">
        <f t="shared" si="89"/>
        <v>Recurring</v>
      </c>
      <c r="FE106" s="40">
        <f>COUNTIF($FD$2:$FD$92, FD106)/(COUNTIF($FD$2:$FD$92, "&lt;&gt;""") - COUNTIF($FD$2:$FD$92, ""))</f>
        <v>0.4</v>
      </c>
      <c r="FF106" s="36" t="str">
        <f t="shared" si="90"/>
        <v>B2B</v>
      </c>
      <c r="FG106" s="40">
        <f>COUNTIF($FF$2:$FF$92, FF106)/(COUNTIF($FF$2:$FF$92, "&lt;&gt;""") - COUNTIF($FF$2:$FF$92, ""))</f>
        <v>0.24444444444444444</v>
      </c>
      <c r="FH106" s="36" t="str">
        <f t="shared" si="91"/>
        <v>High</v>
      </c>
      <c r="FI106" s="40">
        <f>COUNTIF($FH$2:$FH$92, FH106)/(COUNTIF($FH$2:$FH$92, "&lt;&gt;""") - COUNTIF($FH$2:$FH$92, ""))</f>
        <v>0.53333333333333333</v>
      </c>
      <c r="FJ106" s="36" t="str">
        <f t="shared" si="92"/>
        <v>High</v>
      </c>
      <c r="FK106" s="40">
        <f>COUNTIF($FJ$2:$FJ$92, FJ106)/(COUNTIF($FJ$2:$FJ$92, "&lt;&gt;""") - COUNTIF($FJ$2:$FJ$92, ""))</f>
        <v>0.58888888888888891</v>
      </c>
      <c r="FL106" s="207"/>
      <c r="FM106" s="192">
        <f t="shared" si="93"/>
        <v>1</v>
      </c>
      <c r="FN106" s="192" t="e">
        <f t="shared" ca="1" si="94"/>
        <v>#NAME?</v>
      </c>
      <c r="FO106" s="192" t="e">
        <f t="shared" ca="1" si="95"/>
        <v>#NAME?</v>
      </c>
      <c r="FP106" s="192" t="e">
        <f t="shared" ca="1" si="96"/>
        <v>#NAME?</v>
      </c>
      <c r="FQ106" s="209" t="e">
        <f t="shared" ca="1" si="97"/>
        <v>#NAME?</v>
      </c>
      <c r="FR106" s="208" t="e">
        <f t="shared" ca="1" si="198"/>
        <v>#NAME?</v>
      </c>
      <c r="FS106" s="36" t="str">
        <f t="shared" si="99"/>
        <v>Pre-Revenue</v>
      </c>
      <c r="FT106" s="196">
        <f>COUNTIF($FS$2:$FS$92, FS106)/(COUNTIF($FS$2:$FS$92, "&lt;&gt;""") - COUNTIF($FZ$2:$FZ$92, ""))</f>
        <v>0.2</v>
      </c>
      <c r="FU106" s="207"/>
      <c r="FV106" s="192">
        <f t="shared" si="100"/>
        <v>3</v>
      </c>
      <c r="FW106" s="197" t="e">
        <f t="shared" ca="1" si="101"/>
        <v>#NAME?</v>
      </c>
      <c r="FX106" s="209" t="e">
        <f t="shared" ca="1" si="102"/>
        <v>#NAME?</v>
      </c>
      <c r="FY106" s="211" t="e">
        <f t="shared" ca="1" si="199"/>
        <v>#NAME?</v>
      </c>
      <c r="FZ106" s="36" t="str">
        <f t="shared" si="104"/>
        <v>Yes</v>
      </c>
      <c r="GA106" s="196">
        <f>COUNTIF($FZ$2:$FZ$92, FZ106)/(COUNTIF($FZ$2:$FZ$92, "&lt;&gt;""") - COUNTIF($FZ$2:$FZ$92, ""))</f>
        <v>0.23333333333333334</v>
      </c>
      <c r="GB106" s="196" t="str">
        <f t="shared" si="105"/>
        <v>High</v>
      </c>
      <c r="GC106" s="196">
        <f>COUNTIF($GB$2:$GB$92, GB106)/(COUNTIF($GB$2:$GB$92, "&lt;&gt;""") - COUNTIF($GB$2:$GB$92, ""))</f>
        <v>0.43333333333333335</v>
      </c>
      <c r="GD106" s="196" t="str">
        <f t="shared" si="106"/>
        <v>Low</v>
      </c>
      <c r="GE106" s="196">
        <f>COUNTIF($GD$2:$GD$92, GD106)/(COUNTIF($GD$2:$GD$92, "&lt;&gt;""") - COUNTIF($GD$2:$GD$92, ""))</f>
        <v>0.18888888888888888</v>
      </c>
      <c r="GF106" s="207"/>
      <c r="GG106" s="36"/>
      <c r="GH106" s="209" t="e">
        <f t="shared" ca="1" si="107"/>
        <v>#NAME?</v>
      </c>
      <c r="GI106" s="212" t="e">
        <f t="shared" ca="1" si="200"/>
        <v>#NAME?</v>
      </c>
    </row>
    <row r="107" spans="1:191" ht="15.75" customHeight="1">
      <c r="A107" s="174"/>
      <c r="B107" s="174" t="s">
        <v>433</v>
      </c>
      <c r="C107" s="238">
        <v>1800212</v>
      </c>
      <c r="D107" s="244" t="s">
        <v>1152</v>
      </c>
      <c r="E107" s="245">
        <v>43888.472222222219</v>
      </c>
      <c r="F107" s="239" t="s">
        <v>344</v>
      </c>
      <c r="G107" s="32" t="s">
        <v>1153</v>
      </c>
      <c r="H107" s="32" t="s">
        <v>1154</v>
      </c>
      <c r="I107" s="246">
        <v>43847</v>
      </c>
      <c r="J107" s="247" t="s">
        <v>1155</v>
      </c>
      <c r="K107" s="247" t="s">
        <v>1152</v>
      </c>
      <c r="M107" s="16" t="s">
        <v>343</v>
      </c>
      <c r="N107" s="239" t="s">
        <v>315</v>
      </c>
      <c r="O107" s="239" t="s">
        <v>30</v>
      </c>
      <c r="P107" s="239" t="s">
        <v>197</v>
      </c>
      <c r="Q107" s="239" t="s">
        <v>35</v>
      </c>
      <c r="R107" s="187"/>
      <c r="S107" s="239" t="s">
        <v>269</v>
      </c>
      <c r="T107" s="248"/>
      <c r="U107" s="249"/>
      <c r="V107" s="250"/>
      <c r="W107" s="64">
        <v>1000000</v>
      </c>
      <c r="X107" s="252">
        <v>0</v>
      </c>
      <c r="Y107" s="55">
        <f t="shared" si="158"/>
        <v>1000000</v>
      </c>
      <c r="Z107" s="274">
        <f t="shared" si="159"/>
        <v>1000000</v>
      </c>
      <c r="AA107" s="183" t="e">
        <f t="shared" ca="1" si="160"/>
        <v>#NAME?</v>
      </c>
      <c r="AB107" s="239" t="s">
        <v>36</v>
      </c>
      <c r="AC107" s="239" t="s">
        <v>218</v>
      </c>
      <c r="AD107" s="239" t="s">
        <v>180</v>
      </c>
      <c r="AE107" s="239" t="s">
        <v>227</v>
      </c>
      <c r="AF107" s="239" t="s">
        <v>181</v>
      </c>
      <c r="AG107" s="239" t="s">
        <v>39</v>
      </c>
      <c r="AH107" s="239" t="s">
        <v>190</v>
      </c>
      <c r="AI107" s="251"/>
      <c r="AJ107" s="279">
        <v>87099440000</v>
      </c>
      <c r="AK107" s="224" t="e">
        <f t="shared" ca="1" si="161"/>
        <v>#NAME?</v>
      </c>
      <c r="AL107" s="279">
        <v>87099440000</v>
      </c>
      <c r="AM107" s="224" t="e">
        <f t="shared" ca="1" si="162"/>
        <v>#NAME?</v>
      </c>
      <c r="AN107" s="279">
        <v>0.192</v>
      </c>
      <c r="AO107" s="185" t="e">
        <f t="shared" ca="1" si="63"/>
        <v>#NAME?</v>
      </c>
      <c r="AP107" s="185" t="s">
        <v>211</v>
      </c>
      <c r="AQ107" s="239" t="s">
        <v>39</v>
      </c>
      <c r="AR107" s="239" t="s">
        <v>181</v>
      </c>
      <c r="AS107" s="239" t="s">
        <v>42</v>
      </c>
      <c r="AT107" s="29" t="s">
        <v>39</v>
      </c>
      <c r="AU107" s="29" t="s">
        <v>39</v>
      </c>
      <c r="AV107" s="239" t="s">
        <v>227</v>
      </c>
      <c r="AW107" s="239" t="s">
        <v>190</v>
      </c>
      <c r="AX107" s="239" t="s">
        <v>227</v>
      </c>
      <c r="AY107" s="239" t="s">
        <v>227</v>
      </c>
      <c r="AZ107" s="251">
        <v>72715</v>
      </c>
      <c r="BA107" s="55" t="e">
        <f t="shared" ca="1" si="163"/>
        <v>#NAME?</v>
      </c>
      <c r="BB107" s="279">
        <v>16744</v>
      </c>
      <c r="BC107" s="279">
        <v>344000</v>
      </c>
      <c r="BD107" s="62" t="e">
        <f t="shared" ca="1" si="164"/>
        <v>#NAME?</v>
      </c>
      <c r="BE107" s="277">
        <f t="shared" si="165"/>
        <v>4.867441860465116E-2</v>
      </c>
      <c r="BF107" s="62" t="e">
        <f t="shared" ca="1" si="166"/>
        <v>#NAME?</v>
      </c>
      <c r="BG107" s="239" t="s">
        <v>202</v>
      </c>
      <c r="BH107" s="187"/>
      <c r="BI107" s="239" t="s">
        <v>227</v>
      </c>
      <c r="BJ107" s="239">
        <v>1</v>
      </c>
      <c r="BK107" s="279">
        <v>2</v>
      </c>
      <c r="BL107" s="239" t="s">
        <v>227</v>
      </c>
      <c r="BM107" s="239" t="s">
        <v>190</v>
      </c>
      <c r="BN107" s="239" t="s">
        <v>227</v>
      </c>
      <c r="BO107" s="239" t="s">
        <v>190</v>
      </c>
      <c r="BP107" s="238">
        <v>2</v>
      </c>
      <c r="BQ107" s="238">
        <v>7</v>
      </c>
      <c r="BR107" s="238">
        <v>1</v>
      </c>
      <c r="BS107" s="239">
        <v>1</v>
      </c>
      <c r="BT107" s="205"/>
      <c r="BU107" s="16">
        <v>4</v>
      </c>
      <c r="BV107" s="16">
        <v>0</v>
      </c>
      <c r="BW107" s="16">
        <v>46</v>
      </c>
      <c r="BX107" s="16" t="s">
        <v>190</v>
      </c>
      <c r="BY107" s="205"/>
      <c r="BZ107" s="16">
        <v>4</v>
      </c>
      <c r="CA107" s="16">
        <v>0</v>
      </c>
      <c r="CD107" s="205"/>
      <c r="CI107" s="205"/>
      <c r="CN107" s="205"/>
      <c r="CS107" s="205"/>
      <c r="CX107" s="205"/>
      <c r="DC107" s="205"/>
      <c r="DH107" s="205"/>
      <c r="DM107" s="205"/>
      <c r="DN107" s="205"/>
      <c r="DO107" s="205"/>
      <c r="DQ107" s="206"/>
      <c r="DR107" s="188">
        <f t="shared" si="64"/>
        <v>4</v>
      </c>
      <c r="DS107" s="188"/>
      <c r="DT107" s="189">
        <f t="shared" si="65"/>
        <v>0</v>
      </c>
      <c r="DU107" s="189"/>
      <c r="DV107" s="188">
        <f t="shared" si="66"/>
        <v>46</v>
      </c>
      <c r="DW107" s="183" t="e">
        <f t="shared" ca="1" si="67"/>
        <v>#NAME?</v>
      </c>
      <c r="DX107" s="207"/>
      <c r="DY107" s="190" t="e">
        <f t="shared" ca="1" si="68"/>
        <v>#NAME?</v>
      </c>
      <c r="DZ107" s="191">
        <f t="shared" si="190"/>
        <v>1</v>
      </c>
      <c r="EA107" s="191" t="str">
        <f t="shared" si="191"/>
        <v/>
      </c>
      <c r="EB107" s="191" t="str">
        <f t="shared" si="192"/>
        <v/>
      </c>
      <c r="EC107" s="208" t="e">
        <f t="shared" ca="1" si="72"/>
        <v>#NAME?</v>
      </c>
      <c r="ED107" s="36" t="str">
        <f t="shared" si="73"/>
        <v>SAFE</v>
      </c>
      <c r="EE107" s="193">
        <f>COUNTIF($ED$2:$ED$92, ED107)/(COUNTIF($ED$2:$ED$92, "&lt;&gt;""") - COUNTIF($ED$2:$ED$92, ""))</f>
        <v>0.37777777777777777</v>
      </c>
      <c r="EF107" s="36" t="str">
        <f t="shared" si="74"/>
        <v>Early</v>
      </c>
      <c r="EG107" s="207"/>
      <c r="EH107" s="194" t="e">
        <f t="shared" ca="1" si="75"/>
        <v>#NAME?</v>
      </c>
      <c r="EI107" s="194" t="e">
        <f t="shared" ca="1" si="76"/>
        <v>#NAME?</v>
      </c>
      <c r="EJ107" s="209" t="e">
        <f t="shared" ca="1" si="77"/>
        <v>#NAME?</v>
      </c>
      <c r="EK107" s="208" t="e">
        <f t="shared" ca="1" si="193"/>
        <v>#NAME?</v>
      </c>
      <c r="EL107" s="36" t="str">
        <f t="shared" si="79"/>
        <v>Yes</v>
      </c>
      <c r="EM107" s="207"/>
      <c r="EN107" s="192">
        <f t="shared" si="194"/>
        <v>1.3809523809523809</v>
      </c>
      <c r="EO107" s="192">
        <f t="shared" si="195"/>
        <v>1</v>
      </c>
      <c r="EP107" s="209">
        <f t="shared" si="82"/>
        <v>2.3809523809523809</v>
      </c>
      <c r="EQ107" s="210">
        <f t="shared" si="196"/>
        <v>1.2990654205607477</v>
      </c>
      <c r="ER107" s="36" t="e">
        <f t="shared" ca="1" si="84"/>
        <v>#NAME?</v>
      </c>
      <c r="ES107" s="40">
        <f ca="1">COUNTIF($ER$2:$ER$92, ER107)/(COUNTIF($ER$2:$ER$92, "&lt;&gt;""") - COUNTIF($ER$2:$ER$92, ""))</f>
        <v>1</v>
      </c>
      <c r="ET107" s="36">
        <f t="shared" si="85"/>
        <v>2</v>
      </c>
      <c r="EU107" s="40">
        <f>COUNTIF($ET$2:$ET$92, ET107)/(COUNTIF($ET$2:$ET$92, "&lt;&gt;""") - COUNTIF($ET$2:$ET$92, ""))</f>
        <v>0.45555555555555555</v>
      </c>
      <c r="EV107" s="36">
        <f t="shared" si="86"/>
        <v>7</v>
      </c>
      <c r="EW107" s="40">
        <f>COUNTIF($EV$2:$EV$92, EV107)/(COUNTIF($EV$2:$EV$92, "&lt;&gt;""") - COUNTIF($EV$2:$EV$92, ""))</f>
        <v>4.4444444444444446E-2</v>
      </c>
      <c r="EX107" s="36" t="str">
        <f t="shared" si="87"/>
        <v>Yes</v>
      </c>
      <c r="EY107" s="40">
        <f>COUNTIF($EX$2:$EX$92, EX107)/(COUNTIF($EX$2:$EX$92, "&lt;&gt;""") - COUNTIF($EX$2:$EX$92, ""))</f>
        <v>0.27777777777777779</v>
      </c>
      <c r="EZ107" s="36" t="str">
        <f t="shared" ref="EZ107:FB107" si="230">BM107</f>
        <v>No</v>
      </c>
      <c r="FA107" s="36" t="str">
        <f t="shared" si="230"/>
        <v>Yes</v>
      </c>
      <c r="FB107" s="36" t="str">
        <f t="shared" si="230"/>
        <v>No</v>
      </c>
      <c r="FC107" s="207"/>
      <c r="FD107" s="36" t="str">
        <f t="shared" si="89"/>
        <v>Transactional</v>
      </c>
      <c r="FE107" s="40">
        <f>COUNTIF($FD$2:$FD$92, FD107)/(COUNTIF($FD$2:$FD$92, "&lt;&gt;""") - COUNTIF($FD$2:$FD$92, ""))</f>
        <v>0.6</v>
      </c>
      <c r="FF107" s="36" t="str">
        <f t="shared" si="90"/>
        <v>B2B/B2C</v>
      </c>
      <c r="FG107" s="40">
        <f>COUNTIF($FF$2:$FF$92, FF107)/(COUNTIF($FF$2:$FF$92, "&lt;&gt;""") - COUNTIF($FF$2:$FF$92, ""))</f>
        <v>0.27777777777777779</v>
      </c>
      <c r="FH107" s="36" t="str">
        <f t="shared" si="91"/>
        <v>Low</v>
      </c>
      <c r="FI107" s="40">
        <f>COUNTIF($FH$2:$FH$92, FH107)/(COUNTIF($FH$2:$FH$92, "&lt;&gt;""") - COUNTIF($FH$2:$FH$92, ""))</f>
        <v>0.46666666666666667</v>
      </c>
      <c r="FJ107" s="36" t="str">
        <f t="shared" si="92"/>
        <v>High</v>
      </c>
      <c r="FK107" s="40">
        <f>COUNTIF($FJ$2:$FJ$92, FJ107)/(COUNTIF($FJ$2:$FJ$92, "&lt;&gt;""") - COUNTIF($FJ$2:$FJ$92, ""))</f>
        <v>0.58888888888888891</v>
      </c>
      <c r="FL107" s="207"/>
      <c r="FM107" s="192">
        <f t="shared" si="93"/>
        <v>5</v>
      </c>
      <c r="FN107" s="192" t="e">
        <f t="shared" ca="1" si="94"/>
        <v>#NAME?</v>
      </c>
      <c r="FO107" s="192" t="e">
        <f t="shared" ca="1" si="95"/>
        <v>#NAME?</v>
      </c>
      <c r="FP107" s="192" t="e">
        <f t="shared" ca="1" si="96"/>
        <v>#NAME?</v>
      </c>
      <c r="FQ107" s="209" t="e">
        <f t="shared" ca="1" si="97"/>
        <v>#NAME?</v>
      </c>
      <c r="FR107" s="208" t="e">
        <f t="shared" ca="1" si="198"/>
        <v>#NAME?</v>
      </c>
      <c r="FS107" s="36" t="str">
        <f t="shared" si="99"/>
        <v>Pre-Profit</v>
      </c>
      <c r="FT107" s="196">
        <f>COUNTIF($FS$2:$FS$92, FS107)/(COUNTIF($FS$2:$FS$92, "&lt;&gt;""") - COUNTIF($FZ$2:$FZ$92, ""))</f>
        <v>0.51111111111111107</v>
      </c>
      <c r="FU107" s="207"/>
      <c r="FV107" s="192">
        <f t="shared" si="100"/>
        <v>3</v>
      </c>
      <c r="FW107" s="197" t="e">
        <f t="shared" ca="1" si="101"/>
        <v>#NAME?</v>
      </c>
      <c r="FX107" s="209" t="e">
        <f t="shared" ca="1" si="102"/>
        <v>#NAME?</v>
      </c>
      <c r="FY107" s="211" t="e">
        <f t="shared" ca="1" si="199"/>
        <v>#NAME?</v>
      </c>
      <c r="FZ107" s="36" t="str">
        <f t="shared" si="104"/>
        <v>No</v>
      </c>
      <c r="GA107" s="196">
        <f>COUNTIF($FZ$2:$FZ$92, FZ107)/(COUNTIF($FZ$2:$FZ$92, "&lt;&gt;""") - COUNTIF($FZ$2:$FZ$92, ""))</f>
        <v>0.76666666666666672</v>
      </c>
      <c r="GB107" s="196" t="str">
        <f t="shared" si="105"/>
        <v>High</v>
      </c>
      <c r="GC107" s="196">
        <f>COUNTIF($GB$2:$GB$92, GB107)/(COUNTIF($GB$2:$GB$92, "&lt;&gt;""") - COUNTIF($GB$2:$GB$92, ""))</f>
        <v>0.43333333333333335</v>
      </c>
      <c r="GD107" s="196" t="str">
        <f t="shared" si="106"/>
        <v>High</v>
      </c>
      <c r="GE107" s="196">
        <f>COUNTIF($GD$2:$GD$92, GD107)/(COUNTIF($GD$2:$GD$92, "&lt;&gt;""") - COUNTIF($GD$2:$GD$92, ""))</f>
        <v>0.8</v>
      </c>
      <c r="GF107" s="207"/>
      <c r="GG107" s="36"/>
      <c r="GH107" s="209" t="e">
        <f t="shared" ca="1" si="107"/>
        <v>#NAME?</v>
      </c>
      <c r="GI107" s="212" t="e">
        <f t="shared" ca="1" si="200"/>
        <v>#NAME?</v>
      </c>
    </row>
    <row r="108" spans="1:191" ht="15.75" customHeight="1">
      <c r="A108" s="174"/>
      <c r="B108" s="174" t="s">
        <v>433</v>
      </c>
      <c r="C108" s="238">
        <v>1674612</v>
      </c>
      <c r="D108" s="244" t="s">
        <v>1156</v>
      </c>
      <c r="E108" s="245">
        <v>43889.460416666669</v>
      </c>
      <c r="F108" s="239" t="s">
        <v>316</v>
      </c>
      <c r="G108" s="32" t="s">
        <v>1157</v>
      </c>
      <c r="H108" s="32" t="s">
        <v>1158</v>
      </c>
      <c r="I108" s="246">
        <v>43888</v>
      </c>
      <c r="J108" s="247" t="s">
        <v>1159</v>
      </c>
      <c r="K108" s="247" t="s">
        <v>1156</v>
      </c>
      <c r="M108" s="239" t="s">
        <v>1160</v>
      </c>
      <c r="N108" s="239" t="s">
        <v>350</v>
      </c>
      <c r="O108" s="239" t="s">
        <v>30</v>
      </c>
      <c r="P108" s="239" t="s">
        <v>174</v>
      </c>
      <c r="Q108" s="239" t="s">
        <v>35</v>
      </c>
      <c r="R108" s="187"/>
      <c r="S108" s="239" t="s">
        <v>216</v>
      </c>
      <c r="T108" s="248"/>
      <c r="U108" s="249"/>
      <c r="V108" s="69">
        <v>4232500</v>
      </c>
      <c r="W108" s="251"/>
      <c r="X108" s="252"/>
      <c r="Y108" s="55" t="str">
        <f t="shared" si="158"/>
        <v/>
      </c>
      <c r="Z108" s="274">
        <f t="shared" si="159"/>
        <v>4232500</v>
      </c>
      <c r="AA108" s="183" t="e">
        <f t="shared" ca="1" si="160"/>
        <v>#NAME?</v>
      </c>
      <c r="AB108" s="239" t="s">
        <v>36</v>
      </c>
      <c r="AC108" s="239" t="s">
        <v>179</v>
      </c>
      <c r="AD108" s="239" t="s">
        <v>180</v>
      </c>
      <c r="AE108" s="239" t="s">
        <v>227</v>
      </c>
      <c r="AF108" s="239" t="s">
        <v>39</v>
      </c>
      <c r="AG108" s="239" t="s">
        <v>181</v>
      </c>
      <c r="AH108" s="239" t="s">
        <v>190</v>
      </c>
      <c r="AI108" s="251"/>
      <c r="AJ108" s="279">
        <v>49000000000</v>
      </c>
      <c r="AK108" s="224" t="e">
        <f t="shared" ca="1" si="161"/>
        <v>#NAME?</v>
      </c>
      <c r="AL108" s="279">
        <v>49000000000</v>
      </c>
      <c r="AM108" s="224" t="e">
        <f t="shared" ca="1" si="162"/>
        <v>#NAME?</v>
      </c>
      <c r="AN108" s="279">
        <v>2.9000000000000001E-2</v>
      </c>
      <c r="AO108" s="185" t="e">
        <f t="shared" ca="1" si="63"/>
        <v>#NAME?</v>
      </c>
      <c r="AP108" s="185" t="s">
        <v>264</v>
      </c>
      <c r="AQ108" s="239" t="s">
        <v>39</v>
      </c>
      <c r="AR108" s="239" t="s">
        <v>39</v>
      </c>
      <c r="AS108" s="239" t="s">
        <v>42</v>
      </c>
      <c r="AT108" s="29" t="s">
        <v>181</v>
      </c>
      <c r="AU108" s="29" t="s">
        <v>39</v>
      </c>
      <c r="AV108" s="239" t="s">
        <v>190</v>
      </c>
      <c r="AW108" s="239" t="s">
        <v>190</v>
      </c>
      <c r="AX108" s="239" t="s">
        <v>190</v>
      </c>
      <c r="AY108" s="239" t="s">
        <v>190</v>
      </c>
      <c r="AZ108" s="251">
        <v>0</v>
      </c>
      <c r="BA108" s="55" t="e">
        <f t="shared" ca="1" si="163"/>
        <v>#NAME?</v>
      </c>
      <c r="BB108" s="279">
        <v>2890</v>
      </c>
      <c r="BC108" s="279">
        <v>250000</v>
      </c>
      <c r="BD108" s="62" t="e">
        <f t="shared" ca="1" si="164"/>
        <v>#NAME?</v>
      </c>
      <c r="BE108" s="277">
        <f t="shared" si="165"/>
        <v>1.1560000000000001E-2</v>
      </c>
      <c r="BF108" s="62" t="e">
        <f t="shared" ca="1" si="166"/>
        <v>#NAME?</v>
      </c>
      <c r="BG108" s="239" t="s">
        <v>43</v>
      </c>
      <c r="BH108" s="187"/>
      <c r="BI108" s="239" t="s">
        <v>227</v>
      </c>
      <c r="BJ108" s="239">
        <v>1</v>
      </c>
      <c r="BK108" s="279">
        <v>1</v>
      </c>
      <c r="BL108" s="176" t="s">
        <v>190</v>
      </c>
      <c r="BM108" s="239" t="s">
        <v>190</v>
      </c>
      <c r="BN108" s="239" t="s">
        <v>190</v>
      </c>
      <c r="BO108" s="239" t="s">
        <v>190</v>
      </c>
      <c r="BP108" s="238">
        <v>2</v>
      </c>
      <c r="BQ108" s="238">
        <v>4</v>
      </c>
      <c r="BR108" s="238">
        <v>2</v>
      </c>
      <c r="BS108" s="238">
        <v>2</v>
      </c>
      <c r="BT108" s="205"/>
      <c r="BU108" s="16">
        <v>8</v>
      </c>
      <c r="BV108" s="16">
        <v>0</v>
      </c>
      <c r="BW108" s="16">
        <v>26</v>
      </c>
      <c r="BX108" s="16" t="s">
        <v>190</v>
      </c>
      <c r="BY108" s="205"/>
      <c r="CD108" s="205"/>
      <c r="CI108" s="205"/>
      <c r="CN108" s="205"/>
      <c r="CS108" s="205"/>
      <c r="CX108" s="205"/>
      <c r="DC108" s="205"/>
      <c r="DH108" s="205"/>
      <c r="DM108" s="205"/>
      <c r="DN108" s="205"/>
      <c r="DO108" s="205"/>
      <c r="DQ108" s="206"/>
      <c r="DR108" s="188">
        <f t="shared" si="64"/>
        <v>8</v>
      </c>
      <c r="DS108" s="188"/>
      <c r="DT108" s="189">
        <f t="shared" si="65"/>
        <v>0</v>
      </c>
      <c r="DU108" s="189"/>
      <c r="DV108" s="188">
        <f t="shared" si="66"/>
        <v>26</v>
      </c>
      <c r="DW108" s="183" t="e">
        <f t="shared" ca="1" si="67"/>
        <v>#NAME?</v>
      </c>
      <c r="DX108" s="207"/>
      <c r="DY108" s="190" t="e">
        <f t="shared" ca="1" si="68"/>
        <v>#NAME?</v>
      </c>
      <c r="DZ108" s="191" t="str">
        <f t="shared" si="190"/>
        <v/>
      </c>
      <c r="EA108" s="191" t="str">
        <f t="shared" si="191"/>
        <v/>
      </c>
      <c r="EB108" s="191" t="str">
        <f t="shared" si="192"/>
        <v/>
      </c>
      <c r="EC108" s="208" t="e">
        <f t="shared" ca="1" si="72"/>
        <v>#NAME?</v>
      </c>
      <c r="ED108" s="36" t="str">
        <f t="shared" si="73"/>
        <v>Equity - Common</v>
      </c>
      <c r="EE108" s="193">
        <f>COUNTIF($ED$2:$ED$92, ED108)/(COUNTIF($ED$2:$ED$92, "&lt;&gt;""") - COUNTIF($ED$2:$ED$92, ""))</f>
        <v>0.32222222222222224</v>
      </c>
      <c r="EF108" s="36" t="str">
        <f t="shared" si="74"/>
        <v>Early</v>
      </c>
      <c r="EG108" s="207"/>
      <c r="EH108" s="194" t="e">
        <f t="shared" ca="1" si="75"/>
        <v>#NAME?</v>
      </c>
      <c r="EI108" s="194" t="e">
        <f t="shared" ca="1" si="76"/>
        <v>#NAME?</v>
      </c>
      <c r="EJ108" s="209" t="e">
        <f t="shared" ca="1" si="77"/>
        <v>#NAME?</v>
      </c>
      <c r="EK108" s="208" t="e">
        <f t="shared" ca="1" si="193"/>
        <v>#NAME?</v>
      </c>
      <c r="EL108" s="36" t="str">
        <f t="shared" si="79"/>
        <v>No</v>
      </c>
      <c r="EM108" s="207"/>
      <c r="EN108" s="192">
        <f t="shared" si="194"/>
        <v>1.7619047619047619</v>
      </c>
      <c r="EO108" s="192">
        <f t="shared" si="195"/>
        <v>1</v>
      </c>
      <c r="EP108" s="209">
        <f t="shared" si="82"/>
        <v>2.7619047619047619</v>
      </c>
      <c r="EQ108" s="210">
        <f t="shared" si="196"/>
        <v>1.5981308411214954</v>
      </c>
      <c r="ER108" s="36" t="e">
        <f t="shared" ca="1" si="84"/>
        <v>#NAME?</v>
      </c>
      <c r="ES108" s="40">
        <f ca="1">COUNTIF($ER$2:$ER$92, ER108)/(COUNTIF($ER$2:$ER$92, "&lt;&gt;""") - COUNTIF($ER$2:$ER$92, ""))</f>
        <v>1</v>
      </c>
      <c r="ET108" s="36">
        <f t="shared" si="85"/>
        <v>1</v>
      </c>
      <c r="EU108" s="40">
        <f>COUNTIF($ET$2:$ET$92, ET108)/(COUNTIF($ET$2:$ET$92, "&lt;&gt;""") - COUNTIF($ET$2:$ET$92, ""))</f>
        <v>0.45555555555555555</v>
      </c>
      <c r="EV108" s="36">
        <f t="shared" si="86"/>
        <v>4</v>
      </c>
      <c r="EW108" s="40">
        <f>COUNTIF($EV$2:$EV$92, EV108)/(COUNTIF($EV$2:$EV$92, "&lt;&gt;""") - COUNTIF($EV$2:$EV$92, ""))</f>
        <v>0.12222222222222222</v>
      </c>
      <c r="EX108" s="36" t="str">
        <f t="shared" si="87"/>
        <v>No</v>
      </c>
      <c r="EY108" s="40">
        <f>COUNTIF($EX$2:$EX$92, EX108)/(COUNTIF($EX$2:$EX$92, "&lt;&gt;""") - COUNTIF($EX$2:$EX$92, ""))</f>
        <v>0.72222222222222221</v>
      </c>
      <c r="EZ108" s="36" t="str">
        <f t="shared" ref="EZ108:FB108" si="231">BM108</f>
        <v>No</v>
      </c>
      <c r="FA108" s="36" t="str">
        <f t="shared" si="231"/>
        <v>No</v>
      </c>
      <c r="FB108" s="36" t="str">
        <f t="shared" si="231"/>
        <v>No</v>
      </c>
      <c r="FC108" s="207"/>
      <c r="FD108" s="36" t="str">
        <f t="shared" si="89"/>
        <v>Transactional</v>
      </c>
      <c r="FE108" s="40">
        <f>COUNTIF($FD$2:$FD$92, FD108)/(COUNTIF($FD$2:$FD$92, "&lt;&gt;""") - COUNTIF($FD$2:$FD$92, ""))</f>
        <v>0.6</v>
      </c>
      <c r="FF108" s="36" t="str">
        <f t="shared" si="90"/>
        <v>B2C</v>
      </c>
      <c r="FG108" s="40">
        <f>COUNTIF($FF$2:$FF$92, FF108)/(COUNTIF($FF$2:$FF$92, "&lt;&gt;""") - COUNTIF($FF$2:$FF$92, ""))</f>
        <v>0.41111111111111109</v>
      </c>
      <c r="FH108" s="36" t="str">
        <f t="shared" si="91"/>
        <v>High</v>
      </c>
      <c r="FI108" s="40">
        <f>COUNTIF($FH$2:$FH$92, FH108)/(COUNTIF($FH$2:$FH$92, "&lt;&gt;""") - COUNTIF($FH$2:$FH$92, ""))</f>
        <v>0.53333333333333333</v>
      </c>
      <c r="FJ108" s="36" t="str">
        <f t="shared" si="92"/>
        <v>Low</v>
      </c>
      <c r="FK108" s="40">
        <f>COUNTIF($FJ$2:$FJ$92, FJ108)/(COUNTIF($FJ$2:$FJ$92, "&lt;&gt;""") - COUNTIF($FJ$2:$FJ$92, ""))</f>
        <v>0.41111111111111109</v>
      </c>
      <c r="FL108" s="207"/>
      <c r="FM108" s="192">
        <f t="shared" si="93"/>
        <v>1</v>
      </c>
      <c r="FN108" s="192" t="e">
        <f t="shared" ca="1" si="94"/>
        <v>#NAME?</v>
      </c>
      <c r="FO108" s="192" t="e">
        <f t="shared" ca="1" si="95"/>
        <v>#NAME?</v>
      </c>
      <c r="FP108" s="192" t="e">
        <f t="shared" ca="1" si="96"/>
        <v>#NAME?</v>
      </c>
      <c r="FQ108" s="209" t="e">
        <f t="shared" ca="1" si="97"/>
        <v>#NAME?</v>
      </c>
      <c r="FR108" s="208" t="e">
        <f t="shared" ca="1" si="198"/>
        <v>#NAME?</v>
      </c>
      <c r="FS108" s="36" t="str">
        <f t="shared" si="99"/>
        <v>Pre-Product</v>
      </c>
      <c r="FT108" s="196">
        <f>COUNTIF($FS$2:$FS$92, FS108)/(COUNTIF($FS$2:$FS$92, "&lt;&gt;""") - COUNTIF($FZ$2:$FZ$92, ""))</f>
        <v>0.22222222222222221</v>
      </c>
      <c r="FU108" s="207"/>
      <c r="FV108" s="192" t="e">
        <f t="shared" ca="1" si="100"/>
        <v>#NAME?</v>
      </c>
      <c r="FW108" s="197" t="e">
        <f t="shared" ca="1" si="101"/>
        <v>#NAME?</v>
      </c>
      <c r="FX108" s="209" t="e">
        <f t="shared" ca="1" si="102"/>
        <v>#NAME?</v>
      </c>
      <c r="FY108" s="211" t="e">
        <f t="shared" ca="1" si="199"/>
        <v>#NAME?</v>
      </c>
      <c r="FZ108" s="36" t="str">
        <f t="shared" si="104"/>
        <v>No</v>
      </c>
      <c r="GA108" s="196">
        <f>COUNTIF($FZ$2:$FZ$92, FZ108)/(COUNTIF($FZ$2:$FZ$92, "&lt;&gt;""") - COUNTIF($FZ$2:$FZ$92, ""))</f>
        <v>0.76666666666666672</v>
      </c>
      <c r="GB108" s="196" t="str">
        <f t="shared" si="105"/>
        <v>Low</v>
      </c>
      <c r="GC108" s="196">
        <f>COUNTIF($GB$2:$GB$92, GB108)/(COUNTIF($GB$2:$GB$92, "&lt;&gt;""") - COUNTIF($GB$2:$GB$92, ""))</f>
        <v>0.55555555555555558</v>
      </c>
      <c r="GD108" s="196" t="str">
        <f t="shared" si="106"/>
        <v>High</v>
      </c>
      <c r="GE108" s="196">
        <f>COUNTIF($GD$2:$GD$92, GD108)/(COUNTIF($GD$2:$GD$92, "&lt;&gt;""") - COUNTIF($GD$2:$GD$92, ""))</f>
        <v>0.8</v>
      </c>
      <c r="GF108" s="207"/>
      <c r="GG108" s="36"/>
      <c r="GH108" s="209" t="e">
        <f t="shared" ca="1" si="107"/>
        <v>#NAME?</v>
      </c>
      <c r="GI108" s="212" t="e">
        <f t="shared" ca="1" si="200"/>
        <v>#NAME?</v>
      </c>
    </row>
    <row r="109" spans="1:191" ht="15.75" customHeight="1">
      <c r="A109" s="174"/>
      <c r="B109" s="174" t="s">
        <v>433</v>
      </c>
      <c r="C109" s="238">
        <v>1800753</v>
      </c>
      <c r="D109" s="244" t="s">
        <v>1161</v>
      </c>
      <c r="E109" s="245">
        <v>43889.463194444441</v>
      </c>
      <c r="F109" s="239" t="s">
        <v>337</v>
      </c>
      <c r="G109" s="32" t="s">
        <v>1162</v>
      </c>
      <c r="H109" s="32" t="s">
        <v>1163</v>
      </c>
      <c r="I109" s="255">
        <v>43888</v>
      </c>
      <c r="J109" s="247" t="s">
        <v>1164</v>
      </c>
      <c r="K109" s="247" t="s">
        <v>1161</v>
      </c>
      <c r="M109" s="29" t="s">
        <v>747</v>
      </c>
      <c r="N109" s="239" t="s">
        <v>300</v>
      </c>
      <c r="O109" s="239" t="s">
        <v>30</v>
      </c>
      <c r="P109" s="239" t="s">
        <v>197</v>
      </c>
      <c r="Q109" s="239" t="s">
        <v>35</v>
      </c>
      <c r="R109" s="187"/>
      <c r="S109" s="239" t="s">
        <v>216</v>
      </c>
      <c r="T109" s="248"/>
      <c r="U109" s="249"/>
      <c r="V109" s="69">
        <v>10000000</v>
      </c>
      <c r="W109" s="251"/>
      <c r="X109" s="252"/>
      <c r="Y109" s="55" t="str">
        <f t="shared" si="158"/>
        <v/>
      </c>
      <c r="Z109" s="274">
        <f t="shared" si="159"/>
        <v>10000000</v>
      </c>
      <c r="AA109" s="183" t="e">
        <f t="shared" ca="1" si="160"/>
        <v>#NAME?</v>
      </c>
      <c r="AB109" s="239" t="s">
        <v>36</v>
      </c>
      <c r="AC109" s="239" t="s">
        <v>179</v>
      </c>
      <c r="AD109" s="239" t="s">
        <v>180</v>
      </c>
      <c r="AE109" s="239" t="s">
        <v>227</v>
      </c>
      <c r="AF109" s="239" t="s">
        <v>39</v>
      </c>
      <c r="AG109" s="239" t="s">
        <v>181</v>
      </c>
      <c r="AH109" s="239" t="s">
        <v>190</v>
      </c>
      <c r="AI109" s="251"/>
      <c r="AJ109" s="279">
        <v>8962000000</v>
      </c>
      <c r="AK109" s="224" t="e">
        <f t="shared" ca="1" si="161"/>
        <v>#NAME?</v>
      </c>
      <c r="AL109" s="279">
        <v>8962000000</v>
      </c>
      <c r="AM109" s="224" t="e">
        <f t="shared" ca="1" si="162"/>
        <v>#NAME?</v>
      </c>
      <c r="AN109" s="279">
        <v>6.2E-2</v>
      </c>
      <c r="AO109" s="185" t="e">
        <f t="shared" ca="1" si="63"/>
        <v>#NAME?</v>
      </c>
      <c r="AP109" s="185" t="s">
        <v>192</v>
      </c>
      <c r="AQ109" s="239" t="s">
        <v>39</v>
      </c>
      <c r="AR109" s="239" t="s">
        <v>181</v>
      </c>
      <c r="AS109" s="239" t="s">
        <v>182</v>
      </c>
      <c r="AT109" s="29" t="s">
        <v>181</v>
      </c>
      <c r="AU109" s="29" t="s">
        <v>181</v>
      </c>
      <c r="AV109" s="239" t="s">
        <v>190</v>
      </c>
      <c r="AW109" s="239" t="s">
        <v>190</v>
      </c>
      <c r="AX109" s="239" t="s">
        <v>227</v>
      </c>
      <c r="AY109" s="239" t="s">
        <v>227</v>
      </c>
      <c r="AZ109" s="251">
        <v>329427</v>
      </c>
      <c r="BA109" s="55" t="e">
        <f t="shared" ca="1" si="163"/>
        <v>#NAME?</v>
      </c>
      <c r="BB109" s="279"/>
      <c r="BC109" s="279">
        <v>0</v>
      </c>
      <c r="BD109" s="62" t="e">
        <f t="shared" ca="1" si="164"/>
        <v>#NAME?</v>
      </c>
      <c r="BE109" s="277">
        <f t="shared" si="165"/>
        <v>1</v>
      </c>
      <c r="BF109" s="62" t="e">
        <f t="shared" ca="1" si="166"/>
        <v>#NAME?</v>
      </c>
      <c r="BG109" s="239" t="s">
        <v>219</v>
      </c>
      <c r="BH109" s="187"/>
      <c r="BI109" s="239" t="s">
        <v>190</v>
      </c>
      <c r="BJ109" s="238">
        <v>0</v>
      </c>
      <c r="BK109" s="279">
        <v>1</v>
      </c>
      <c r="BL109" s="176" t="s">
        <v>190</v>
      </c>
      <c r="BM109" s="239" t="s">
        <v>190</v>
      </c>
      <c r="BN109" s="239" t="s">
        <v>190</v>
      </c>
      <c r="BO109" s="239" t="s">
        <v>190</v>
      </c>
      <c r="BP109" s="238">
        <v>2</v>
      </c>
      <c r="BQ109" s="238">
        <v>7</v>
      </c>
      <c r="BR109" s="238">
        <v>1</v>
      </c>
      <c r="BS109" s="238">
        <v>0</v>
      </c>
      <c r="BT109" s="205"/>
      <c r="BU109" s="16">
        <v>3</v>
      </c>
      <c r="BV109" s="16">
        <v>0</v>
      </c>
      <c r="BW109" s="16">
        <v>36</v>
      </c>
      <c r="BX109" s="16" t="s">
        <v>190</v>
      </c>
      <c r="BY109" s="205"/>
      <c r="CD109" s="205"/>
      <c r="CI109" s="205"/>
      <c r="CN109" s="205"/>
      <c r="CS109" s="205"/>
      <c r="CX109" s="205"/>
      <c r="DC109" s="205"/>
      <c r="DH109" s="205"/>
      <c r="DM109" s="205"/>
      <c r="DN109" s="205"/>
      <c r="DO109" s="205"/>
      <c r="DQ109" s="206"/>
      <c r="DR109" s="188">
        <f t="shared" si="64"/>
        <v>3</v>
      </c>
      <c r="DS109" s="188"/>
      <c r="DT109" s="189">
        <f t="shared" si="65"/>
        <v>0</v>
      </c>
      <c r="DU109" s="189"/>
      <c r="DV109" s="188">
        <f t="shared" si="66"/>
        <v>36</v>
      </c>
      <c r="DW109" s="183" t="e">
        <f t="shared" ca="1" si="67"/>
        <v>#NAME?</v>
      </c>
      <c r="DX109" s="207"/>
      <c r="DY109" s="190" t="e">
        <f t="shared" ca="1" si="68"/>
        <v>#NAME?</v>
      </c>
      <c r="DZ109" s="191" t="str">
        <f t="shared" si="190"/>
        <v/>
      </c>
      <c r="EA109" s="191" t="str">
        <f t="shared" si="191"/>
        <v/>
      </c>
      <c r="EB109" s="191" t="str">
        <f t="shared" si="192"/>
        <v/>
      </c>
      <c r="EC109" s="208" t="e">
        <f t="shared" ca="1" si="72"/>
        <v>#NAME?</v>
      </c>
      <c r="ED109" s="36" t="str">
        <f t="shared" si="73"/>
        <v>Equity - Common</v>
      </c>
      <c r="EE109" s="193">
        <f>COUNTIF($ED$2:$ED$92, ED109)/(COUNTIF($ED$2:$ED$92, "&lt;&gt;""") - COUNTIF($ED$2:$ED$92, ""))</f>
        <v>0.32222222222222224</v>
      </c>
      <c r="EF109" s="36" t="str">
        <f t="shared" si="74"/>
        <v>Early</v>
      </c>
      <c r="EG109" s="207"/>
      <c r="EH109" s="194" t="e">
        <f t="shared" ca="1" si="75"/>
        <v>#NAME?</v>
      </c>
      <c r="EI109" s="194" t="e">
        <f t="shared" ca="1" si="76"/>
        <v>#NAME?</v>
      </c>
      <c r="EJ109" s="209" t="e">
        <f t="shared" ca="1" si="77"/>
        <v>#NAME?</v>
      </c>
      <c r="EK109" s="208" t="e">
        <f t="shared" ca="1" si="193"/>
        <v>#NAME?</v>
      </c>
      <c r="EL109" s="36" t="str">
        <f t="shared" si="79"/>
        <v>No</v>
      </c>
      <c r="EM109" s="207"/>
      <c r="EN109" s="192">
        <f t="shared" si="194"/>
        <v>1.2857142857142856</v>
      </c>
      <c r="EO109" s="192">
        <f t="shared" si="195"/>
        <v>1</v>
      </c>
      <c r="EP109" s="209">
        <f t="shared" si="82"/>
        <v>2.2857142857142856</v>
      </c>
      <c r="EQ109" s="210">
        <f t="shared" si="196"/>
        <v>1.2242990654205608</v>
      </c>
      <c r="ER109" s="36" t="e">
        <f t="shared" ca="1" si="84"/>
        <v>#NAME?</v>
      </c>
      <c r="ES109" s="40">
        <f ca="1">COUNTIF($ER$2:$ER$92, ER109)/(COUNTIF($ER$2:$ER$92, "&lt;&gt;""") - COUNTIF($ER$2:$ER$92, ""))</f>
        <v>1</v>
      </c>
      <c r="ET109" s="36">
        <f t="shared" si="85"/>
        <v>1</v>
      </c>
      <c r="EU109" s="40">
        <f>COUNTIF($ET$2:$ET$92, ET109)/(COUNTIF($ET$2:$ET$92, "&lt;&gt;""") - COUNTIF($ET$2:$ET$92, ""))</f>
        <v>0.45555555555555555</v>
      </c>
      <c r="EV109" s="36">
        <f t="shared" si="86"/>
        <v>7</v>
      </c>
      <c r="EW109" s="40">
        <f>COUNTIF($EV$2:$EV$92, EV109)/(COUNTIF($EV$2:$EV$92, "&lt;&gt;""") - COUNTIF($EV$2:$EV$92, ""))</f>
        <v>4.4444444444444446E-2</v>
      </c>
      <c r="EX109" s="36" t="str">
        <f t="shared" si="87"/>
        <v>No</v>
      </c>
      <c r="EY109" s="40">
        <f>COUNTIF($EX$2:$EX$92, EX109)/(COUNTIF($EX$2:$EX$92, "&lt;&gt;""") - COUNTIF($EX$2:$EX$92, ""))</f>
        <v>0.72222222222222221</v>
      </c>
      <c r="EZ109" s="36" t="str">
        <f t="shared" ref="EZ109:FB109" si="232">BM109</f>
        <v>No</v>
      </c>
      <c r="FA109" s="36" t="str">
        <f t="shared" si="232"/>
        <v>No</v>
      </c>
      <c r="FB109" s="36" t="str">
        <f t="shared" si="232"/>
        <v>No</v>
      </c>
      <c r="FC109" s="207"/>
      <c r="FD109" s="36" t="str">
        <f t="shared" si="89"/>
        <v>Transactional</v>
      </c>
      <c r="FE109" s="40">
        <f>COUNTIF($FD$2:$FD$92, FD109)/(COUNTIF($FD$2:$FD$92, "&lt;&gt;""") - COUNTIF($FD$2:$FD$92, ""))</f>
        <v>0.6</v>
      </c>
      <c r="FF109" s="36" t="str">
        <f t="shared" si="90"/>
        <v>B2C</v>
      </c>
      <c r="FG109" s="40">
        <f>COUNTIF($FF$2:$FF$92, FF109)/(COUNTIF($FF$2:$FF$92, "&lt;&gt;""") - COUNTIF($FF$2:$FF$92, ""))</f>
        <v>0.41111111111111109</v>
      </c>
      <c r="FH109" s="36" t="str">
        <f t="shared" si="91"/>
        <v>High</v>
      </c>
      <c r="FI109" s="40">
        <f>COUNTIF($FH$2:$FH$92, FH109)/(COUNTIF($FH$2:$FH$92, "&lt;&gt;""") - COUNTIF($FH$2:$FH$92, ""))</f>
        <v>0.53333333333333333</v>
      </c>
      <c r="FJ109" s="36" t="str">
        <f t="shared" si="92"/>
        <v>Low</v>
      </c>
      <c r="FK109" s="40">
        <f>COUNTIF($FJ$2:$FJ$92, FJ109)/(COUNTIF($FJ$2:$FJ$92, "&lt;&gt;""") - COUNTIF($FJ$2:$FJ$92, ""))</f>
        <v>0.41111111111111109</v>
      </c>
      <c r="FL109" s="207"/>
      <c r="FM109" s="192">
        <f t="shared" si="93"/>
        <v>5</v>
      </c>
      <c r="FN109" s="192" t="e">
        <f t="shared" ca="1" si="94"/>
        <v>#NAME?</v>
      </c>
      <c r="FO109" s="192" t="e">
        <f t="shared" ca="1" si="95"/>
        <v>#NAME?</v>
      </c>
      <c r="FP109" s="192" t="e">
        <f t="shared" ca="1" si="96"/>
        <v>#NAME?</v>
      </c>
      <c r="FQ109" s="209" t="e">
        <f t="shared" ca="1" si="97"/>
        <v>#NAME?</v>
      </c>
      <c r="FR109" s="208" t="e">
        <f t="shared" ca="1" si="198"/>
        <v>#NAME?</v>
      </c>
      <c r="FS109" s="36" t="str">
        <f t="shared" si="99"/>
        <v>Profitable</v>
      </c>
      <c r="FT109" s="196">
        <f>COUNTIF($FS$2:$FS$92, FS109)/(COUNTIF($FS$2:$FS$92, "&lt;&gt;""") - COUNTIF($FZ$2:$FZ$92, ""))</f>
        <v>6.6666666666666666E-2</v>
      </c>
      <c r="FU109" s="207"/>
      <c r="FV109" s="192">
        <f t="shared" si="100"/>
        <v>3</v>
      </c>
      <c r="FW109" s="197" t="e">
        <f t="shared" ca="1" si="101"/>
        <v>#NAME?</v>
      </c>
      <c r="FX109" s="209" t="e">
        <f t="shared" ca="1" si="102"/>
        <v>#NAME?</v>
      </c>
      <c r="FY109" s="211" t="e">
        <f t="shared" ca="1" si="199"/>
        <v>#NAME?</v>
      </c>
      <c r="FZ109" s="36" t="str">
        <f t="shared" si="104"/>
        <v>No</v>
      </c>
      <c r="GA109" s="196">
        <f>COUNTIF($FZ$2:$FZ$92, FZ109)/(COUNTIF($FZ$2:$FZ$92, "&lt;&gt;""") - COUNTIF($FZ$2:$FZ$92, ""))</f>
        <v>0.76666666666666672</v>
      </c>
      <c r="GB109" s="196" t="str">
        <f t="shared" si="105"/>
        <v>Low</v>
      </c>
      <c r="GC109" s="196">
        <f>COUNTIF($GB$2:$GB$92, GB109)/(COUNTIF($GB$2:$GB$92, "&lt;&gt;""") - COUNTIF($GB$2:$GB$92, ""))</f>
        <v>0.55555555555555558</v>
      </c>
      <c r="GD109" s="196" t="str">
        <f t="shared" si="106"/>
        <v>Low</v>
      </c>
      <c r="GE109" s="196">
        <f>COUNTIF($GD$2:$GD$92, GD109)/(COUNTIF($GD$2:$GD$92, "&lt;&gt;""") - COUNTIF($GD$2:$GD$92, ""))</f>
        <v>0.18888888888888888</v>
      </c>
      <c r="GF109" s="207"/>
      <c r="GG109" s="36"/>
      <c r="GH109" s="209" t="e">
        <f t="shared" ca="1" si="107"/>
        <v>#NAME?</v>
      </c>
      <c r="GI109" s="212" t="e">
        <f t="shared" ca="1" si="200"/>
        <v>#NAME?</v>
      </c>
    </row>
    <row r="110" spans="1:191" ht="15.75" customHeight="1">
      <c r="A110" s="174"/>
      <c r="B110" s="174" t="s">
        <v>433</v>
      </c>
      <c r="C110" s="238">
        <v>1783128</v>
      </c>
      <c r="D110" s="244" t="s">
        <v>1165</v>
      </c>
      <c r="E110" s="245">
        <v>43889.467361111114</v>
      </c>
      <c r="F110" s="239" t="s">
        <v>337</v>
      </c>
      <c r="G110" s="32" t="s">
        <v>1166</v>
      </c>
      <c r="H110" s="32" t="s">
        <v>1167</v>
      </c>
      <c r="I110" s="255">
        <v>43888</v>
      </c>
      <c r="J110" s="247" t="s">
        <v>1168</v>
      </c>
      <c r="K110" s="247" t="s">
        <v>1165</v>
      </c>
      <c r="M110" s="239" t="s">
        <v>963</v>
      </c>
      <c r="N110" s="239" t="s">
        <v>347</v>
      </c>
      <c r="O110" s="239" t="s">
        <v>30</v>
      </c>
      <c r="P110" s="239" t="s">
        <v>174</v>
      </c>
      <c r="Q110" s="239" t="s">
        <v>35</v>
      </c>
      <c r="R110" s="187"/>
      <c r="S110" s="239" t="s">
        <v>216</v>
      </c>
      <c r="T110" s="248"/>
      <c r="U110" s="249"/>
      <c r="V110" s="69">
        <v>9200000</v>
      </c>
      <c r="W110" s="251"/>
      <c r="X110" s="252"/>
      <c r="Y110" s="55" t="str">
        <f t="shared" si="158"/>
        <v/>
      </c>
      <c r="Z110" s="274">
        <f t="shared" si="159"/>
        <v>9200000</v>
      </c>
      <c r="AA110" s="183" t="e">
        <f t="shared" ca="1" si="160"/>
        <v>#NAME?</v>
      </c>
      <c r="AB110" s="239" t="s">
        <v>36</v>
      </c>
      <c r="AC110" s="239" t="s">
        <v>218</v>
      </c>
      <c r="AD110" s="239" t="s">
        <v>180</v>
      </c>
      <c r="AE110" s="239" t="s">
        <v>227</v>
      </c>
      <c r="AF110" s="239" t="s">
        <v>39</v>
      </c>
      <c r="AG110" s="239" t="s">
        <v>39</v>
      </c>
      <c r="AH110" s="239" t="s">
        <v>190</v>
      </c>
      <c r="AI110" s="251"/>
      <c r="AJ110" s="279">
        <v>7611630249</v>
      </c>
      <c r="AK110" s="224" t="e">
        <f t="shared" ca="1" si="161"/>
        <v>#NAME?</v>
      </c>
      <c r="AL110" s="279">
        <v>7611630249</v>
      </c>
      <c r="AM110" s="224" t="e">
        <f t="shared" ca="1" si="162"/>
        <v>#NAME?</v>
      </c>
      <c r="AN110" s="279">
        <v>0.47499999999999998</v>
      </c>
      <c r="AO110" s="185" t="e">
        <f t="shared" ca="1" si="63"/>
        <v>#NAME?</v>
      </c>
      <c r="AP110" s="185" t="s">
        <v>192</v>
      </c>
      <c r="AQ110" s="239" t="s">
        <v>39</v>
      </c>
      <c r="AR110" s="239" t="s">
        <v>39</v>
      </c>
      <c r="AS110" s="239" t="s">
        <v>182</v>
      </c>
      <c r="AT110" s="29" t="s">
        <v>39</v>
      </c>
      <c r="AU110" s="29" t="s">
        <v>181</v>
      </c>
      <c r="AV110" s="239" t="s">
        <v>190</v>
      </c>
      <c r="AW110" s="239" t="s">
        <v>227</v>
      </c>
      <c r="AX110" s="239" t="s">
        <v>190</v>
      </c>
      <c r="AY110" s="239" t="s">
        <v>190</v>
      </c>
      <c r="AZ110" s="251">
        <v>0</v>
      </c>
      <c r="BA110" s="55" t="e">
        <f t="shared" ca="1" si="163"/>
        <v>#NAME?</v>
      </c>
      <c r="BB110" s="279">
        <v>5089</v>
      </c>
      <c r="BC110" s="279">
        <v>3000000</v>
      </c>
      <c r="BD110" s="62" t="e">
        <f t="shared" ca="1" si="164"/>
        <v>#NAME?</v>
      </c>
      <c r="BE110" s="277">
        <f t="shared" si="165"/>
        <v>1.6963333333333333E-3</v>
      </c>
      <c r="BF110" s="62" t="e">
        <f t="shared" ca="1" si="166"/>
        <v>#NAME?</v>
      </c>
      <c r="BG110" s="239" t="s">
        <v>183</v>
      </c>
      <c r="BH110" s="187"/>
      <c r="BI110" s="239" t="s">
        <v>227</v>
      </c>
      <c r="BJ110" s="238">
        <v>1</v>
      </c>
      <c r="BK110" s="279">
        <v>2</v>
      </c>
      <c r="BL110" s="239" t="s">
        <v>227</v>
      </c>
      <c r="BM110" s="239" t="s">
        <v>190</v>
      </c>
      <c r="BN110" s="239" t="s">
        <v>190</v>
      </c>
      <c r="BO110" s="239" t="s">
        <v>190</v>
      </c>
      <c r="BP110" s="238">
        <v>2</v>
      </c>
      <c r="BQ110" s="238">
        <v>4</v>
      </c>
      <c r="BR110" s="238">
        <v>0</v>
      </c>
      <c r="BS110" s="238">
        <v>0</v>
      </c>
      <c r="BT110" s="205"/>
      <c r="BU110" s="16">
        <v>6</v>
      </c>
      <c r="BV110" s="16">
        <v>0</v>
      </c>
      <c r="BW110" s="16">
        <v>53</v>
      </c>
      <c r="BX110" s="16" t="s">
        <v>227</v>
      </c>
      <c r="BY110" s="205"/>
      <c r="BZ110" s="16">
        <v>6</v>
      </c>
      <c r="CA110" s="16">
        <v>0</v>
      </c>
      <c r="CB110" s="16">
        <v>28</v>
      </c>
      <c r="CD110" s="205"/>
      <c r="CI110" s="205"/>
      <c r="CN110" s="205"/>
      <c r="CS110" s="205"/>
      <c r="CX110" s="205"/>
      <c r="DC110" s="205"/>
      <c r="DH110" s="205"/>
      <c r="DM110" s="205"/>
      <c r="DN110" s="205"/>
      <c r="DO110" s="205"/>
      <c r="DQ110" s="206"/>
      <c r="DR110" s="188">
        <f t="shared" si="64"/>
        <v>6</v>
      </c>
      <c r="DS110" s="188"/>
      <c r="DT110" s="189">
        <f t="shared" si="65"/>
        <v>0</v>
      </c>
      <c r="DU110" s="189"/>
      <c r="DV110" s="188">
        <f t="shared" si="66"/>
        <v>40.5</v>
      </c>
      <c r="DW110" s="183" t="e">
        <f t="shared" ca="1" si="67"/>
        <v>#NAME?</v>
      </c>
      <c r="DX110" s="207"/>
      <c r="DY110" s="190" t="e">
        <f t="shared" ca="1" si="68"/>
        <v>#NAME?</v>
      </c>
      <c r="DZ110" s="191" t="str">
        <f t="shared" si="190"/>
        <v/>
      </c>
      <c r="EA110" s="191" t="str">
        <f t="shared" si="191"/>
        <v/>
      </c>
      <c r="EB110" s="191" t="str">
        <f t="shared" si="192"/>
        <v/>
      </c>
      <c r="EC110" s="208" t="e">
        <f t="shared" ca="1" si="72"/>
        <v>#NAME?</v>
      </c>
      <c r="ED110" s="36" t="str">
        <f t="shared" si="73"/>
        <v>Equity - Common</v>
      </c>
      <c r="EE110" s="193">
        <f>COUNTIF($ED$2:$ED$92, ED110)/(COUNTIF($ED$2:$ED$92, "&lt;&gt;""") - COUNTIF($ED$2:$ED$92, ""))</f>
        <v>0.32222222222222224</v>
      </c>
      <c r="EF110" s="36" t="str">
        <f t="shared" si="74"/>
        <v>Early</v>
      </c>
      <c r="EG110" s="207"/>
      <c r="EH110" s="194" t="e">
        <f t="shared" ca="1" si="75"/>
        <v>#NAME?</v>
      </c>
      <c r="EI110" s="194" t="e">
        <f t="shared" ca="1" si="76"/>
        <v>#NAME?</v>
      </c>
      <c r="EJ110" s="209" t="e">
        <f t="shared" ca="1" si="77"/>
        <v>#NAME?</v>
      </c>
      <c r="EK110" s="208" t="e">
        <f t="shared" ca="1" si="193"/>
        <v>#NAME?</v>
      </c>
      <c r="EL110" s="36" t="str">
        <f t="shared" si="79"/>
        <v>No</v>
      </c>
      <c r="EM110" s="207"/>
      <c r="EN110" s="192">
        <f t="shared" si="194"/>
        <v>1.5714285714285714</v>
      </c>
      <c r="EO110" s="192">
        <f t="shared" si="195"/>
        <v>1</v>
      </c>
      <c r="EP110" s="209">
        <f t="shared" si="82"/>
        <v>2.5714285714285712</v>
      </c>
      <c r="EQ110" s="210">
        <f t="shared" si="196"/>
        <v>1.4485981308411213</v>
      </c>
      <c r="ER110" s="36" t="e">
        <f t="shared" ca="1" si="84"/>
        <v>#NAME?</v>
      </c>
      <c r="ES110" s="40">
        <f ca="1">COUNTIF($ER$2:$ER$92, ER110)/(COUNTIF($ER$2:$ER$92, "&lt;&gt;""") - COUNTIF($ER$2:$ER$92, ""))</f>
        <v>1</v>
      </c>
      <c r="ET110" s="36">
        <f t="shared" si="85"/>
        <v>2</v>
      </c>
      <c r="EU110" s="40">
        <f>COUNTIF($ET$2:$ET$92, ET110)/(COUNTIF($ET$2:$ET$92, "&lt;&gt;""") - COUNTIF($ET$2:$ET$92, ""))</f>
        <v>0.45555555555555555</v>
      </c>
      <c r="EV110" s="36">
        <f t="shared" si="86"/>
        <v>4</v>
      </c>
      <c r="EW110" s="40">
        <f>COUNTIF($EV$2:$EV$92, EV110)/(COUNTIF($EV$2:$EV$92, "&lt;&gt;""") - COUNTIF($EV$2:$EV$92, ""))</f>
        <v>0.12222222222222222</v>
      </c>
      <c r="EX110" s="36" t="str">
        <f t="shared" si="87"/>
        <v>Yes</v>
      </c>
      <c r="EY110" s="40">
        <f>COUNTIF($EX$2:$EX$92, EX110)/(COUNTIF($EX$2:$EX$92, "&lt;&gt;""") - COUNTIF($EX$2:$EX$92, ""))</f>
        <v>0.27777777777777779</v>
      </c>
      <c r="EZ110" s="36" t="str">
        <f t="shared" ref="EZ110:FB110" si="233">BM110</f>
        <v>No</v>
      </c>
      <c r="FA110" s="36" t="str">
        <f t="shared" si="233"/>
        <v>No</v>
      </c>
      <c r="FB110" s="36" t="str">
        <f t="shared" si="233"/>
        <v>No</v>
      </c>
      <c r="FC110" s="207"/>
      <c r="FD110" s="36" t="str">
        <f t="shared" si="89"/>
        <v>Transactional</v>
      </c>
      <c r="FE110" s="40">
        <f>COUNTIF($FD$2:$FD$92, FD110)/(COUNTIF($FD$2:$FD$92, "&lt;&gt;""") - COUNTIF($FD$2:$FD$92, ""))</f>
        <v>0.6</v>
      </c>
      <c r="FF110" s="36" t="str">
        <f t="shared" si="90"/>
        <v>B2B/B2C</v>
      </c>
      <c r="FG110" s="40">
        <f>COUNTIF($FF$2:$FF$92, FF110)/(COUNTIF($FF$2:$FF$92, "&lt;&gt;""") - COUNTIF($FF$2:$FF$92, ""))</f>
        <v>0.27777777777777779</v>
      </c>
      <c r="FH110" s="36" t="str">
        <f t="shared" si="91"/>
        <v>High</v>
      </c>
      <c r="FI110" s="40">
        <f>COUNTIF($FH$2:$FH$92, FH110)/(COUNTIF($FH$2:$FH$92, "&lt;&gt;""") - COUNTIF($FH$2:$FH$92, ""))</f>
        <v>0.53333333333333333</v>
      </c>
      <c r="FJ110" s="36" t="str">
        <f t="shared" si="92"/>
        <v>High</v>
      </c>
      <c r="FK110" s="40">
        <f>COUNTIF($FJ$2:$FJ$92, FJ110)/(COUNTIF($FJ$2:$FJ$92, "&lt;&gt;""") - COUNTIF($FJ$2:$FJ$92, ""))</f>
        <v>0.58888888888888891</v>
      </c>
      <c r="FL110" s="207"/>
      <c r="FM110" s="192">
        <f t="shared" si="93"/>
        <v>1</v>
      </c>
      <c r="FN110" s="192" t="e">
        <f t="shared" ca="1" si="94"/>
        <v>#NAME?</v>
      </c>
      <c r="FO110" s="192" t="e">
        <f t="shared" ca="1" si="95"/>
        <v>#NAME?</v>
      </c>
      <c r="FP110" s="192" t="e">
        <f t="shared" ca="1" si="96"/>
        <v>#NAME?</v>
      </c>
      <c r="FQ110" s="209" t="e">
        <f t="shared" ca="1" si="97"/>
        <v>#NAME?</v>
      </c>
      <c r="FR110" s="208" t="e">
        <f t="shared" ca="1" si="198"/>
        <v>#NAME?</v>
      </c>
      <c r="FS110" s="36" t="str">
        <f t="shared" si="99"/>
        <v>Pre-Revenue</v>
      </c>
      <c r="FT110" s="196">
        <f>COUNTIF($FS$2:$FS$92, FS110)/(COUNTIF($FS$2:$FS$92, "&lt;&gt;""") - COUNTIF($FZ$2:$FZ$92, ""))</f>
        <v>0.2</v>
      </c>
      <c r="FU110" s="207"/>
      <c r="FV110" s="192" t="e">
        <f t="shared" ca="1" si="100"/>
        <v>#NAME?</v>
      </c>
      <c r="FW110" s="197" t="e">
        <f t="shared" ca="1" si="101"/>
        <v>#NAME?</v>
      </c>
      <c r="FX110" s="209" t="e">
        <f t="shared" ca="1" si="102"/>
        <v>#NAME?</v>
      </c>
      <c r="FY110" s="211" t="e">
        <f t="shared" ca="1" si="199"/>
        <v>#NAME?</v>
      </c>
      <c r="FZ110" s="36" t="str">
        <f t="shared" si="104"/>
        <v>Yes</v>
      </c>
      <c r="GA110" s="196">
        <f>COUNTIF($FZ$2:$FZ$92, FZ110)/(COUNTIF($FZ$2:$FZ$92, "&lt;&gt;""") - COUNTIF($FZ$2:$FZ$92, ""))</f>
        <v>0.23333333333333334</v>
      </c>
      <c r="GB110" s="196" t="str">
        <f t="shared" si="105"/>
        <v>High</v>
      </c>
      <c r="GC110" s="196">
        <f>COUNTIF($GB$2:$GB$92, GB110)/(COUNTIF($GB$2:$GB$92, "&lt;&gt;""") - COUNTIF($GB$2:$GB$92, ""))</f>
        <v>0.43333333333333335</v>
      </c>
      <c r="GD110" s="196" t="str">
        <f t="shared" si="106"/>
        <v>Low</v>
      </c>
      <c r="GE110" s="196">
        <f>COUNTIF($GD$2:$GD$92, GD110)/(COUNTIF($GD$2:$GD$92, "&lt;&gt;""") - COUNTIF($GD$2:$GD$92, ""))</f>
        <v>0.18888888888888888</v>
      </c>
      <c r="GF110" s="207"/>
      <c r="GG110" s="36"/>
      <c r="GH110" s="209" t="e">
        <f t="shared" ca="1" si="107"/>
        <v>#NAME?</v>
      </c>
      <c r="GI110" s="212" t="e">
        <f t="shared" ca="1" si="200"/>
        <v>#NAME?</v>
      </c>
    </row>
    <row r="111" spans="1:191" ht="15.75" customHeight="1">
      <c r="A111" s="174"/>
      <c r="B111" s="174" t="s">
        <v>433</v>
      </c>
      <c r="C111" s="238">
        <v>1802761</v>
      </c>
      <c r="D111" s="244" t="s">
        <v>1169</v>
      </c>
      <c r="E111" s="245">
        <v>43889.470833333333</v>
      </c>
      <c r="F111" s="239" t="s">
        <v>344</v>
      </c>
      <c r="G111" s="32" t="s">
        <v>1170</v>
      </c>
      <c r="H111" s="32" t="s">
        <v>1170</v>
      </c>
      <c r="I111" s="246">
        <v>43874</v>
      </c>
      <c r="J111" s="247" t="s">
        <v>1171</v>
      </c>
      <c r="K111" s="247" t="s">
        <v>1169</v>
      </c>
      <c r="M111" s="35" t="s">
        <v>293</v>
      </c>
      <c r="N111" s="239" t="s">
        <v>168</v>
      </c>
      <c r="O111" s="239" t="s">
        <v>30</v>
      </c>
      <c r="P111" s="239" t="s">
        <v>197</v>
      </c>
      <c r="Q111" s="239" t="s">
        <v>35</v>
      </c>
      <c r="R111" s="187"/>
      <c r="S111" s="239" t="s">
        <v>232</v>
      </c>
      <c r="T111" s="248"/>
      <c r="U111" s="249"/>
      <c r="V111" s="69">
        <v>3600000</v>
      </c>
      <c r="W111" s="251"/>
      <c r="X111" s="252"/>
      <c r="Y111" s="55" t="str">
        <f t="shared" si="158"/>
        <v/>
      </c>
      <c r="Z111" s="274">
        <f t="shared" si="159"/>
        <v>3600000</v>
      </c>
      <c r="AA111" s="183" t="e">
        <f t="shared" ca="1" si="160"/>
        <v>#NAME?</v>
      </c>
      <c r="AB111" s="239" t="s">
        <v>36</v>
      </c>
      <c r="AC111" s="239" t="s">
        <v>179</v>
      </c>
      <c r="AD111" s="239" t="s">
        <v>38</v>
      </c>
      <c r="AE111" s="239" t="s">
        <v>190</v>
      </c>
      <c r="AF111" s="239" t="s">
        <v>181</v>
      </c>
      <c r="AG111" s="239" t="s">
        <v>181</v>
      </c>
      <c r="AH111" s="239" t="s">
        <v>190</v>
      </c>
      <c r="AI111" s="251"/>
      <c r="AJ111" s="279">
        <v>18130000000</v>
      </c>
      <c r="AK111" s="224" t="e">
        <f t="shared" ca="1" si="161"/>
        <v>#NAME?</v>
      </c>
      <c r="AL111" s="279">
        <v>18130000000</v>
      </c>
      <c r="AM111" s="224" t="e">
        <f t="shared" ca="1" si="162"/>
        <v>#NAME?</v>
      </c>
      <c r="AN111" s="279">
        <v>2E-3</v>
      </c>
      <c r="AO111" s="185" t="e">
        <f t="shared" ca="1" si="63"/>
        <v>#NAME?</v>
      </c>
      <c r="AP111" s="185" t="s">
        <v>264</v>
      </c>
      <c r="AQ111" s="239" t="s">
        <v>181</v>
      </c>
      <c r="AR111" s="239" t="s">
        <v>181</v>
      </c>
      <c r="AS111" s="239" t="s">
        <v>42</v>
      </c>
      <c r="AT111" s="29" t="s">
        <v>181</v>
      </c>
      <c r="AU111" s="29" t="s">
        <v>39</v>
      </c>
      <c r="AV111" s="239" t="s">
        <v>190</v>
      </c>
      <c r="AW111" s="239" t="s">
        <v>190</v>
      </c>
      <c r="AX111" s="239" t="s">
        <v>227</v>
      </c>
      <c r="AY111" s="239" t="s">
        <v>227</v>
      </c>
      <c r="AZ111" s="251">
        <v>727179</v>
      </c>
      <c r="BA111" s="55" t="e">
        <f t="shared" ca="1" si="163"/>
        <v>#NAME?</v>
      </c>
      <c r="BB111" s="279">
        <v>2897</v>
      </c>
      <c r="BC111" s="279">
        <v>592741</v>
      </c>
      <c r="BD111" s="62" t="e">
        <f t="shared" ca="1" si="164"/>
        <v>#NAME?</v>
      </c>
      <c r="BE111" s="277">
        <f t="shared" si="165"/>
        <v>4.8874634958607551E-3</v>
      </c>
      <c r="BF111" s="62" t="e">
        <f t="shared" ca="1" si="166"/>
        <v>#NAME?</v>
      </c>
      <c r="BG111" s="239" t="s">
        <v>202</v>
      </c>
      <c r="BH111" s="187"/>
      <c r="BI111" s="239" t="s">
        <v>227</v>
      </c>
      <c r="BJ111" s="239">
        <v>4</v>
      </c>
      <c r="BK111" s="279">
        <v>1</v>
      </c>
      <c r="BL111" s="176" t="s">
        <v>190</v>
      </c>
      <c r="BM111" s="239" t="s">
        <v>190</v>
      </c>
      <c r="BN111" s="239" t="s">
        <v>227</v>
      </c>
      <c r="BO111" s="239" t="s">
        <v>190</v>
      </c>
      <c r="BP111" s="238">
        <v>0</v>
      </c>
      <c r="BQ111" s="238">
        <v>5</v>
      </c>
      <c r="BR111" s="238">
        <v>0</v>
      </c>
      <c r="BS111" s="238">
        <v>0</v>
      </c>
      <c r="BT111" s="205"/>
      <c r="BU111" s="16">
        <v>22</v>
      </c>
      <c r="BV111" s="16">
        <v>0</v>
      </c>
      <c r="BW111" s="16">
        <v>42</v>
      </c>
      <c r="BX111" s="16" t="s">
        <v>190</v>
      </c>
      <c r="BY111" s="205"/>
      <c r="CD111" s="205"/>
      <c r="CI111" s="205"/>
      <c r="CN111" s="205"/>
      <c r="CS111" s="205"/>
      <c r="CX111" s="205"/>
      <c r="DC111" s="205"/>
      <c r="DH111" s="205"/>
      <c r="DM111" s="205"/>
      <c r="DN111" s="205"/>
      <c r="DO111" s="205"/>
      <c r="DQ111" s="206"/>
      <c r="DR111" s="188">
        <f t="shared" si="64"/>
        <v>22</v>
      </c>
      <c r="DS111" s="188"/>
      <c r="DT111" s="189">
        <f t="shared" si="65"/>
        <v>0</v>
      </c>
      <c r="DU111" s="189"/>
      <c r="DV111" s="188">
        <f t="shared" si="66"/>
        <v>42</v>
      </c>
      <c r="DW111" s="183" t="e">
        <f t="shared" ca="1" si="67"/>
        <v>#NAME?</v>
      </c>
      <c r="DX111" s="207"/>
      <c r="DY111" s="190" t="e">
        <f t="shared" ca="1" si="68"/>
        <v>#NAME?</v>
      </c>
      <c r="DZ111" s="191" t="str">
        <f t="shared" si="190"/>
        <v/>
      </c>
      <c r="EA111" s="191" t="str">
        <f t="shared" si="191"/>
        <v/>
      </c>
      <c r="EB111" s="191" t="str">
        <f t="shared" si="192"/>
        <v/>
      </c>
      <c r="EC111" s="208" t="e">
        <f t="shared" ca="1" si="72"/>
        <v>#NAME?</v>
      </c>
      <c r="ED111" s="36" t="str">
        <f t="shared" si="73"/>
        <v>Equity - Preferred</v>
      </c>
      <c r="EE111" s="193">
        <f>COUNTIF($ED$2:$ED$92, ED111)/(COUNTIF($ED$2:$ED$92, "&lt;&gt;""") - COUNTIF($ED$2:$ED$92, ""))</f>
        <v>6.6666666666666666E-2</v>
      </c>
      <c r="EF111" s="36" t="str">
        <f t="shared" si="74"/>
        <v>Early</v>
      </c>
      <c r="EG111" s="207"/>
      <c r="EH111" s="194" t="e">
        <f t="shared" ca="1" si="75"/>
        <v>#NAME?</v>
      </c>
      <c r="EI111" s="194" t="e">
        <f t="shared" ca="1" si="76"/>
        <v>#NAME?</v>
      </c>
      <c r="EJ111" s="209" t="e">
        <f t="shared" ca="1" si="77"/>
        <v>#NAME?</v>
      </c>
      <c r="EK111" s="208" t="e">
        <f t="shared" ca="1" si="193"/>
        <v>#NAME?</v>
      </c>
      <c r="EL111" s="36" t="str">
        <f t="shared" si="79"/>
        <v>No</v>
      </c>
      <c r="EM111" s="207"/>
      <c r="EN111" s="192">
        <f t="shared" si="194"/>
        <v>3.0952380952380953</v>
      </c>
      <c r="EO111" s="192">
        <f t="shared" si="195"/>
        <v>1</v>
      </c>
      <c r="EP111" s="209">
        <f t="shared" si="82"/>
        <v>4.0952380952380949</v>
      </c>
      <c r="EQ111" s="210">
        <f t="shared" si="196"/>
        <v>2.6448598130841119</v>
      </c>
      <c r="ER111" s="36" t="e">
        <f t="shared" ca="1" si="84"/>
        <v>#NAME?</v>
      </c>
      <c r="ES111" s="40">
        <f ca="1">COUNTIF($ER$2:$ER$92, ER111)/(COUNTIF($ER$2:$ER$92, "&lt;&gt;""") - COUNTIF($ER$2:$ER$92, ""))</f>
        <v>1</v>
      </c>
      <c r="ET111" s="36">
        <f t="shared" si="85"/>
        <v>1</v>
      </c>
      <c r="EU111" s="40">
        <f>COUNTIF($ET$2:$ET$92, ET111)/(COUNTIF($ET$2:$ET$92, "&lt;&gt;""") - COUNTIF($ET$2:$ET$92, ""))</f>
        <v>0.45555555555555555</v>
      </c>
      <c r="EV111" s="36">
        <f t="shared" si="86"/>
        <v>5</v>
      </c>
      <c r="EW111" s="40">
        <f>COUNTIF($EV$2:$EV$92, EV111)/(COUNTIF($EV$2:$EV$92, "&lt;&gt;""") - COUNTIF($EV$2:$EV$92, ""))</f>
        <v>0.13333333333333333</v>
      </c>
      <c r="EX111" s="36" t="str">
        <f t="shared" si="87"/>
        <v>No</v>
      </c>
      <c r="EY111" s="40">
        <f>COUNTIF($EX$2:$EX$92, EX111)/(COUNTIF($EX$2:$EX$92, "&lt;&gt;""") - COUNTIF($EX$2:$EX$92, ""))</f>
        <v>0.72222222222222221</v>
      </c>
      <c r="EZ111" s="36" t="str">
        <f t="shared" ref="EZ111:FB111" si="234">BM111</f>
        <v>No</v>
      </c>
      <c r="FA111" s="36" t="str">
        <f t="shared" si="234"/>
        <v>Yes</v>
      </c>
      <c r="FB111" s="36" t="str">
        <f t="shared" si="234"/>
        <v>No</v>
      </c>
      <c r="FC111" s="207"/>
      <c r="FD111" s="36" t="str">
        <f t="shared" si="89"/>
        <v>Transactional</v>
      </c>
      <c r="FE111" s="40">
        <f>COUNTIF($FD$2:$FD$92, FD111)/(COUNTIF($FD$2:$FD$92, "&lt;&gt;""") - COUNTIF($FD$2:$FD$92, ""))</f>
        <v>0.6</v>
      </c>
      <c r="FF111" s="36" t="str">
        <f t="shared" si="90"/>
        <v>B2C</v>
      </c>
      <c r="FG111" s="40">
        <f>COUNTIF($FF$2:$FF$92, FF111)/(COUNTIF($FF$2:$FF$92, "&lt;&gt;""") - COUNTIF($FF$2:$FF$92, ""))</f>
        <v>0.41111111111111109</v>
      </c>
      <c r="FH111" s="36" t="str">
        <f t="shared" si="91"/>
        <v>Low</v>
      </c>
      <c r="FI111" s="40">
        <f>COUNTIF($FH$2:$FH$92, FH111)/(COUNTIF($FH$2:$FH$92, "&lt;&gt;""") - COUNTIF($FH$2:$FH$92, ""))</f>
        <v>0.46666666666666667</v>
      </c>
      <c r="FJ111" s="36" t="str">
        <f t="shared" si="92"/>
        <v>Low</v>
      </c>
      <c r="FK111" s="40">
        <f>COUNTIF($FJ$2:$FJ$92, FJ111)/(COUNTIF($FJ$2:$FJ$92, "&lt;&gt;""") - COUNTIF($FJ$2:$FJ$92, ""))</f>
        <v>0.41111111111111109</v>
      </c>
      <c r="FL111" s="207"/>
      <c r="FM111" s="192">
        <f t="shared" si="93"/>
        <v>5</v>
      </c>
      <c r="FN111" s="192" t="e">
        <f t="shared" ca="1" si="94"/>
        <v>#NAME?</v>
      </c>
      <c r="FO111" s="192" t="e">
        <f t="shared" ca="1" si="95"/>
        <v>#NAME?</v>
      </c>
      <c r="FP111" s="192" t="e">
        <f t="shared" ca="1" si="96"/>
        <v>#NAME?</v>
      </c>
      <c r="FQ111" s="209" t="e">
        <f t="shared" ca="1" si="97"/>
        <v>#NAME?</v>
      </c>
      <c r="FR111" s="208" t="e">
        <f t="shared" ca="1" si="198"/>
        <v>#NAME?</v>
      </c>
      <c r="FS111" s="36" t="str">
        <f t="shared" si="99"/>
        <v>Pre-Profit</v>
      </c>
      <c r="FT111" s="196">
        <f>COUNTIF($FS$2:$FS$92, FS111)/(COUNTIF($FS$2:$FS$92, "&lt;&gt;""") - COUNTIF($FZ$2:$FZ$92, ""))</f>
        <v>0.51111111111111107</v>
      </c>
      <c r="FU111" s="207"/>
      <c r="FV111" s="192" t="e">
        <f t="shared" ca="1" si="100"/>
        <v>#NAME?</v>
      </c>
      <c r="FW111" s="197" t="e">
        <f t="shared" ca="1" si="101"/>
        <v>#NAME?</v>
      </c>
      <c r="FX111" s="209" t="e">
        <f t="shared" ca="1" si="102"/>
        <v>#NAME?</v>
      </c>
      <c r="FY111" s="211" t="e">
        <f t="shared" ca="1" si="199"/>
        <v>#NAME?</v>
      </c>
      <c r="FZ111" s="36" t="str">
        <f t="shared" si="104"/>
        <v>No</v>
      </c>
      <c r="GA111" s="196">
        <f>COUNTIF($FZ$2:$FZ$92, FZ111)/(COUNTIF($FZ$2:$FZ$92, "&lt;&gt;""") - COUNTIF($FZ$2:$FZ$92, ""))</f>
        <v>0.76666666666666672</v>
      </c>
      <c r="GB111" s="196" t="str">
        <f t="shared" si="105"/>
        <v>Low</v>
      </c>
      <c r="GC111" s="196">
        <f>COUNTIF($GB$2:$GB$92, GB111)/(COUNTIF($GB$2:$GB$92, "&lt;&gt;""") - COUNTIF($GB$2:$GB$92, ""))</f>
        <v>0.55555555555555558</v>
      </c>
      <c r="GD111" s="196" t="str">
        <f t="shared" si="106"/>
        <v>High</v>
      </c>
      <c r="GE111" s="196">
        <f>COUNTIF($GD$2:$GD$92, GD111)/(COUNTIF($GD$2:$GD$92, "&lt;&gt;""") - COUNTIF($GD$2:$GD$92, ""))</f>
        <v>0.8</v>
      </c>
      <c r="GF111" s="207"/>
      <c r="GG111" s="36"/>
      <c r="GH111" s="209" t="e">
        <f t="shared" ca="1" si="107"/>
        <v>#NAME?</v>
      </c>
      <c r="GI111" s="212" t="e">
        <f t="shared" ca="1" si="200"/>
        <v>#NAME?</v>
      </c>
    </row>
    <row r="112" spans="1:191" ht="15.75" customHeight="1">
      <c r="A112" s="174"/>
      <c r="B112" s="174" t="s">
        <v>433</v>
      </c>
      <c r="C112" s="238">
        <v>1803861</v>
      </c>
      <c r="D112" s="244" t="s">
        <v>1172</v>
      </c>
      <c r="E112" s="245">
        <v>43889.474305555559</v>
      </c>
      <c r="F112" s="239" t="s">
        <v>185</v>
      </c>
      <c r="G112" s="32" t="s">
        <v>1173</v>
      </c>
      <c r="H112" s="32" t="s">
        <v>1174</v>
      </c>
      <c r="I112" s="246">
        <v>43887</v>
      </c>
      <c r="J112" s="247" t="s">
        <v>1175</v>
      </c>
      <c r="K112" s="247" t="s">
        <v>1172</v>
      </c>
      <c r="M112" s="239" t="s">
        <v>1176</v>
      </c>
      <c r="N112" s="239" t="s">
        <v>315</v>
      </c>
      <c r="O112" s="239" t="s">
        <v>30</v>
      </c>
      <c r="P112" s="239" t="s">
        <v>174</v>
      </c>
      <c r="Q112" s="239" t="s">
        <v>35</v>
      </c>
      <c r="R112" s="187"/>
      <c r="S112" s="239" t="s">
        <v>269</v>
      </c>
      <c r="T112" s="248"/>
      <c r="U112" s="249"/>
      <c r="V112" s="250"/>
      <c r="W112" s="251">
        <v>11000000</v>
      </c>
      <c r="X112" s="252">
        <v>0</v>
      </c>
      <c r="Y112" s="55">
        <f t="shared" si="158"/>
        <v>11000000</v>
      </c>
      <c r="Z112" s="274">
        <f t="shared" si="159"/>
        <v>11000000</v>
      </c>
      <c r="AA112" s="183" t="e">
        <f t="shared" ca="1" si="160"/>
        <v>#NAME?</v>
      </c>
      <c r="AB112" s="239" t="s">
        <v>36</v>
      </c>
      <c r="AC112" s="239" t="s">
        <v>218</v>
      </c>
      <c r="AD112" s="239" t="s">
        <v>180</v>
      </c>
      <c r="AE112" s="239" t="s">
        <v>227</v>
      </c>
      <c r="AF112" s="239" t="s">
        <v>181</v>
      </c>
      <c r="AG112" s="239" t="s">
        <v>181</v>
      </c>
      <c r="AH112" s="239" t="s">
        <v>190</v>
      </c>
      <c r="AI112" s="251"/>
      <c r="AJ112" s="279">
        <v>419879000000</v>
      </c>
      <c r="AK112" s="224" t="e">
        <f t="shared" ca="1" si="161"/>
        <v>#NAME?</v>
      </c>
      <c r="AL112" s="279">
        <v>56263786000</v>
      </c>
      <c r="AM112" s="224" t="e">
        <f t="shared" ca="1" si="162"/>
        <v>#NAME?</v>
      </c>
      <c r="AN112" s="279">
        <v>9.2999999999999999E-2</v>
      </c>
      <c r="AO112" s="185" t="e">
        <f t="shared" ca="1" si="63"/>
        <v>#NAME?</v>
      </c>
      <c r="AP112" s="185" t="s">
        <v>264</v>
      </c>
      <c r="AQ112" s="239" t="s">
        <v>181</v>
      </c>
      <c r="AR112" s="239" t="s">
        <v>181</v>
      </c>
      <c r="AS112" s="239" t="s">
        <v>42</v>
      </c>
      <c r="AT112" s="29" t="s">
        <v>181</v>
      </c>
      <c r="AU112" s="29" t="s">
        <v>39</v>
      </c>
      <c r="AV112" s="239" t="s">
        <v>227</v>
      </c>
      <c r="AW112" s="239" t="s">
        <v>190</v>
      </c>
      <c r="AX112" s="239" t="s">
        <v>227</v>
      </c>
      <c r="AY112" s="239" t="s">
        <v>227</v>
      </c>
      <c r="AZ112" s="251">
        <v>0</v>
      </c>
      <c r="BA112" s="55" t="e">
        <f t="shared" ca="1" si="163"/>
        <v>#NAME?</v>
      </c>
      <c r="BB112" s="279">
        <v>0</v>
      </c>
      <c r="BC112" s="279">
        <v>0</v>
      </c>
      <c r="BD112" s="62" t="e">
        <f t="shared" ca="1" si="164"/>
        <v>#NAME?</v>
      </c>
      <c r="BE112" s="277">
        <f t="shared" si="165"/>
        <v>1</v>
      </c>
      <c r="BF112" s="62" t="e">
        <f t="shared" ca="1" si="166"/>
        <v>#NAME?</v>
      </c>
      <c r="BG112" s="239" t="s">
        <v>202</v>
      </c>
      <c r="BH112" s="187"/>
      <c r="BI112" s="239" t="s">
        <v>190</v>
      </c>
      <c r="BJ112" s="239">
        <v>0</v>
      </c>
      <c r="BK112" s="279">
        <v>2</v>
      </c>
      <c r="BL112" s="239" t="s">
        <v>190</v>
      </c>
      <c r="BM112" s="239" t="s">
        <v>227</v>
      </c>
      <c r="BN112" s="239" t="s">
        <v>227</v>
      </c>
      <c r="BO112" s="239" t="s">
        <v>190</v>
      </c>
      <c r="BP112" s="238">
        <v>3</v>
      </c>
      <c r="BQ112" s="238">
        <v>2</v>
      </c>
      <c r="BR112" s="238">
        <v>0</v>
      </c>
      <c r="BS112" s="238">
        <v>0</v>
      </c>
      <c r="BT112" s="205"/>
      <c r="BU112" s="16">
        <v>1</v>
      </c>
      <c r="BV112" s="16">
        <v>0</v>
      </c>
      <c r="BW112" s="16">
        <v>25</v>
      </c>
      <c r="BX112" s="16" t="s">
        <v>190</v>
      </c>
      <c r="BY112" s="205"/>
      <c r="BZ112" s="16">
        <v>1</v>
      </c>
      <c r="CA112" s="16">
        <v>0</v>
      </c>
      <c r="CB112" s="16">
        <v>25</v>
      </c>
      <c r="CC112" s="16" t="s">
        <v>190</v>
      </c>
      <c r="CD112" s="205"/>
      <c r="CI112" s="205"/>
      <c r="CN112" s="205"/>
      <c r="CS112" s="205"/>
      <c r="CX112" s="205"/>
      <c r="DC112" s="205"/>
      <c r="DH112" s="205"/>
      <c r="DM112" s="205"/>
      <c r="DN112" s="205"/>
      <c r="DO112" s="205"/>
      <c r="DQ112" s="206"/>
      <c r="DR112" s="188">
        <f t="shared" si="64"/>
        <v>1</v>
      </c>
      <c r="DS112" s="188"/>
      <c r="DT112" s="189">
        <f t="shared" si="65"/>
        <v>0</v>
      </c>
      <c r="DU112" s="189"/>
      <c r="DV112" s="188">
        <f t="shared" si="66"/>
        <v>25</v>
      </c>
      <c r="DW112" s="183" t="e">
        <f t="shared" ca="1" si="67"/>
        <v>#NAME?</v>
      </c>
      <c r="DX112" s="207"/>
      <c r="DY112" s="190" t="e">
        <f t="shared" ca="1" si="68"/>
        <v>#NAME?</v>
      </c>
      <c r="DZ112" s="191">
        <f t="shared" si="190"/>
        <v>1</v>
      </c>
      <c r="EA112" s="191" t="str">
        <f t="shared" si="191"/>
        <v/>
      </c>
      <c r="EB112" s="191" t="str">
        <f t="shared" si="192"/>
        <v/>
      </c>
      <c r="EC112" s="208" t="e">
        <f t="shared" ca="1" si="72"/>
        <v>#NAME?</v>
      </c>
      <c r="ED112" s="36" t="str">
        <f t="shared" si="73"/>
        <v>SAFE</v>
      </c>
      <c r="EE112" s="193">
        <f>COUNTIF($ED$2:$ED$92, ED112)/(COUNTIF($ED$2:$ED$92, "&lt;&gt;""") - COUNTIF($ED$2:$ED$92, ""))</f>
        <v>0.37777777777777777</v>
      </c>
      <c r="EF112" s="36" t="str">
        <f t="shared" si="74"/>
        <v>Early</v>
      </c>
      <c r="EG112" s="207"/>
      <c r="EH112" s="194" t="e">
        <f t="shared" ca="1" si="75"/>
        <v>#NAME?</v>
      </c>
      <c r="EI112" s="194" t="e">
        <f t="shared" ca="1" si="76"/>
        <v>#NAME?</v>
      </c>
      <c r="EJ112" s="209" t="e">
        <f t="shared" ca="1" si="77"/>
        <v>#NAME?</v>
      </c>
      <c r="EK112" s="208" t="e">
        <f t="shared" ca="1" si="193"/>
        <v>#NAME?</v>
      </c>
      <c r="EL112" s="36" t="str">
        <f t="shared" si="79"/>
        <v>Yes</v>
      </c>
      <c r="EM112" s="207"/>
      <c r="EN112" s="192">
        <f t="shared" si="194"/>
        <v>1.0952380952380953</v>
      </c>
      <c r="EO112" s="192">
        <f t="shared" si="195"/>
        <v>1</v>
      </c>
      <c r="EP112" s="209">
        <f t="shared" si="82"/>
        <v>2.0952380952380953</v>
      </c>
      <c r="EQ112" s="210">
        <f t="shared" si="196"/>
        <v>1.0747663551401869</v>
      </c>
      <c r="ER112" s="36" t="e">
        <f t="shared" ca="1" si="84"/>
        <v>#NAME?</v>
      </c>
      <c r="ES112" s="40">
        <f ca="1">COUNTIF($ER$2:$ER$92, ER112)/(COUNTIF($ER$2:$ER$92, "&lt;&gt;""") - COUNTIF($ER$2:$ER$92, ""))</f>
        <v>1</v>
      </c>
      <c r="ET112" s="36">
        <f t="shared" si="85"/>
        <v>2</v>
      </c>
      <c r="EU112" s="40">
        <f>COUNTIF($ET$2:$ET$92, ET112)/(COUNTIF($ET$2:$ET$92, "&lt;&gt;""") - COUNTIF($ET$2:$ET$92, ""))</f>
        <v>0.45555555555555555</v>
      </c>
      <c r="EV112" s="36">
        <f t="shared" si="86"/>
        <v>2</v>
      </c>
      <c r="EW112" s="40">
        <f>COUNTIF($EV$2:$EV$92, EV112)/(COUNTIF($EV$2:$EV$92, "&lt;&gt;""") - COUNTIF($EV$2:$EV$92, ""))</f>
        <v>0.15555555555555556</v>
      </c>
      <c r="EX112" s="36" t="str">
        <f t="shared" si="87"/>
        <v>No</v>
      </c>
      <c r="EY112" s="40">
        <f>COUNTIF($EX$2:$EX$92, EX112)/(COUNTIF($EX$2:$EX$92, "&lt;&gt;""") - COUNTIF($EX$2:$EX$92, ""))</f>
        <v>0.72222222222222221</v>
      </c>
      <c r="EZ112" s="36" t="str">
        <f t="shared" ref="EZ112:FB112" si="235">BM112</f>
        <v>Yes</v>
      </c>
      <c r="FA112" s="36" t="str">
        <f t="shared" si="235"/>
        <v>Yes</v>
      </c>
      <c r="FB112" s="36" t="str">
        <f t="shared" si="235"/>
        <v>No</v>
      </c>
      <c r="FC112" s="207"/>
      <c r="FD112" s="36" t="str">
        <f t="shared" si="89"/>
        <v>Transactional</v>
      </c>
      <c r="FE112" s="40">
        <f>COUNTIF($FD$2:$FD$92, FD112)/(COUNTIF($FD$2:$FD$92, "&lt;&gt;""") - COUNTIF($FD$2:$FD$92, ""))</f>
        <v>0.6</v>
      </c>
      <c r="FF112" s="36" t="str">
        <f t="shared" si="90"/>
        <v>B2B/B2C</v>
      </c>
      <c r="FG112" s="40">
        <f>COUNTIF($FF$2:$FF$92, FF112)/(COUNTIF($FF$2:$FF$92, "&lt;&gt;""") - COUNTIF($FF$2:$FF$92, ""))</f>
        <v>0.27777777777777779</v>
      </c>
      <c r="FH112" s="36" t="str">
        <f t="shared" si="91"/>
        <v>Low</v>
      </c>
      <c r="FI112" s="40">
        <f>COUNTIF($FH$2:$FH$92, FH112)/(COUNTIF($FH$2:$FH$92, "&lt;&gt;""") - COUNTIF($FH$2:$FH$92, ""))</f>
        <v>0.46666666666666667</v>
      </c>
      <c r="FJ112" s="36" t="str">
        <f t="shared" si="92"/>
        <v>Low</v>
      </c>
      <c r="FK112" s="40">
        <f>COUNTIF($FJ$2:$FJ$92, FJ112)/(COUNTIF($FJ$2:$FJ$92, "&lt;&gt;""") - COUNTIF($FJ$2:$FJ$92, ""))</f>
        <v>0.41111111111111109</v>
      </c>
      <c r="FL112" s="207"/>
      <c r="FM112" s="192">
        <f t="shared" si="93"/>
        <v>5</v>
      </c>
      <c r="FN112" s="192" t="e">
        <f t="shared" ca="1" si="94"/>
        <v>#NAME?</v>
      </c>
      <c r="FO112" s="192" t="e">
        <f t="shared" ca="1" si="95"/>
        <v>#NAME?</v>
      </c>
      <c r="FP112" s="192" t="e">
        <f t="shared" ca="1" si="96"/>
        <v>#NAME?</v>
      </c>
      <c r="FQ112" s="209" t="e">
        <f t="shared" ca="1" si="97"/>
        <v>#NAME?</v>
      </c>
      <c r="FR112" s="208" t="e">
        <f t="shared" ca="1" si="198"/>
        <v>#NAME?</v>
      </c>
      <c r="FS112" s="36" t="str">
        <f t="shared" si="99"/>
        <v>Pre-Profit</v>
      </c>
      <c r="FT112" s="196">
        <f>COUNTIF($FS$2:$FS$92, FS112)/(COUNTIF($FS$2:$FS$92, "&lt;&gt;""") - COUNTIF($FZ$2:$FZ$92, ""))</f>
        <v>0.51111111111111107</v>
      </c>
      <c r="FU112" s="207"/>
      <c r="FV112" s="192" t="e">
        <f t="shared" ca="1" si="100"/>
        <v>#NAME?</v>
      </c>
      <c r="FW112" s="197" t="e">
        <f t="shared" ca="1" si="101"/>
        <v>#NAME?</v>
      </c>
      <c r="FX112" s="209" t="e">
        <f t="shared" ca="1" si="102"/>
        <v>#NAME?</v>
      </c>
      <c r="FY112" s="211" t="e">
        <f t="shared" ca="1" si="199"/>
        <v>#NAME?</v>
      </c>
      <c r="FZ112" s="36" t="str">
        <f t="shared" si="104"/>
        <v>No</v>
      </c>
      <c r="GA112" s="196">
        <f>COUNTIF($FZ$2:$FZ$92, FZ112)/(COUNTIF($FZ$2:$FZ$92, "&lt;&gt;""") - COUNTIF($FZ$2:$FZ$92, ""))</f>
        <v>0.76666666666666672</v>
      </c>
      <c r="GB112" s="196" t="str">
        <f t="shared" si="105"/>
        <v>Low</v>
      </c>
      <c r="GC112" s="196">
        <f>COUNTIF($GB$2:$GB$92, GB112)/(COUNTIF($GB$2:$GB$92, "&lt;&gt;""") - COUNTIF($GB$2:$GB$92, ""))</f>
        <v>0.55555555555555558</v>
      </c>
      <c r="GD112" s="196" t="str">
        <f t="shared" si="106"/>
        <v>High</v>
      </c>
      <c r="GE112" s="196">
        <f>COUNTIF($GD$2:$GD$92, GD112)/(COUNTIF($GD$2:$GD$92, "&lt;&gt;""") - COUNTIF($GD$2:$GD$92, ""))</f>
        <v>0.8</v>
      </c>
      <c r="GF112" s="207"/>
      <c r="GG112" s="36"/>
      <c r="GH112" s="209" t="e">
        <f t="shared" ca="1" si="107"/>
        <v>#NAME?</v>
      </c>
      <c r="GI112" s="212" t="e">
        <f t="shared" ca="1" si="200"/>
        <v>#NAME?</v>
      </c>
    </row>
    <row r="113" spans="1:191" ht="15.75" customHeight="1">
      <c r="A113" s="182"/>
      <c r="B113" s="182" t="s">
        <v>433</v>
      </c>
      <c r="C113" s="256">
        <v>1752109</v>
      </c>
      <c r="D113" s="247" t="s">
        <v>1177</v>
      </c>
      <c r="E113" s="259">
        <v>43889.476388888892</v>
      </c>
      <c r="F113" s="243" t="s">
        <v>185</v>
      </c>
      <c r="G113" s="257" t="s">
        <v>1178</v>
      </c>
      <c r="H113" s="257" t="s">
        <v>1179</v>
      </c>
      <c r="I113" s="258">
        <v>43887</v>
      </c>
      <c r="J113" s="260" t="s">
        <v>1180</v>
      </c>
      <c r="K113" s="247" t="s">
        <v>1181</v>
      </c>
      <c r="M113" s="35" t="s">
        <v>293</v>
      </c>
      <c r="N113" s="243" t="s">
        <v>168</v>
      </c>
      <c r="O113" s="243" t="s">
        <v>30</v>
      </c>
      <c r="P113" s="243" t="s">
        <v>174</v>
      </c>
      <c r="Q113" s="243" t="s">
        <v>35</v>
      </c>
      <c r="R113" s="187"/>
      <c r="S113" s="243" t="s">
        <v>216</v>
      </c>
      <c r="T113" s="248"/>
      <c r="U113" s="249"/>
      <c r="V113" s="54">
        <v>215000</v>
      </c>
      <c r="W113" s="64"/>
      <c r="X113" s="261"/>
      <c r="Y113" s="55" t="str">
        <f t="shared" si="158"/>
        <v/>
      </c>
      <c r="Z113" s="274">
        <f t="shared" si="159"/>
        <v>215000</v>
      </c>
      <c r="AA113" s="183" t="e">
        <f t="shared" ca="1" si="160"/>
        <v>#NAME?</v>
      </c>
      <c r="AB113" s="243" t="s">
        <v>36</v>
      </c>
      <c r="AC113" s="243" t="s">
        <v>179</v>
      </c>
      <c r="AD113" s="243" t="s">
        <v>38</v>
      </c>
      <c r="AE113" s="243" t="s">
        <v>190</v>
      </c>
      <c r="AF113" s="243" t="s">
        <v>181</v>
      </c>
      <c r="AG113" s="243" t="s">
        <v>181</v>
      </c>
      <c r="AH113" s="243" t="s">
        <v>190</v>
      </c>
      <c r="AI113" s="64"/>
      <c r="AJ113" s="279">
        <v>49067500000</v>
      </c>
      <c r="AK113" s="224" t="e">
        <f t="shared" ca="1" si="161"/>
        <v>#NAME?</v>
      </c>
      <c r="AL113" s="279">
        <v>49067500000</v>
      </c>
      <c r="AM113" s="224" t="e">
        <f t="shared" ca="1" si="162"/>
        <v>#NAME?</v>
      </c>
      <c r="AN113" s="279">
        <v>3.3000000000000002E-2</v>
      </c>
      <c r="AO113" s="185" t="e">
        <f t="shared" ca="1" si="63"/>
        <v>#NAME?</v>
      </c>
      <c r="AP113" s="185" t="s">
        <v>264</v>
      </c>
      <c r="AQ113" s="243" t="s">
        <v>181</v>
      </c>
      <c r="AR113" s="243" t="s">
        <v>181</v>
      </c>
      <c r="AS113" s="243" t="s">
        <v>42</v>
      </c>
      <c r="AT113" s="35" t="s">
        <v>181</v>
      </c>
      <c r="AU113" s="35" t="s">
        <v>39</v>
      </c>
      <c r="AV113" s="243" t="s">
        <v>190</v>
      </c>
      <c r="AW113" s="243" t="s">
        <v>190</v>
      </c>
      <c r="AX113" s="243" t="s">
        <v>190</v>
      </c>
      <c r="AY113" s="243" t="s">
        <v>190</v>
      </c>
      <c r="AZ113" s="64">
        <v>0</v>
      </c>
      <c r="BA113" s="55" t="e">
        <f t="shared" ca="1" si="163"/>
        <v>#NAME?</v>
      </c>
      <c r="BB113" s="279">
        <v>0</v>
      </c>
      <c r="BC113" s="279">
        <v>0</v>
      </c>
      <c r="BD113" s="62" t="e">
        <f t="shared" ca="1" si="164"/>
        <v>#NAME?</v>
      </c>
      <c r="BE113" s="277">
        <f t="shared" si="165"/>
        <v>1</v>
      </c>
      <c r="BF113" s="62" t="e">
        <f t="shared" ca="1" si="166"/>
        <v>#NAME?</v>
      </c>
      <c r="BG113" s="243" t="s">
        <v>43</v>
      </c>
      <c r="BH113" s="187"/>
      <c r="BI113" s="243" t="s">
        <v>190</v>
      </c>
      <c r="BJ113" s="256">
        <v>0</v>
      </c>
      <c r="BK113" s="279">
        <v>1</v>
      </c>
      <c r="BL113" s="176" t="s">
        <v>190</v>
      </c>
      <c r="BM113" s="243" t="s">
        <v>227</v>
      </c>
      <c r="BN113" s="243" t="s">
        <v>227</v>
      </c>
      <c r="BO113" s="243" t="s">
        <v>190</v>
      </c>
      <c r="BP113" s="256">
        <v>1</v>
      </c>
      <c r="BQ113" s="256">
        <v>3</v>
      </c>
      <c r="BR113" s="256">
        <v>1</v>
      </c>
      <c r="BS113" s="256">
        <v>0</v>
      </c>
      <c r="BT113" s="205"/>
      <c r="BU113" s="16">
        <v>20</v>
      </c>
      <c r="BV113" s="16">
        <v>0</v>
      </c>
      <c r="BW113" s="16">
        <v>42</v>
      </c>
      <c r="BX113" s="16" t="s">
        <v>190</v>
      </c>
      <c r="BY113" s="205"/>
      <c r="CD113" s="205"/>
      <c r="CI113" s="205"/>
      <c r="CN113" s="205"/>
      <c r="CS113" s="205"/>
      <c r="CX113" s="205"/>
      <c r="DC113" s="205"/>
      <c r="DH113" s="205"/>
      <c r="DM113" s="205"/>
      <c r="DN113" s="205"/>
      <c r="DO113" s="205"/>
      <c r="DQ113" s="206"/>
      <c r="DR113" s="188">
        <f t="shared" si="64"/>
        <v>20</v>
      </c>
      <c r="DS113" s="188"/>
      <c r="DT113" s="189">
        <f t="shared" si="65"/>
        <v>0</v>
      </c>
      <c r="DU113" s="189"/>
      <c r="DV113" s="188">
        <f t="shared" si="66"/>
        <v>42</v>
      </c>
      <c r="DW113" s="183" t="e">
        <f t="shared" ca="1" si="67"/>
        <v>#NAME?</v>
      </c>
      <c r="DX113" s="207"/>
      <c r="DY113" s="190" t="e">
        <f t="shared" ca="1" si="68"/>
        <v>#NAME?</v>
      </c>
      <c r="DZ113" s="191" t="str">
        <f t="shared" si="190"/>
        <v/>
      </c>
      <c r="EA113" s="191" t="str">
        <f t="shared" si="191"/>
        <v/>
      </c>
      <c r="EB113" s="191" t="str">
        <f t="shared" si="192"/>
        <v/>
      </c>
      <c r="EC113" s="208" t="e">
        <f t="shared" ca="1" si="72"/>
        <v>#NAME?</v>
      </c>
      <c r="ED113" s="36" t="str">
        <f t="shared" si="73"/>
        <v>Equity - Common</v>
      </c>
      <c r="EE113" s="193">
        <f>COUNTIF($ED$2:$ED$92, ED113)/(COUNTIF($ED$2:$ED$92, "&lt;&gt;""") - COUNTIF($ED$2:$ED$92, ""))</f>
        <v>0.32222222222222224</v>
      </c>
      <c r="EF113" s="36" t="str">
        <f t="shared" si="74"/>
        <v>Early</v>
      </c>
      <c r="EG113" s="207"/>
      <c r="EH113" s="194" t="e">
        <f t="shared" ca="1" si="75"/>
        <v>#NAME?</v>
      </c>
      <c r="EI113" s="194" t="e">
        <f t="shared" ca="1" si="76"/>
        <v>#NAME?</v>
      </c>
      <c r="EJ113" s="209" t="e">
        <f t="shared" ca="1" si="77"/>
        <v>#NAME?</v>
      </c>
      <c r="EK113" s="208" t="e">
        <f t="shared" ca="1" si="193"/>
        <v>#NAME?</v>
      </c>
      <c r="EL113" s="36" t="str">
        <f t="shared" si="79"/>
        <v>No</v>
      </c>
      <c r="EM113" s="207"/>
      <c r="EN113" s="192">
        <f t="shared" si="194"/>
        <v>2.9047619047619047</v>
      </c>
      <c r="EO113" s="192">
        <f t="shared" si="195"/>
        <v>1</v>
      </c>
      <c r="EP113" s="209">
        <f t="shared" si="82"/>
        <v>3.9047619047619047</v>
      </c>
      <c r="EQ113" s="210">
        <f t="shared" si="196"/>
        <v>2.4953271028037385</v>
      </c>
      <c r="ER113" s="36" t="e">
        <f t="shared" ca="1" si="84"/>
        <v>#NAME?</v>
      </c>
      <c r="ES113" s="40">
        <f ca="1">COUNTIF($ER$2:$ER$92, ER113)/(COUNTIF($ER$2:$ER$92, "&lt;&gt;""") - COUNTIF($ER$2:$ER$92, ""))</f>
        <v>1</v>
      </c>
      <c r="ET113" s="36">
        <f t="shared" si="85"/>
        <v>1</v>
      </c>
      <c r="EU113" s="40">
        <f>COUNTIF($ET$2:$ET$92, ET113)/(COUNTIF($ET$2:$ET$92, "&lt;&gt;""") - COUNTIF($ET$2:$ET$92, ""))</f>
        <v>0.45555555555555555</v>
      </c>
      <c r="EV113" s="36">
        <f t="shared" si="86"/>
        <v>3</v>
      </c>
      <c r="EW113" s="40">
        <f>COUNTIF($EV$2:$EV$92, EV113)/(COUNTIF($EV$2:$EV$92, "&lt;&gt;""") - COUNTIF($EV$2:$EV$92, ""))</f>
        <v>8.8888888888888892E-2</v>
      </c>
      <c r="EX113" s="36" t="str">
        <f t="shared" si="87"/>
        <v>No</v>
      </c>
      <c r="EY113" s="40">
        <f>COUNTIF($EX$2:$EX$92, EX113)/(COUNTIF($EX$2:$EX$92, "&lt;&gt;""") - COUNTIF($EX$2:$EX$92, ""))</f>
        <v>0.72222222222222221</v>
      </c>
      <c r="EZ113" s="36" t="str">
        <f t="shared" ref="EZ113:FB113" si="236">BM113</f>
        <v>Yes</v>
      </c>
      <c r="FA113" s="36" t="str">
        <f t="shared" si="236"/>
        <v>Yes</v>
      </c>
      <c r="FB113" s="36" t="str">
        <f t="shared" si="236"/>
        <v>No</v>
      </c>
      <c r="FC113" s="207"/>
      <c r="FD113" s="36" t="str">
        <f t="shared" si="89"/>
        <v>Transactional</v>
      </c>
      <c r="FE113" s="40">
        <f>COUNTIF($FD$2:$FD$92, FD113)/(COUNTIF($FD$2:$FD$92, "&lt;&gt;""") - COUNTIF($FD$2:$FD$92, ""))</f>
        <v>0.6</v>
      </c>
      <c r="FF113" s="36" t="str">
        <f t="shared" si="90"/>
        <v>B2C</v>
      </c>
      <c r="FG113" s="40">
        <f>COUNTIF($FF$2:$FF$92, FF113)/(COUNTIF($FF$2:$FF$92, "&lt;&gt;""") - COUNTIF($FF$2:$FF$92, ""))</f>
        <v>0.41111111111111109</v>
      </c>
      <c r="FH113" s="36" t="str">
        <f t="shared" si="91"/>
        <v>Low</v>
      </c>
      <c r="FI113" s="40">
        <f>COUNTIF($FH$2:$FH$92, FH113)/(COUNTIF($FH$2:$FH$92, "&lt;&gt;""") - COUNTIF($FH$2:$FH$92, ""))</f>
        <v>0.46666666666666667</v>
      </c>
      <c r="FJ113" s="36" t="str">
        <f t="shared" si="92"/>
        <v>Low</v>
      </c>
      <c r="FK113" s="40">
        <f>COUNTIF($FJ$2:$FJ$92, FJ113)/(COUNTIF($FJ$2:$FJ$92, "&lt;&gt;""") - COUNTIF($FJ$2:$FJ$92, ""))</f>
        <v>0.41111111111111109</v>
      </c>
      <c r="FL113" s="207"/>
      <c r="FM113" s="192">
        <f t="shared" si="93"/>
        <v>1</v>
      </c>
      <c r="FN113" s="192" t="e">
        <f t="shared" ca="1" si="94"/>
        <v>#NAME?</v>
      </c>
      <c r="FO113" s="192" t="e">
        <f t="shared" ca="1" si="95"/>
        <v>#NAME?</v>
      </c>
      <c r="FP113" s="192" t="e">
        <f t="shared" ca="1" si="96"/>
        <v>#NAME?</v>
      </c>
      <c r="FQ113" s="209" t="e">
        <f t="shared" ca="1" si="97"/>
        <v>#NAME?</v>
      </c>
      <c r="FR113" s="208" t="e">
        <f t="shared" ca="1" si="198"/>
        <v>#NAME?</v>
      </c>
      <c r="FS113" s="36" t="str">
        <f t="shared" si="99"/>
        <v>Pre-Product</v>
      </c>
      <c r="FT113" s="196">
        <f>COUNTIF($FS$2:$FS$92, FS113)/(COUNTIF($FS$2:$FS$92, "&lt;&gt;""") - COUNTIF($FZ$2:$FZ$92, ""))</f>
        <v>0.22222222222222221</v>
      </c>
      <c r="FU113" s="207"/>
      <c r="FV113" s="192" t="e">
        <f t="shared" ca="1" si="100"/>
        <v>#NAME?</v>
      </c>
      <c r="FW113" s="197" t="e">
        <f t="shared" ca="1" si="101"/>
        <v>#NAME?</v>
      </c>
      <c r="FX113" s="209" t="e">
        <f t="shared" ca="1" si="102"/>
        <v>#NAME?</v>
      </c>
      <c r="FY113" s="211" t="e">
        <f t="shared" ca="1" si="199"/>
        <v>#NAME?</v>
      </c>
      <c r="FZ113" s="36" t="str">
        <f t="shared" si="104"/>
        <v>No</v>
      </c>
      <c r="GA113" s="196">
        <f>COUNTIF($FZ$2:$FZ$92, FZ113)/(COUNTIF($FZ$2:$FZ$92, "&lt;&gt;""") - COUNTIF($FZ$2:$FZ$92, ""))</f>
        <v>0.76666666666666672</v>
      </c>
      <c r="GB113" s="196" t="str">
        <f t="shared" si="105"/>
        <v>Low</v>
      </c>
      <c r="GC113" s="196">
        <f>COUNTIF($GB$2:$GB$92, GB113)/(COUNTIF($GB$2:$GB$92, "&lt;&gt;""") - COUNTIF($GB$2:$GB$92, ""))</f>
        <v>0.55555555555555558</v>
      </c>
      <c r="GD113" s="196" t="str">
        <f t="shared" si="106"/>
        <v>High</v>
      </c>
      <c r="GE113" s="196">
        <f>COUNTIF($GD$2:$GD$92, GD113)/(COUNTIF($GD$2:$GD$92, "&lt;&gt;""") - COUNTIF($GD$2:$GD$92, ""))</f>
        <v>0.8</v>
      </c>
      <c r="GF113" s="207"/>
      <c r="GG113" s="36"/>
      <c r="GH113" s="209" t="e">
        <f t="shared" ca="1" si="107"/>
        <v>#NAME?</v>
      </c>
      <c r="GI113" s="212" t="e">
        <f t="shared" ca="1" si="200"/>
        <v>#NAME?</v>
      </c>
    </row>
    <row r="114" spans="1:191" ht="15.75" customHeight="1">
      <c r="A114" s="174"/>
      <c r="B114" s="174" t="s">
        <v>433</v>
      </c>
      <c r="C114" s="238">
        <v>1803793</v>
      </c>
      <c r="D114" s="244" t="s">
        <v>1182</v>
      </c>
      <c r="E114" s="254">
        <v>43892.443749999999</v>
      </c>
      <c r="F114" s="239" t="s">
        <v>316</v>
      </c>
      <c r="G114" s="32" t="s">
        <v>1183</v>
      </c>
      <c r="H114" s="32" t="s">
        <v>1184</v>
      </c>
      <c r="I114" s="255">
        <v>43889</v>
      </c>
      <c r="J114" s="247" t="s">
        <v>1185</v>
      </c>
      <c r="K114" s="247" t="s">
        <v>1182</v>
      </c>
      <c r="M114" s="239" t="s">
        <v>28</v>
      </c>
      <c r="N114" s="239" t="s">
        <v>315</v>
      </c>
      <c r="O114" s="239" t="s">
        <v>30</v>
      </c>
      <c r="P114" s="239" t="s">
        <v>174</v>
      </c>
      <c r="Q114" s="239" t="s">
        <v>35</v>
      </c>
      <c r="R114" s="187"/>
      <c r="S114" s="239" t="s">
        <v>216</v>
      </c>
      <c r="T114" s="248"/>
      <c r="U114" s="249"/>
      <c r="V114" s="69">
        <v>4955781</v>
      </c>
      <c r="W114" s="251"/>
      <c r="X114" s="252"/>
      <c r="Y114" s="55" t="str">
        <f t="shared" si="158"/>
        <v/>
      </c>
      <c r="Z114" s="274">
        <f t="shared" si="159"/>
        <v>4955781</v>
      </c>
      <c r="AA114" s="183" t="e">
        <f t="shared" ca="1" si="160"/>
        <v>#NAME?</v>
      </c>
      <c r="AB114" s="239" t="s">
        <v>36</v>
      </c>
      <c r="AC114" s="239" t="s">
        <v>179</v>
      </c>
      <c r="AD114" s="239" t="s">
        <v>180</v>
      </c>
      <c r="AE114" s="239" t="s">
        <v>227</v>
      </c>
      <c r="AF114" s="239" t="s">
        <v>39</v>
      </c>
      <c r="AG114" s="239" t="s">
        <v>181</v>
      </c>
      <c r="AH114" s="239" t="s">
        <v>190</v>
      </c>
      <c r="AI114" s="251"/>
      <c r="AJ114" s="279">
        <v>385109000000</v>
      </c>
      <c r="AK114" s="224" t="e">
        <f t="shared" ca="1" si="161"/>
        <v>#NAME?</v>
      </c>
      <c r="AL114" s="279">
        <v>70000000000</v>
      </c>
      <c r="AM114" s="224" t="e">
        <f t="shared" ca="1" si="162"/>
        <v>#NAME?</v>
      </c>
      <c r="AN114" s="279">
        <v>3.4000000000000002E-2</v>
      </c>
      <c r="AO114" s="185" t="e">
        <f t="shared" ca="1" si="63"/>
        <v>#NAME?</v>
      </c>
      <c r="AP114" s="185" t="s">
        <v>264</v>
      </c>
      <c r="AQ114" s="239" t="s">
        <v>39</v>
      </c>
      <c r="AR114" s="239" t="s">
        <v>181</v>
      </c>
      <c r="AS114" s="239" t="s">
        <v>182</v>
      </c>
      <c r="AT114" s="29" t="s">
        <v>39</v>
      </c>
      <c r="AU114" s="29" t="s">
        <v>181</v>
      </c>
      <c r="AV114" s="239" t="s">
        <v>190</v>
      </c>
      <c r="AW114" s="239" t="s">
        <v>190</v>
      </c>
      <c r="AX114" s="239" t="s">
        <v>227</v>
      </c>
      <c r="AY114" s="239" t="s">
        <v>227</v>
      </c>
      <c r="AZ114" s="251">
        <v>17162</v>
      </c>
      <c r="BA114" s="55" t="e">
        <f t="shared" ca="1" si="163"/>
        <v>#NAME?</v>
      </c>
      <c r="BB114" s="279">
        <v>50812</v>
      </c>
      <c r="BC114" s="279">
        <v>500000</v>
      </c>
      <c r="BD114" s="62" t="e">
        <f t="shared" ca="1" si="164"/>
        <v>#NAME?</v>
      </c>
      <c r="BE114" s="277">
        <f t="shared" si="165"/>
        <v>0.10162400000000001</v>
      </c>
      <c r="BF114" s="62" t="e">
        <f t="shared" ca="1" si="166"/>
        <v>#NAME?</v>
      </c>
      <c r="BG114" s="239" t="s">
        <v>202</v>
      </c>
      <c r="BH114" s="187"/>
      <c r="BI114" s="239" t="s">
        <v>227</v>
      </c>
      <c r="BJ114" s="238">
        <v>3</v>
      </c>
      <c r="BK114" s="279">
        <v>1</v>
      </c>
      <c r="BL114" s="176" t="s">
        <v>190</v>
      </c>
      <c r="BM114" s="239" t="s">
        <v>190</v>
      </c>
      <c r="BN114" s="239" t="s">
        <v>190</v>
      </c>
      <c r="BO114" s="239" t="s">
        <v>190</v>
      </c>
      <c r="BP114" s="238">
        <v>1</v>
      </c>
      <c r="BQ114" s="238">
        <v>5</v>
      </c>
      <c r="BR114" s="238">
        <v>0</v>
      </c>
      <c r="BS114" s="238">
        <v>3</v>
      </c>
      <c r="BT114" s="205"/>
      <c r="BU114" s="16">
        <v>3</v>
      </c>
      <c r="BV114" s="16">
        <v>0</v>
      </c>
      <c r="BW114" s="16">
        <v>40</v>
      </c>
      <c r="BX114" s="16" t="s">
        <v>190</v>
      </c>
      <c r="BY114" s="205"/>
      <c r="CD114" s="205"/>
      <c r="CI114" s="205"/>
      <c r="CN114" s="205"/>
      <c r="CS114" s="205"/>
      <c r="CX114" s="205"/>
      <c r="DC114" s="205"/>
      <c r="DH114" s="205"/>
      <c r="DM114" s="205"/>
      <c r="DN114" s="205"/>
      <c r="DO114" s="205"/>
      <c r="DQ114" s="206"/>
      <c r="DR114" s="188">
        <f t="shared" si="64"/>
        <v>3</v>
      </c>
      <c r="DS114" s="188"/>
      <c r="DT114" s="189">
        <f t="shared" si="65"/>
        <v>0</v>
      </c>
      <c r="DU114" s="189"/>
      <c r="DV114" s="188">
        <f t="shared" si="66"/>
        <v>40</v>
      </c>
      <c r="DW114" s="183" t="e">
        <f t="shared" ca="1" si="67"/>
        <v>#NAME?</v>
      </c>
      <c r="DX114" s="207"/>
      <c r="DY114" s="190" t="e">
        <f t="shared" ca="1" si="68"/>
        <v>#NAME?</v>
      </c>
      <c r="DZ114" s="191" t="str">
        <f t="shared" si="190"/>
        <v/>
      </c>
      <c r="EA114" s="191" t="str">
        <f t="shared" si="191"/>
        <v/>
      </c>
      <c r="EB114" s="191" t="str">
        <f t="shared" si="192"/>
        <v/>
      </c>
      <c r="EC114" s="208" t="e">
        <f t="shared" ca="1" si="72"/>
        <v>#NAME?</v>
      </c>
      <c r="ED114" s="36" t="str">
        <f t="shared" si="73"/>
        <v>Equity - Common</v>
      </c>
      <c r="EE114" s="193">
        <f>COUNTIF($ED$2:$ED$92, ED114)/(COUNTIF($ED$2:$ED$92, "&lt;&gt;""") - COUNTIF($ED$2:$ED$92, ""))</f>
        <v>0.32222222222222224</v>
      </c>
      <c r="EF114" s="36" t="str">
        <f t="shared" si="74"/>
        <v>Early</v>
      </c>
      <c r="EG114" s="207"/>
      <c r="EH114" s="194" t="e">
        <f t="shared" ca="1" si="75"/>
        <v>#NAME?</v>
      </c>
      <c r="EI114" s="194" t="e">
        <f t="shared" ca="1" si="76"/>
        <v>#NAME?</v>
      </c>
      <c r="EJ114" s="209" t="e">
        <f t="shared" ca="1" si="77"/>
        <v>#NAME?</v>
      </c>
      <c r="EK114" s="208" t="e">
        <f t="shared" ca="1" si="193"/>
        <v>#NAME?</v>
      </c>
      <c r="EL114" s="36" t="str">
        <f t="shared" si="79"/>
        <v>No</v>
      </c>
      <c r="EM114" s="207"/>
      <c r="EN114" s="192">
        <f t="shared" si="194"/>
        <v>1.2857142857142856</v>
      </c>
      <c r="EO114" s="192">
        <f t="shared" si="195"/>
        <v>1</v>
      </c>
      <c r="EP114" s="209">
        <f t="shared" si="82"/>
        <v>2.2857142857142856</v>
      </c>
      <c r="EQ114" s="210">
        <f t="shared" si="196"/>
        <v>1.2242990654205608</v>
      </c>
      <c r="ER114" s="36" t="e">
        <f t="shared" ca="1" si="84"/>
        <v>#NAME?</v>
      </c>
      <c r="ES114" s="40">
        <f ca="1">COUNTIF($ER$2:$ER$92, ER114)/(COUNTIF($ER$2:$ER$92, "&lt;&gt;""") - COUNTIF($ER$2:$ER$92, ""))</f>
        <v>1</v>
      </c>
      <c r="ET114" s="36">
        <f t="shared" si="85"/>
        <v>1</v>
      </c>
      <c r="EU114" s="40">
        <f>COUNTIF($ET$2:$ET$92, ET114)/(COUNTIF($ET$2:$ET$92, "&lt;&gt;""") - COUNTIF($ET$2:$ET$92, ""))</f>
        <v>0.45555555555555555</v>
      </c>
      <c r="EV114" s="36">
        <f t="shared" si="86"/>
        <v>5</v>
      </c>
      <c r="EW114" s="40">
        <f>COUNTIF($EV$2:$EV$92, EV114)/(COUNTIF($EV$2:$EV$92, "&lt;&gt;""") - COUNTIF($EV$2:$EV$92, ""))</f>
        <v>0.13333333333333333</v>
      </c>
      <c r="EX114" s="36" t="str">
        <f t="shared" si="87"/>
        <v>No</v>
      </c>
      <c r="EY114" s="40">
        <f>COUNTIF($EX$2:$EX$92, EX114)/(COUNTIF($EX$2:$EX$92, "&lt;&gt;""") - COUNTIF($EX$2:$EX$92, ""))</f>
        <v>0.72222222222222221</v>
      </c>
      <c r="EZ114" s="36" t="str">
        <f t="shared" ref="EZ114:FB114" si="237">BM114</f>
        <v>No</v>
      </c>
      <c r="FA114" s="36" t="str">
        <f t="shared" si="237"/>
        <v>No</v>
      </c>
      <c r="FB114" s="36" t="str">
        <f t="shared" si="237"/>
        <v>No</v>
      </c>
      <c r="FC114" s="207"/>
      <c r="FD114" s="36" t="str">
        <f t="shared" si="89"/>
        <v>Transactional</v>
      </c>
      <c r="FE114" s="40">
        <f>COUNTIF($FD$2:$FD$92, FD114)/(COUNTIF($FD$2:$FD$92, "&lt;&gt;""") - COUNTIF($FD$2:$FD$92, ""))</f>
        <v>0.6</v>
      </c>
      <c r="FF114" s="36" t="str">
        <f t="shared" si="90"/>
        <v>B2C</v>
      </c>
      <c r="FG114" s="40">
        <f>COUNTIF($FF$2:$FF$92, FF114)/(COUNTIF($FF$2:$FF$92, "&lt;&gt;""") - COUNTIF($FF$2:$FF$92, ""))</f>
        <v>0.41111111111111109</v>
      </c>
      <c r="FH114" s="36" t="str">
        <f t="shared" si="91"/>
        <v>High</v>
      </c>
      <c r="FI114" s="40">
        <f>COUNTIF($FH$2:$FH$92, FH114)/(COUNTIF($FH$2:$FH$92, "&lt;&gt;""") - COUNTIF($FH$2:$FH$92, ""))</f>
        <v>0.53333333333333333</v>
      </c>
      <c r="FJ114" s="36" t="str">
        <f t="shared" si="92"/>
        <v>Low</v>
      </c>
      <c r="FK114" s="40">
        <f>COUNTIF($FJ$2:$FJ$92, FJ114)/(COUNTIF($FJ$2:$FJ$92, "&lt;&gt;""") - COUNTIF($FJ$2:$FJ$92, ""))</f>
        <v>0.41111111111111109</v>
      </c>
      <c r="FL114" s="207"/>
      <c r="FM114" s="192">
        <f t="shared" si="93"/>
        <v>5</v>
      </c>
      <c r="FN114" s="192" t="e">
        <f t="shared" ca="1" si="94"/>
        <v>#NAME?</v>
      </c>
      <c r="FO114" s="192" t="e">
        <f t="shared" ca="1" si="95"/>
        <v>#NAME?</v>
      </c>
      <c r="FP114" s="192" t="e">
        <f t="shared" ca="1" si="96"/>
        <v>#NAME?</v>
      </c>
      <c r="FQ114" s="209" t="e">
        <f t="shared" ca="1" si="97"/>
        <v>#NAME?</v>
      </c>
      <c r="FR114" s="208" t="e">
        <f t="shared" ca="1" si="198"/>
        <v>#NAME?</v>
      </c>
      <c r="FS114" s="36" t="str">
        <f t="shared" si="99"/>
        <v>Pre-Profit</v>
      </c>
      <c r="FT114" s="196">
        <f>COUNTIF($FS$2:$FS$92, FS114)/(COUNTIF($FS$2:$FS$92, "&lt;&gt;""") - COUNTIF($FZ$2:$FZ$92, ""))</f>
        <v>0.51111111111111107</v>
      </c>
      <c r="FU114" s="207"/>
      <c r="FV114" s="192">
        <f t="shared" si="100"/>
        <v>3</v>
      </c>
      <c r="FW114" s="197" t="e">
        <f t="shared" ca="1" si="101"/>
        <v>#NAME?</v>
      </c>
      <c r="FX114" s="209" t="e">
        <f t="shared" ca="1" si="102"/>
        <v>#NAME?</v>
      </c>
      <c r="FY114" s="211" t="e">
        <f t="shared" ca="1" si="199"/>
        <v>#NAME?</v>
      </c>
      <c r="FZ114" s="36" t="str">
        <f t="shared" si="104"/>
        <v>No</v>
      </c>
      <c r="GA114" s="196">
        <f>COUNTIF($FZ$2:$FZ$92, FZ114)/(COUNTIF($FZ$2:$FZ$92, "&lt;&gt;""") - COUNTIF($FZ$2:$FZ$92, ""))</f>
        <v>0.76666666666666672</v>
      </c>
      <c r="GB114" s="196" t="str">
        <f t="shared" si="105"/>
        <v>High</v>
      </c>
      <c r="GC114" s="196">
        <f>COUNTIF($GB$2:$GB$92, GB114)/(COUNTIF($GB$2:$GB$92, "&lt;&gt;""") - COUNTIF($GB$2:$GB$92, ""))</f>
        <v>0.43333333333333335</v>
      </c>
      <c r="GD114" s="196" t="str">
        <f t="shared" si="106"/>
        <v>Low</v>
      </c>
      <c r="GE114" s="196">
        <f>COUNTIF($GD$2:$GD$92, GD114)/(COUNTIF($GD$2:$GD$92, "&lt;&gt;""") - COUNTIF($GD$2:$GD$92, ""))</f>
        <v>0.18888888888888888</v>
      </c>
      <c r="GF114" s="207"/>
      <c r="GG114" s="36"/>
      <c r="GH114" s="209" t="e">
        <f t="shared" ca="1" si="107"/>
        <v>#NAME?</v>
      </c>
      <c r="GI114" s="212" t="e">
        <f t="shared" ca="1" si="200"/>
        <v>#NAME?</v>
      </c>
    </row>
    <row r="115" spans="1:191" ht="15.75" customHeight="1">
      <c r="A115" s="174"/>
      <c r="B115" s="174" t="s">
        <v>433</v>
      </c>
      <c r="C115" s="238">
        <v>1802096</v>
      </c>
      <c r="D115" s="244" t="s">
        <v>1186</v>
      </c>
      <c r="E115" s="245">
        <v>43892.454861111109</v>
      </c>
      <c r="F115" s="239" t="s">
        <v>329</v>
      </c>
      <c r="G115" s="32" t="s">
        <v>1187</v>
      </c>
      <c r="H115" s="32" t="s">
        <v>1188</v>
      </c>
      <c r="I115" s="246">
        <v>43886</v>
      </c>
      <c r="J115" s="247" t="s">
        <v>1189</v>
      </c>
      <c r="K115" s="247" t="s">
        <v>1186</v>
      </c>
      <c r="M115" s="239" t="s">
        <v>459</v>
      </c>
      <c r="N115" s="239" t="s">
        <v>320</v>
      </c>
      <c r="O115" s="239" t="s">
        <v>30</v>
      </c>
      <c r="P115" s="239" t="s">
        <v>174</v>
      </c>
      <c r="Q115" s="239" t="s">
        <v>35</v>
      </c>
      <c r="R115" s="239" t="s">
        <v>217</v>
      </c>
      <c r="S115" s="239" t="s">
        <v>269</v>
      </c>
      <c r="T115" s="248"/>
      <c r="U115" s="249"/>
      <c r="V115" s="250"/>
      <c r="W115" s="251">
        <v>10000000</v>
      </c>
      <c r="X115" s="252">
        <v>0</v>
      </c>
      <c r="Y115" s="55">
        <f t="shared" si="158"/>
        <v>10000000</v>
      </c>
      <c r="Z115" s="274">
        <f t="shared" si="159"/>
        <v>10000000</v>
      </c>
      <c r="AA115" s="183" t="e">
        <f t="shared" ca="1" si="160"/>
        <v>#NAME?</v>
      </c>
      <c r="AB115" s="239" t="s">
        <v>36</v>
      </c>
      <c r="AC115" s="239" t="s">
        <v>37</v>
      </c>
      <c r="AD115" s="239" t="s">
        <v>180</v>
      </c>
      <c r="AE115" s="239" t="s">
        <v>227</v>
      </c>
      <c r="AF115" s="239" t="s">
        <v>39</v>
      </c>
      <c r="AG115" s="239" t="s">
        <v>39</v>
      </c>
      <c r="AH115" s="239" t="s">
        <v>190</v>
      </c>
      <c r="AI115" s="251"/>
      <c r="AJ115" s="279">
        <v>860000000000</v>
      </c>
      <c r="AK115" s="224" t="e">
        <f t="shared" ca="1" si="161"/>
        <v>#NAME?</v>
      </c>
      <c r="AL115" s="279">
        <v>860000000000</v>
      </c>
      <c r="AM115" s="224" t="e">
        <f t="shared" ca="1" si="162"/>
        <v>#NAME?</v>
      </c>
      <c r="AN115" s="279">
        <v>7.0000000000000007E-2</v>
      </c>
      <c r="AO115" s="185" t="e">
        <f t="shared" ca="1" si="63"/>
        <v>#NAME?</v>
      </c>
      <c r="AP115" s="185" t="s">
        <v>211</v>
      </c>
      <c r="AQ115" s="239" t="s">
        <v>39</v>
      </c>
      <c r="AR115" s="239" t="s">
        <v>39</v>
      </c>
      <c r="AS115" s="239" t="s">
        <v>182</v>
      </c>
      <c r="AT115" s="29" t="s">
        <v>39</v>
      </c>
      <c r="AU115" s="29" t="s">
        <v>181</v>
      </c>
      <c r="AV115" s="239" t="s">
        <v>190</v>
      </c>
      <c r="AW115" s="239" t="s">
        <v>190</v>
      </c>
      <c r="AX115" s="239" t="s">
        <v>190</v>
      </c>
      <c r="AY115" s="239" t="s">
        <v>190</v>
      </c>
      <c r="AZ115" s="251">
        <v>0</v>
      </c>
      <c r="BA115" s="55" t="e">
        <f t="shared" ca="1" si="163"/>
        <v>#NAME?</v>
      </c>
      <c r="BB115" s="279">
        <v>134307</v>
      </c>
      <c r="BC115" s="279">
        <v>2440000</v>
      </c>
      <c r="BD115" s="62" t="e">
        <f t="shared" ca="1" si="164"/>
        <v>#NAME?</v>
      </c>
      <c r="BE115" s="277">
        <f t="shared" si="165"/>
        <v>5.5043852459016392E-2</v>
      </c>
      <c r="BF115" s="62" t="e">
        <f t="shared" ca="1" si="166"/>
        <v>#NAME?</v>
      </c>
      <c r="BG115" s="239" t="s">
        <v>183</v>
      </c>
      <c r="BH115" s="187"/>
      <c r="BI115" s="239" t="s">
        <v>190</v>
      </c>
      <c r="BJ115" s="239">
        <v>0</v>
      </c>
      <c r="BK115" s="279">
        <v>1</v>
      </c>
      <c r="BL115" s="176" t="s">
        <v>190</v>
      </c>
      <c r="BM115" s="239" t="s">
        <v>190</v>
      </c>
      <c r="BN115" s="239" t="s">
        <v>190</v>
      </c>
      <c r="BO115" s="239" t="s">
        <v>190</v>
      </c>
      <c r="BP115" s="238">
        <v>2</v>
      </c>
      <c r="BQ115" s="238">
        <v>8</v>
      </c>
      <c r="BR115" s="238">
        <v>0</v>
      </c>
      <c r="BS115" s="238">
        <v>3</v>
      </c>
      <c r="BT115" s="205"/>
      <c r="BU115" s="16">
        <v>2</v>
      </c>
      <c r="BV115" s="16">
        <v>0</v>
      </c>
      <c r="BW115" s="16">
        <v>42</v>
      </c>
      <c r="BX115" s="16" t="s">
        <v>190</v>
      </c>
      <c r="BY115" s="205"/>
      <c r="CD115" s="205"/>
      <c r="CI115" s="205"/>
      <c r="CN115" s="205"/>
      <c r="CS115" s="205"/>
      <c r="CX115" s="205"/>
      <c r="DC115" s="205"/>
      <c r="DH115" s="205"/>
      <c r="DM115" s="205"/>
      <c r="DN115" s="205"/>
      <c r="DO115" s="205"/>
      <c r="DQ115" s="206"/>
      <c r="DR115" s="188">
        <f t="shared" si="64"/>
        <v>2</v>
      </c>
      <c r="DS115" s="188"/>
      <c r="DT115" s="189">
        <f t="shared" si="65"/>
        <v>0</v>
      </c>
      <c r="DU115" s="189"/>
      <c r="DV115" s="188">
        <f t="shared" si="66"/>
        <v>42</v>
      </c>
      <c r="DW115" s="183" t="e">
        <f t="shared" ca="1" si="67"/>
        <v>#NAME?</v>
      </c>
      <c r="DX115" s="207"/>
      <c r="DY115" s="190" t="e">
        <f t="shared" ca="1" si="68"/>
        <v>#NAME?</v>
      </c>
      <c r="DZ115" s="191">
        <f t="shared" si="190"/>
        <v>1</v>
      </c>
      <c r="EA115" s="191" t="str">
        <f t="shared" si="191"/>
        <v/>
      </c>
      <c r="EB115" s="191" t="str">
        <f t="shared" si="192"/>
        <v/>
      </c>
      <c r="EC115" s="208" t="e">
        <f t="shared" ca="1" si="72"/>
        <v>#NAME?</v>
      </c>
      <c r="ED115" s="36" t="str">
        <f t="shared" si="73"/>
        <v>SAFE</v>
      </c>
      <c r="EE115" s="193">
        <f>COUNTIF($ED$2:$ED$92, ED115)/(COUNTIF($ED$2:$ED$92, "&lt;&gt;""") - COUNTIF($ED$2:$ED$92, ""))</f>
        <v>0.37777777777777777</v>
      </c>
      <c r="EF115" s="36" t="str">
        <f t="shared" si="74"/>
        <v>Early</v>
      </c>
      <c r="EG115" s="207"/>
      <c r="EH115" s="194" t="e">
        <f t="shared" ca="1" si="75"/>
        <v>#NAME?</v>
      </c>
      <c r="EI115" s="194" t="e">
        <f t="shared" ca="1" si="76"/>
        <v>#NAME?</v>
      </c>
      <c r="EJ115" s="209" t="e">
        <f t="shared" ca="1" si="77"/>
        <v>#NAME?</v>
      </c>
      <c r="EK115" s="208" t="e">
        <f t="shared" ca="1" si="193"/>
        <v>#NAME?</v>
      </c>
      <c r="EL115" s="36" t="str">
        <f t="shared" si="79"/>
        <v>No</v>
      </c>
      <c r="EM115" s="207"/>
      <c r="EN115" s="192">
        <f t="shared" si="194"/>
        <v>1.1904761904761905</v>
      </c>
      <c r="EO115" s="192">
        <f t="shared" si="195"/>
        <v>1</v>
      </c>
      <c r="EP115" s="209">
        <f t="shared" si="82"/>
        <v>2.1904761904761907</v>
      </c>
      <c r="EQ115" s="210">
        <f t="shared" si="196"/>
        <v>1.1495327102803741</v>
      </c>
      <c r="ER115" s="36" t="e">
        <f t="shared" ca="1" si="84"/>
        <v>#NAME?</v>
      </c>
      <c r="ES115" s="40">
        <f ca="1">COUNTIF($ER$2:$ER$92, ER115)/(COUNTIF($ER$2:$ER$92, "&lt;&gt;""") - COUNTIF($ER$2:$ER$92, ""))</f>
        <v>1</v>
      </c>
      <c r="ET115" s="36">
        <f t="shared" si="85"/>
        <v>1</v>
      </c>
      <c r="EU115" s="40">
        <f>COUNTIF($ET$2:$ET$92, ET115)/(COUNTIF($ET$2:$ET$92, "&lt;&gt;""") - COUNTIF($ET$2:$ET$92, ""))</f>
        <v>0.45555555555555555</v>
      </c>
      <c r="EV115" s="36">
        <f t="shared" si="86"/>
        <v>8</v>
      </c>
      <c r="EW115" s="40">
        <f>COUNTIF($EV$2:$EV$92, EV115)/(COUNTIF($EV$2:$EV$92, "&lt;&gt;""") - COUNTIF($EV$2:$EV$92, ""))</f>
        <v>5.5555555555555552E-2</v>
      </c>
      <c r="EX115" s="36" t="str">
        <f t="shared" si="87"/>
        <v>No</v>
      </c>
      <c r="EY115" s="40">
        <f>COUNTIF($EX$2:$EX$92, EX115)/(COUNTIF($EX$2:$EX$92, "&lt;&gt;""") - COUNTIF($EX$2:$EX$92, ""))</f>
        <v>0.72222222222222221</v>
      </c>
      <c r="EZ115" s="36" t="str">
        <f t="shared" ref="EZ115:FB115" si="238">BM115</f>
        <v>No</v>
      </c>
      <c r="FA115" s="36" t="str">
        <f t="shared" si="238"/>
        <v>No</v>
      </c>
      <c r="FB115" s="36" t="str">
        <f t="shared" si="238"/>
        <v>No</v>
      </c>
      <c r="FC115" s="207"/>
      <c r="FD115" s="36" t="str">
        <f t="shared" si="89"/>
        <v>Transactional</v>
      </c>
      <c r="FE115" s="40">
        <f>COUNTIF($FD$2:$FD$92, FD115)/(COUNTIF($FD$2:$FD$92, "&lt;&gt;""") - COUNTIF($FD$2:$FD$92, ""))</f>
        <v>0.6</v>
      </c>
      <c r="FF115" s="36" t="str">
        <f t="shared" si="90"/>
        <v>B2B</v>
      </c>
      <c r="FG115" s="40">
        <f>COUNTIF($FF$2:$FF$92, FF115)/(COUNTIF($FF$2:$FF$92, "&lt;&gt;""") - COUNTIF($FF$2:$FF$92, ""))</f>
        <v>0.24444444444444444</v>
      </c>
      <c r="FH115" s="36" t="str">
        <f t="shared" si="91"/>
        <v>High</v>
      </c>
      <c r="FI115" s="40">
        <f>COUNTIF($FH$2:$FH$92, FH115)/(COUNTIF($FH$2:$FH$92, "&lt;&gt;""") - COUNTIF($FH$2:$FH$92, ""))</f>
        <v>0.53333333333333333</v>
      </c>
      <c r="FJ115" s="36" t="str">
        <f t="shared" si="92"/>
        <v>High</v>
      </c>
      <c r="FK115" s="40">
        <f>COUNTIF($FJ$2:$FJ$92, FJ115)/(COUNTIF($FJ$2:$FJ$92, "&lt;&gt;""") - COUNTIF($FJ$2:$FJ$92, ""))</f>
        <v>0.58888888888888891</v>
      </c>
      <c r="FL115" s="207"/>
      <c r="FM115" s="192">
        <f t="shared" si="93"/>
        <v>1</v>
      </c>
      <c r="FN115" s="192" t="e">
        <f t="shared" ca="1" si="94"/>
        <v>#NAME?</v>
      </c>
      <c r="FO115" s="192" t="e">
        <f t="shared" ca="1" si="95"/>
        <v>#NAME?</v>
      </c>
      <c r="FP115" s="192" t="e">
        <f t="shared" ca="1" si="96"/>
        <v>#NAME?</v>
      </c>
      <c r="FQ115" s="209" t="e">
        <f t="shared" ca="1" si="97"/>
        <v>#NAME?</v>
      </c>
      <c r="FR115" s="208" t="e">
        <f t="shared" ca="1" si="198"/>
        <v>#NAME?</v>
      </c>
      <c r="FS115" s="36" t="str">
        <f t="shared" si="99"/>
        <v>Pre-Revenue</v>
      </c>
      <c r="FT115" s="196">
        <f>COUNTIF($FS$2:$FS$92, FS115)/(COUNTIF($FS$2:$FS$92, "&lt;&gt;""") - COUNTIF($FZ$2:$FZ$92, ""))</f>
        <v>0.2</v>
      </c>
      <c r="FU115" s="207"/>
      <c r="FV115" s="192" t="e">
        <f t="shared" ca="1" si="100"/>
        <v>#NAME?</v>
      </c>
      <c r="FW115" s="197" t="e">
        <f t="shared" ca="1" si="101"/>
        <v>#NAME?</v>
      </c>
      <c r="FX115" s="209" t="e">
        <f t="shared" ca="1" si="102"/>
        <v>#NAME?</v>
      </c>
      <c r="FY115" s="211" t="e">
        <f t="shared" ca="1" si="199"/>
        <v>#NAME?</v>
      </c>
      <c r="FZ115" s="36" t="str">
        <f t="shared" si="104"/>
        <v>No</v>
      </c>
      <c r="GA115" s="196">
        <f>COUNTIF($FZ$2:$FZ$92, FZ115)/(COUNTIF($FZ$2:$FZ$92, "&lt;&gt;""") - COUNTIF($FZ$2:$FZ$92, ""))</f>
        <v>0.76666666666666672</v>
      </c>
      <c r="GB115" s="196" t="str">
        <f t="shared" si="105"/>
        <v>High</v>
      </c>
      <c r="GC115" s="196">
        <f>COUNTIF($GB$2:$GB$92, GB115)/(COUNTIF($GB$2:$GB$92, "&lt;&gt;""") - COUNTIF($GB$2:$GB$92, ""))</f>
        <v>0.43333333333333335</v>
      </c>
      <c r="GD115" s="196" t="str">
        <f t="shared" si="106"/>
        <v>Low</v>
      </c>
      <c r="GE115" s="196">
        <f>COUNTIF($GD$2:$GD$92, GD115)/(COUNTIF($GD$2:$GD$92, "&lt;&gt;""") - COUNTIF($GD$2:$GD$92, ""))</f>
        <v>0.18888888888888888</v>
      </c>
      <c r="GF115" s="207"/>
      <c r="GG115" s="36"/>
      <c r="GH115" s="209" t="e">
        <f t="shared" ca="1" si="107"/>
        <v>#NAME?</v>
      </c>
      <c r="GI115" s="212" t="e">
        <f t="shared" ca="1" si="200"/>
        <v>#NAME?</v>
      </c>
    </row>
    <row r="116" spans="1:191" ht="15.75" customHeight="1">
      <c r="A116" s="174"/>
      <c r="B116" s="174" t="s">
        <v>433</v>
      </c>
      <c r="C116" s="238">
        <v>1690474</v>
      </c>
      <c r="D116" s="244" t="s">
        <v>1190</v>
      </c>
      <c r="E116" s="245">
        <v>43892.456944444442</v>
      </c>
      <c r="F116" s="239" t="s">
        <v>329</v>
      </c>
      <c r="G116" s="32" t="s">
        <v>1191</v>
      </c>
      <c r="H116" s="32" t="s">
        <v>1192</v>
      </c>
      <c r="I116" s="246">
        <v>43889</v>
      </c>
      <c r="J116" s="247" t="s">
        <v>1193</v>
      </c>
      <c r="K116" s="247" t="s">
        <v>1190</v>
      </c>
      <c r="M116" s="239" t="s">
        <v>1194</v>
      </c>
      <c r="N116" s="239" t="s">
        <v>294</v>
      </c>
      <c r="O116" s="239" t="s">
        <v>30</v>
      </c>
      <c r="P116" s="239" t="s">
        <v>174</v>
      </c>
      <c r="Q116" s="239" t="s">
        <v>35</v>
      </c>
      <c r="R116" s="187"/>
      <c r="S116" s="239" t="s">
        <v>269</v>
      </c>
      <c r="T116" s="248"/>
      <c r="U116" s="249"/>
      <c r="V116" s="250"/>
      <c r="W116" s="251">
        <v>14750000</v>
      </c>
      <c r="X116" s="252">
        <v>0</v>
      </c>
      <c r="Y116" s="55">
        <f t="shared" si="158"/>
        <v>14750000</v>
      </c>
      <c r="Z116" s="274">
        <f t="shared" si="159"/>
        <v>14750000</v>
      </c>
      <c r="AA116" s="183" t="e">
        <f t="shared" ca="1" si="160"/>
        <v>#NAME?</v>
      </c>
      <c r="AB116" s="239" t="s">
        <v>36</v>
      </c>
      <c r="AC116" s="239" t="s">
        <v>218</v>
      </c>
      <c r="AD116" s="239" t="s">
        <v>180</v>
      </c>
      <c r="AE116" s="239" t="s">
        <v>227</v>
      </c>
      <c r="AF116" s="239" t="s">
        <v>39</v>
      </c>
      <c r="AG116" s="239" t="s">
        <v>39</v>
      </c>
      <c r="AH116" s="239" t="s">
        <v>190</v>
      </c>
      <c r="AI116" s="251"/>
      <c r="AJ116" s="279">
        <v>1200000000</v>
      </c>
      <c r="AK116" s="224" t="e">
        <f t="shared" ca="1" si="161"/>
        <v>#NAME?</v>
      </c>
      <c r="AL116" s="279">
        <v>1200000000</v>
      </c>
      <c r="AM116" s="224" t="e">
        <f t="shared" ca="1" si="162"/>
        <v>#NAME?</v>
      </c>
      <c r="AN116" s="279">
        <v>3.3000000000000002E-2</v>
      </c>
      <c r="AO116" s="185" t="e">
        <f t="shared" ca="1" si="63"/>
        <v>#NAME?</v>
      </c>
      <c r="AP116" s="185" t="s">
        <v>192</v>
      </c>
      <c r="AQ116" s="239" t="s">
        <v>39</v>
      </c>
      <c r="AR116" s="239" t="s">
        <v>181</v>
      </c>
      <c r="AS116" s="239" t="s">
        <v>182</v>
      </c>
      <c r="AT116" s="29" t="s">
        <v>39</v>
      </c>
      <c r="AU116" s="29" t="s">
        <v>39</v>
      </c>
      <c r="AV116" s="239" t="s">
        <v>190</v>
      </c>
      <c r="AW116" s="239" t="s">
        <v>227</v>
      </c>
      <c r="AX116" s="239" t="s">
        <v>227</v>
      </c>
      <c r="AY116" s="239" t="s">
        <v>227</v>
      </c>
      <c r="AZ116" s="251">
        <v>0</v>
      </c>
      <c r="BA116" s="55" t="e">
        <f t="shared" ca="1" si="163"/>
        <v>#NAME?</v>
      </c>
      <c r="BB116" s="279">
        <v>10181</v>
      </c>
      <c r="BC116" s="280">
        <v>600000</v>
      </c>
      <c r="BD116" s="62" t="e">
        <f t="shared" ca="1" si="164"/>
        <v>#NAME?</v>
      </c>
      <c r="BE116" s="277">
        <f t="shared" si="165"/>
        <v>1.6968333333333332E-2</v>
      </c>
      <c r="BF116" s="62" t="e">
        <f t="shared" ca="1" si="166"/>
        <v>#NAME?</v>
      </c>
      <c r="BG116" s="239" t="s">
        <v>202</v>
      </c>
      <c r="BH116" s="187"/>
      <c r="BI116" s="239" t="s">
        <v>190</v>
      </c>
      <c r="BJ116" s="239">
        <v>0</v>
      </c>
      <c r="BK116" s="279">
        <v>4</v>
      </c>
      <c r="BL116" s="239" t="s">
        <v>227</v>
      </c>
      <c r="BM116" s="239" t="s">
        <v>227</v>
      </c>
      <c r="BN116" s="239" t="s">
        <v>227</v>
      </c>
      <c r="BO116" s="239" t="s">
        <v>190</v>
      </c>
      <c r="BP116" s="238">
        <v>7</v>
      </c>
      <c r="BQ116" s="238">
        <v>11</v>
      </c>
      <c r="BR116" s="238">
        <v>2</v>
      </c>
      <c r="BS116" s="238">
        <v>0</v>
      </c>
      <c r="BT116" s="205"/>
      <c r="BU116" s="16">
        <v>4</v>
      </c>
      <c r="BV116" s="16">
        <v>0</v>
      </c>
      <c r="BW116" s="16">
        <v>28</v>
      </c>
      <c r="BX116" s="16" t="s">
        <v>190</v>
      </c>
      <c r="BY116" s="205"/>
      <c r="BZ116" s="16">
        <v>8</v>
      </c>
      <c r="CA116" s="16">
        <v>0</v>
      </c>
      <c r="CB116" s="16">
        <v>28</v>
      </c>
      <c r="CC116" s="16" t="s">
        <v>190</v>
      </c>
      <c r="CD116" s="205"/>
      <c r="CE116" s="16">
        <v>4</v>
      </c>
      <c r="CF116" s="16">
        <v>0</v>
      </c>
      <c r="CG116" s="16">
        <v>28</v>
      </c>
      <c r="CH116" s="16" t="s">
        <v>190</v>
      </c>
      <c r="CI116" s="205"/>
      <c r="CJ116" s="16">
        <v>4</v>
      </c>
      <c r="CK116" s="16">
        <v>0</v>
      </c>
      <c r="CL116" s="16">
        <v>60</v>
      </c>
      <c r="CM116" s="16" t="s">
        <v>227</v>
      </c>
      <c r="CN116" s="205"/>
      <c r="CS116" s="205"/>
      <c r="CX116" s="205"/>
      <c r="DC116" s="205"/>
      <c r="DH116" s="205"/>
      <c r="DM116" s="205"/>
      <c r="DN116" s="205"/>
      <c r="DO116" s="205"/>
      <c r="DQ116" s="206"/>
      <c r="DR116" s="188">
        <f t="shared" si="64"/>
        <v>5</v>
      </c>
      <c r="DS116" s="188"/>
      <c r="DT116" s="189">
        <f t="shared" si="65"/>
        <v>0</v>
      </c>
      <c r="DU116" s="189"/>
      <c r="DV116" s="188">
        <f t="shared" si="66"/>
        <v>36</v>
      </c>
      <c r="DW116" s="183" t="e">
        <f t="shared" ca="1" si="67"/>
        <v>#NAME?</v>
      </c>
      <c r="DX116" s="207"/>
      <c r="DY116" s="190" t="e">
        <f t="shared" ca="1" si="68"/>
        <v>#NAME?</v>
      </c>
      <c r="DZ116" s="191">
        <f t="shared" si="190"/>
        <v>1</v>
      </c>
      <c r="EA116" s="191" t="str">
        <f t="shared" si="191"/>
        <v/>
      </c>
      <c r="EB116" s="191" t="str">
        <f t="shared" si="192"/>
        <v/>
      </c>
      <c r="EC116" s="208" t="e">
        <f t="shared" ca="1" si="72"/>
        <v>#NAME?</v>
      </c>
      <c r="ED116" s="36" t="str">
        <f t="shared" si="73"/>
        <v>SAFE</v>
      </c>
      <c r="EE116" s="193">
        <f>COUNTIF($ED$2:$ED$92, ED116)/(COUNTIF($ED$2:$ED$92, "&lt;&gt;""") - COUNTIF($ED$2:$ED$92, ""))</f>
        <v>0.37777777777777777</v>
      </c>
      <c r="EF116" s="36" t="str">
        <f t="shared" si="74"/>
        <v>Early</v>
      </c>
      <c r="EG116" s="207"/>
      <c r="EH116" s="194" t="e">
        <f t="shared" ca="1" si="75"/>
        <v>#NAME?</v>
      </c>
      <c r="EI116" s="194" t="e">
        <f t="shared" ca="1" si="76"/>
        <v>#NAME?</v>
      </c>
      <c r="EJ116" s="209" t="e">
        <f t="shared" ca="1" si="77"/>
        <v>#NAME?</v>
      </c>
      <c r="EK116" s="208" t="e">
        <f t="shared" ca="1" si="193"/>
        <v>#NAME?</v>
      </c>
      <c r="EL116" s="36" t="str">
        <f t="shared" si="79"/>
        <v>No</v>
      </c>
      <c r="EM116" s="207"/>
      <c r="EN116" s="192">
        <f t="shared" si="194"/>
        <v>1.4761904761904763</v>
      </c>
      <c r="EO116" s="192">
        <f t="shared" si="195"/>
        <v>1</v>
      </c>
      <c r="EP116" s="209">
        <f t="shared" si="82"/>
        <v>2.4761904761904763</v>
      </c>
      <c r="EQ116" s="210">
        <f t="shared" si="196"/>
        <v>1.3738317757009346</v>
      </c>
      <c r="ER116" s="36" t="e">
        <f t="shared" ca="1" si="84"/>
        <v>#NAME?</v>
      </c>
      <c r="ES116" s="40">
        <f ca="1">COUNTIF($ER$2:$ER$92, ER116)/(COUNTIF($ER$2:$ER$92, "&lt;&gt;""") - COUNTIF($ER$2:$ER$92, ""))</f>
        <v>1</v>
      </c>
      <c r="ET116" s="36">
        <f t="shared" si="85"/>
        <v>4</v>
      </c>
      <c r="EU116" s="40">
        <f>COUNTIF($ET$2:$ET$92, ET116)/(COUNTIF($ET$2:$ET$92, "&lt;&gt;""") - COUNTIF($ET$2:$ET$92, ""))</f>
        <v>4.4444444444444446E-2</v>
      </c>
      <c r="EV116" s="36">
        <f t="shared" si="86"/>
        <v>11</v>
      </c>
      <c r="EW116" s="40">
        <f>COUNTIF($EV$2:$EV$92, EV116)/(COUNTIF($EV$2:$EV$92, "&lt;&gt;""") - COUNTIF($EV$2:$EV$92, ""))</f>
        <v>3.3333333333333333E-2</v>
      </c>
      <c r="EX116" s="36" t="str">
        <f t="shared" si="87"/>
        <v>Yes</v>
      </c>
      <c r="EY116" s="40">
        <f>COUNTIF($EX$2:$EX$92, EX116)/(COUNTIF($EX$2:$EX$92, "&lt;&gt;""") - COUNTIF($EX$2:$EX$92, ""))</f>
        <v>0.27777777777777779</v>
      </c>
      <c r="EZ116" s="36" t="str">
        <f t="shared" ref="EZ116:FB116" si="239">BM116</f>
        <v>Yes</v>
      </c>
      <c r="FA116" s="36" t="str">
        <f t="shared" si="239"/>
        <v>Yes</v>
      </c>
      <c r="FB116" s="36" t="str">
        <f t="shared" si="239"/>
        <v>No</v>
      </c>
      <c r="FC116" s="207"/>
      <c r="FD116" s="36" t="str">
        <f t="shared" si="89"/>
        <v>Transactional</v>
      </c>
      <c r="FE116" s="40">
        <f>COUNTIF($FD$2:$FD$92, FD116)/(COUNTIF($FD$2:$FD$92, "&lt;&gt;""") - COUNTIF($FD$2:$FD$92, ""))</f>
        <v>0.6</v>
      </c>
      <c r="FF116" s="36" t="str">
        <f t="shared" si="90"/>
        <v>B2B/B2C</v>
      </c>
      <c r="FG116" s="40">
        <f>COUNTIF($FF$2:$FF$92, FF116)/(COUNTIF($FF$2:$FF$92, "&lt;&gt;""") - COUNTIF($FF$2:$FF$92, ""))</f>
        <v>0.27777777777777779</v>
      </c>
      <c r="FH116" s="36" t="str">
        <f t="shared" si="91"/>
        <v>High</v>
      </c>
      <c r="FI116" s="40">
        <f>COUNTIF($FH$2:$FH$92, FH116)/(COUNTIF($FH$2:$FH$92, "&lt;&gt;""") - COUNTIF($FH$2:$FH$92, ""))</f>
        <v>0.53333333333333333</v>
      </c>
      <c r="FJ116" s="36" t="str">
        <f t="shared" si="92"/>
        <v>High</v>
      </c>
      <c r="FK116" s="40">
        <f>COUNTIF($FJ$2:$FJ$92, FJ116)/(COUNTIF($FJ$2:$FJ$92, "&lt;&gt;""") - COUNTIF($FJ$2:$FJ$92, ""))</f>
        <v>0.58888888888888891</v>
      </c>
      <c r="FL116" s="207"/>
      <c r="FM116" s="192">
        <f t="shared" si="93"/>
        <v>5</v>
      </c>
      <c r="FN116" s="192" t="e">
        <f t="shared" ca="1" si="94"/>
        <v>#NAME?</v>
      </c>
      <c r="FO116" s="192" t="e">
        <f t="shared" ca="1" si="95"/>
        <v>#NAME?</v>
      </c>
      <c r="FP116" s="192" t="e">
        <f t="shared" ca="1" si="96"/>
        <v>#NAME?</v>
      </c>
      <c r="FQ116" s="209" t="e">
        <f t="shared" ca="1" si="97"/>
        <v>#NAME?</v>
      </c>
      <c r="FR116" s="208" t="e">
        <f t="shared" ca="1" si="198"/>
        <v>#NAME?</v>
      </c>
      <c r="FS116" s="36" t="str">
        <f t="shared" si="99"/>
        <v>Pre-Profit</v>
      </c>
      <c r="FT116" s="196">
        <f>COUNTIF($FS$2:$FS$92, FS116)/(COUNTIF($FS$2:$FS$92, "&lt;&gt;""") - COUNTIF($FZ$2:$FZ$92, ""))</f>
        <v>0.51111111111111107</v>
      </c>
      <c r="FU116" s="207"/>
      <c r="FV116" s="192">
        <f t="shared" si="100"/>
        <v>3</v>
      </c>
      <c r="FW116" s="197" t="e">
        <f t="shared" ca="1" si="101"/>
        <v>#NAME?</v>
      </c>
      <c r="FX116" s="209" t="e">
        <f t="shared" ca="1" si="102"/>
        <v>#NAME?</v>
      </c>
      <c r="FY116" s="211" t="e">
        <f t="shared" ca="1" si="199"/>
        <v>#NAME?</v>
      </c>
      <c r="FZ116" s="36" t="str">
        <f t="shared" si="104"/>
        <v>Yes</v>
      </c>
      <c r="GA116" s="196">
        <f>COUNTIF($FZ$2:$FZ$92, FZ116)/(COUNTIF($FZ$2:$FZ$92, "&lt;&gt;""") - COUNTIF($FZ$2:$FZ$92, ""))</f>
        <v>0.23333333333333334</v>
      </c>
      <c r="GB116" s="196" t="str">
        <f t="shared" si="105"/>
        <v>High</v>
      </c>
      <c r="GC116" s="196">
        <f>COUNTIF($GB$2:$GB$92, GB116)/(COUNTIF($GB$2:$GB$92, "&lt;&gt;""") - COUNTIF($GB$2:$GB$92, ""))</f>
        <v>0.43333333333333335</v>
      </c>
      <c r="GD116" s="196" t="str">
        <f t="shared" si="106"/>
        <v>High</v>
      </c>
      <c r="GE116" s="196">
        <f>COUNTIF($GD$2:$GD$92, GD116)/(COUNTIF($GD$2:$GD$92, "&lt;&gt;""") - COUNTIF($GD$2:$GD$92, ""))</f>
        <v>0.8</v>
      </c>
      <c r="GF116" s="207"/>
      <c r="GG116" s="36"/>
      <c r="GH116" s="209" t="e">
        <f t="shared" ca="1" si="107"/>
        <v>#NAME?</v>
      </c>
      <c r="GI116" s="212" t="e">
        <f t="shared" ca="1" si="200"/>
        <v>#NAME?</v>
      </c>
    </row>
    <row r="117" spans="1:191" ht="15.75" customHeight="1">
      <c r="A117" s="174"/>
      <c r="B117" s="174" t="s">
        <v>433</v>
      </c>
      <c r="C117" s="238">
        <v>1749594</v>
      </c>
      <c r="D117" s="244" t="s">
        <v>1195</v>
      </c>
      <c r="E117" s="245">
        <v>43892.459027777775</v>
      </c>
      <c r="F117" s="239" t="s">
        <v>329</v>
      </c>
      <c r="G117" s="32" t="s">
        <v>1196</v>
      </c>
      <c r="H117" s="32" t="s">
        <v>1197</v>
      </c>
      <c r="I117" s="246">
        <v>43885</v>
      </c>
      <c r="J117" s="247" t="s">
        <v>1198</v>
      </c>
      <c r="K117" s="247" t="s">
        <v>1195</v>
      </c>
      <c r="M117" s="35" t="s">
        <v>293</v>
      </c>
      <c r="N117" s="239" t="s">
        <v>213</v>
      </c>
      <c r="O117" s="239" t="s">
        <v>30</v>
      </c>
      <c r="P117" s="239" t="s">
        <v>174</v>
      </c>
      <c r="Q117" s="239" t="s">
        <v>35</v>
      </c>
      <c r="R117" s="187"/>
      <c r="S117" s="239" t="s">
        <v>269</v>
      </c>
      <c r="T117" s="248"/>
      <c r="U117" s="249"/>
      <c r="V117" s="250"/>
      <c r="W117" s="251">
        <v>10000000</v>
      </c>
      <c r="X117" s="252">
        <v>0.1</v>
      </c>
      <c r="Y117" s="55">
        <f t="shared" si="158"/>
        <v>9000000</v>
      </c>
      <c r="Z117" s="274">
        <f t="shared" si="159"/>
        <v>9000000</v>
      </c>
      <c r="AA117" s="183" t="e">
        <f t="shared" ca="1" si="160"/>
        <v>#NAME?</v>
      </c>
      <c r="AB117" s="239" t="s">
        <v>36</v>
      </c>
      <c r="AC117" s="239" t="s">
        <v>218</v>
      </c>
      <c r="AD117" s="239" t="s">
        <v>38</v>
      </c>
      <c r="AE117" s="239" t="s">
        <v>190</v>
      </c>
      <c r="AF117" s="239" t="s">
        <v>39</v>
      </c>
      <c r="AG117" s="239" t="s">
        <v>39</v>
      </c>
      <c r="AH117" s="239" t="s">
        <v>227</v>
      </c>
      <c r="AI117" s="251"/>
      <c r="AJ117" s="279">
        <v>305061000000</v>
      </c>
      <c r="AK117" s="224" t="e">
        <f t="shared" ca="1" si="161"/>
        <v>#NAME?</v>
      </c>
      <c r="AL117" s="279">
        <v>305061000000</v>
      </c>
      <c r="AM117" s="224" t="e">
        <f t="shared" ca="1" si="162"/>
        <v>#NAME?</v>
      </c>
      <c r="AN117" s="279">
        <v>6.4000000000000001E-2</v>
      </c>
      <c r="AO117" s="185" t="e">
        <f t="shared" ca="1" si="63"/>
        <v>#NAME?</v>
      </c>
      <c r="AP117" s="185" t="s">
        <v>264</v>
      </c>
      <c r="AQ117" s="239" t="s">
        <v>39</v>
      </c>
      <c r="AR117" s="239" t="s">
        <v>181</v>
      </c>
      <c r="AS117" s="239" t="s">
        <v>42</v>
      </c>
      <c r="AT117" s="29" t="s">
        <v>39</v>
      </c>
      <c r="AU117" s="29" t="s">
        <v>39</v>
      </c>
      <c r="AV117" s="239" t="s">
        <v>227</v>
      </c>
      <c r="AW117" s="239" t="s">
        <v>190</v>
      </c>
      <c r="AX117" s="239" t="s">
        <v>227</v>
      </c>
      <c r="AY117" s="239" t="s">
        <v>227</v>
      </c>
      <c r="AZ117" s="251">
        <v>184942</v>
      </c>
      <c r="BA117" s="55" t="e">
        <f t="shared" ca="1" si="163"/>
        <v>#NAME?</v>
      </c>
      <c r="BB117" s="279">
        <v>14764</v>
      </c>
      <c r="BC117" s="280">
        <v>1050000</v>
      </c>
      <c r="BD117" s="62" t="e">
        <f t="shared" ca="1" si="164"/>
        <v>#NAME?</v>
      </c>
      <c r="BE117" s="277">
        <f t="shared" si="165"/>
        <v>1.4060952380952381E-2</v>
      </c>
      <c r="BF117" s="62" t="e">
        <f t="shared" ca="1" si="166"/>
        <v>#NAME?</v>
      </c>
      <c r="BG117" s="239" t="s">
        <v>202</v>
      </c>
      <c r="BH117" s="187"/>
      <c r="BI117" s="239" t="s">
        <v>227</v>
      </c>
      <c r="BJ117" s="239">
        <v>2</v>
      </c>
      <c r="BK117" s="279">
        <v>1</v>
      </c>
      <c r="BL117" s="176" t="s">
        <v>190</v>
      </c>
      <c r="BM117" s="239" t="s">
        <v>190</v>
      </c>
      <c r="BN117" s="239" t="s">
        <v>190</v>
      </c>
      <c r="BO117" s="239" t="s">
        <v>190</v>
      </c>
      <c r="BP117" s="238">
        <v>3</v>
      </c>
      <c r="BQ117" s="238">
        <v>5</v>
      </c>
      <c r="BR117" s="238">
        <v>11</v>
      </c>
      <c r="BS117" s="238">
        <v>3</v>
      </c>
      <c r="BT117" s="205"/>
      <c r="BU117" s="16">
        <v>7</v>
      </c>
      <c r="BV117" s="16">
        <v>0</v>
      </c>
      <c r="BW117" s="16">
        <v>38</v>
      </c>
      <c r="BX117" s="16" t="s">
        <v>190</v>
      </c>
      <c r="BY117" s="205"/>
      <c r="CD117" s="205"/>
      <c r="CI117" s="205"/>
      <c r="CN117" s="205"/>
      <c r="CS117" s="205"/>
      <c r="CX117" s="205"/>
      <c r="DC117" s="205"/>
      <c r="DH117" s="205"/>
      <c r="DM117" s="205"/>
      <c r="DN117" s="205"/>
      <c r="DO117" s="205"/>
      <c r="DQ117" s="206"/>
      <c r="DR117" s="188">
        <f t="shared" si="64"/>
        <v>7</v>
      </c>
      <c r="DS117" s="188"/>
      <c r="DT117" s="189">
        <f t="shared" si="65"/>
        <v>0</v>
      </c>
      <c r="DU117" s="189"/>
      <c r="DV117" s="188">
        <f t="shared" si="66"/>
        <v>38</v>
      </c>
      <c r="DW117" s="183" t="e">
        <f t="shared" ca="1" si="67"/>
        <v>#NAME?</v>
      </c>
      <c r="DX117" s="207"/>
      <c r="DY117" s="190" t="e">
        <f t="shared" ca="1" si="68"/>
        <v>#NAME?</v>
      </c>
      <c r="DZ117" s="191">
        <f t="shared" si="190"/>
        <v>2.0526315789473681</v>
      </c>
      <c r="EA117" s="191" t="str">
        <f t="shared" si="191"/>
        <v/>
      </c>
      <c r="EB117" s="191" t="str">
        <f t="shared" si="192"/>
        <v/>
      </c>
      <c r="EC117" s="208" t="e">
        <f t="shared" ca="1" si="72"/>
        <v>#NAME?</v>
      </c>
      <c r="ED117" s="36" t="str">
        <f t="shared" si="73"/>
        <v>SAFE</v>
      </c>
      <c r="EE117" s="193">
        <f>COUNTIF($ED$2:$ED$92, ED117)/(COUNTIF($ED$2:$ED$92, "&lt;&gt;""") - COUNTIF($ED$2:$ED$92, ""))</f>
        <v>0.37777777777777777</v>
      </c>
      <c r="EF117" s="36" t="str">
        <f t="shared" si="74"/>
        <v>Early</v>
      </c>
      <c r="EG117" s="207"/>
      <c r="EH117" s="194" t="e">
        <f t="shared" ca="1" si="75"/>
        <v>#NAME?</v>
      </c>
      <c r="EI117" s="194" t="e">
        <f t="shared" ca="1" si="76"/>
        <v>#NAME?</v>
      </c>
      <c r="EJ117" s="209" t="e">
        <f t="shared" ca="1" si="77"/>
        <v>#NAME?</v>
      </c>
      <c r="EK117" s="208" t="e">
        <f t="shared" ca="1" si="193"/>
        <v>#NAME?</v>
      </c>
      <c r="EL117" s="36" t="str">
        <f t="shared" si="79"/>
        <v>Yes</v>
      </c>
      <c r="EM117" s="207"/>
      <c r="EN117" s="192">
        <f t="shared" si="194"/>
        <v>1.6666666666666665</v>
      </c>
      <c r="EO117" s="192">
        <f t="shared" si="195"/>
        <v>1</v>
      </c>
      <c r="EP117" s="209">
        <f t="shared" si="82"/>
        <v>2.6666666666666665</v>
      </c>
      <c r="EQ117" s="210">
        <f t="shared" si="196"/>
        <v>1.5233644859813085</v>
      </c>
      <c r="ER117" s="36" t="e">
        <f t="shared" ca="1" si="84"/>
        <v>#NAME?</v>
      </c>
      <c r="ES117" s="40">
        <f ca="1">COUNTIF($ER$2:$ER$92, ER117)/(COUNTIF($ER$2:$ER$92, "&lt;&gt;""") - COUNTIF($ER$2:$ER$92, ""))</f>
        <v>1</v>
      </c>
      <c r="ET117" s="36">
        <f t="shared" si="85"/>
        <v>1</v>
      </c>
      <c r="EU117" s="40">
        <f>COUNTIF($ET$2:$ET$92, ET117)/(COUNTIF($ET$2:$ET$92, "&lt;&gt;""") - COUNTIF($ET$2:$ET$92, ""))</f>
        <v>0.45555555555555555</v>
      </c>
      <c r="EV117" s="36">
        <f t="shared" si="86"/>
        <v>5</v>
      </c>
      <c r="EW117" s="40">
        <f>COUNTIF($EV$2:$EV$92, EV117)/(COUNTIF($EV$2:$EV$92, "&lt;&gt;""") - COUNTIF($EV$2:$EV$92, ""))</f>
        <v>0.13333333333333333</v>
      </c>
      <c r="EX117" s="36" t="str">
        <f t="shared" si="87"/>
        <v>No</v>
      </c>
      <c r="EY117" s="40">
        <f>COUNTIF($EX$2:$EX$92, EX117)/(COUNTIF($EX$2:$EX$92, "&lt;&gt;""") - COUNTIF($EX$2:$EX$92, ""))</f>
        <v>0.72222222222222221</v>
      </c>
      <c r="EZ117" s="36" t="str">
        <f t="shared" ref="EZ117:FB117" si="240">BM117</f>
        <v>No</v>
      </c>
      <c r="FA117" s="36" t="str">
        <f t="shared" si="240"/>
        <v>No</v>
      </c>
      <c r="FB117" s="36" t="str">
        <f t="shared" si="240"/>
        <v>No</v>
      </c>
      <c r="FC117" s="207"/>
      <c r="FD117" s="36" t="str">
        <f t="shared" si="89"/>
        <v>Transactional</v>
      </c>
      <c r="FE117" s="40">
        <f>COUNTIF($FD$2:$FD$92, FD117)/(COUNTIF($FD$2:$FD$92, "&lt;&gt;""") - COUNTIF($FD$2:$FD$92, ""))</f>
        <v>0.6</v>
      </c>
      <c r="FF117" s="36" t="str">
        <f t="shared" si="90"/>
        <v>B2B/B2C</v>
      </c>
      <c r="FG117" s="40">
        <f>COUNTIF($FF$2:$FF$92, FF117)/(COUNTIF($FF$2:$FF$92, "&lt;&gt;""") - COUNTIF($FF$2:$FF$92, ""))</f>
        <v>0.27777777777777779</v>
      </c>
      <c r="FH117" s="36" t="str">
        <f t="shared" si="91"/>
        <v>High</v>
      </c>
      <c r="FI117" s="40">
        <f>COUNTIF($FH$2:$FH$92, FH117)/(COUNTIF($FH$2:$FH$92, "&lt;&gt;""") - COUNTIF($FH$2:$FH$92, ""))</f>
        <v>0.53333333333333333</v>
      </c>
      <c r="FJ117" s="36" t="str">
        <f t="shared" si="92"/>
        <v>High</v>
      </c>
      <c r="FK117" s="40">
        <f>COUNTIF($FJ$2:$FJ$92, FJ117)/(COUNTIF($FJ$2:$FJ$92, "&lt;&gt;""") - COUNTIF($FJ$2:$FJ$92, ""))</f>
        <v>0.58888888888888891</v>
      </c>
      <c r="FL117" s="207"/>
      <c r="FM117" s="192">
        <f t="shared" si="93"/>
        <v>5</v>
      </c>
      <c r="FN117" s="192" t="e">
        <f t="shared" ca="1" si="94"/>
        <v>#NAME?</v>
      </c>
      <c r="FO117" s="192" t="e">
        <f t="shared" ca="1" si="95"/>
        <v>#NAME?</v>
      </c>
      <c r="FP117" s="192" t="e">
        <f t="shared" ca="1" si="96"/>
        <v>#NAME?</v>
      </c>
      <c r="FQ117" s="209" t="e">
        <f t="shared" ca="1" si="97"/>
        <v>#NAME?</v>
      </c>
      <c r="FR117" s="208" t="e">
        <f t="shared" ca="1" si="198"/>
        <v>#NAME?</v>
      </c>
      <c r="FS117" s="36" t="str">
        <f t="shared" si="99"/>
        <v>Pre-Profit</v>
      </c>
      <c r="FT117" s="196">
        <f>COUNTIF($FS$2:$FS$92, FS117)/(COUNTIF($FS$2:$FS$92, "&lt;&gt;""") - COUNTIF($FZ$2:$FZ$92, ""))</f>
        <v>0.51111111111111107</v>
      </c>
      <c r="FU117" s="207"/>
      <c r="FV117" s="192">
        <f t="shared" si="100"/>
        <v>3</v>
      </c>
      <c r="FW117" s="197" t="e">
        <f t="shared" ca="1" si="101"/>
        <v>#NAME?</v>
      </c>
      <c r="FX117" s="209" t="e">
        <f t="shared" ca="1" si="102"/>
        <v>#NAME?</v>
      </c>
      <c r="FY117" s="211" t="e">
        <f t="shared" ca="1" si="199"/>
        <v>#NAME?</v>
      </c>
      <c r="FZ117" s="36" t="str">
        <f t="shared" si="104"/>
        <v>No</v>
      </c>
      <c r="GA117" s="196">
        <f>COUNTIF($FZ$2:$FZ$92, FZ117)/(COUNTIF($FZ$2:$FZ$92, "&lt;&gt;""") - COUNTIF($FZ$2:$FZ$92, ""))</f>
        <v>0.76666666666666672</v>
      </c>
      <c r="GB117" s="196" t="str">
        <f t="shared" si="105"/>
        <v>High</v>
      </c>
      <c r="GC117" s="196">
        <f>COUNTIF($GB$2:$GB$92, GB117)/(COUNTIF($GB$2:$GB$92, "&lt;&gt;""") - COUNTIF($GB$2:$GB$92, ""))</f>
        <v>0.43333333333333335</v>
      </c>
      <c r="GD117" s="196" t="str">
        <f t="shared" si="106"/>
        <v>High</v>
      </c>
      <c r="GE117" s="196">
        <f>COUNTIF($GD$2:$GD$92, GD117)/(COUNTIF($GD$2:$GD$92, "&lt;&gt;""") - COUNTIF($GD$2:$GD$92, ""))</f>
        <v>0.8</v>
      </c>
      <c r="GF117" s="207"/>
      <c r="GG117" s="36"/>
      <c r="GH117" s="209" t="e">
        <f t="shared" ca="1" si="107"/>
        <v>#NAME?</v>
      </c>
      <c r="GI117" s="212" t="e">
        <f t="shared" ca="1" si="200"/>
        <v>#NAME?</v>
      </c>
    </row>
    <row r="118" spans="1:191" ht="15.75" customHeight="1">
      <c r="A118" s="174"/>
      <c r="B118" s="174" t="s">
        <v>433</v>
      </c>
      <c r="C118" s="238">
        <v>1793079</v>
      </c>
      <c r="D118" s="244" t="s">
        <v>1199</v>
      </c>
      <c r="E118" s="245">
        <v>43892.461111111108</v>
      </c>
      <c r="F118" s="239" t="s">
        <v>329</v>
      </c>
      <c r="G118" s="32" t="s">
        <v>1200</v>
      </c>
      <c r="H118" s="32" t="s">
        <v>1201</v>
      </c>
      <c r="I118" s="246">
        <v>43889</v>
      </c>
      <c r="J118" s="247" t="s">
        <v>1202</v>
      </c>
      <c r="K118" s="247" t="s">
        <v>1199</v>
      </c>
      <c r="M118" s="239" t="s">
        <v>996</v>
      </c>
      <c r="N118" s="239" t="s">
        <v>320</v>
      </c>
      <c r="O118" s="239" t="s">
        <v>30</v>
      </c>
      <c r="P118" s="239" t="s">
        <v>174</v>
      </c>
      <c r="Q118" s="239" t="s">
        <v>35</v>
      </c>
      <c r="R118" s="242"/>
      <c r="S118" s="239" t="s">
        <v>269</v>
      </c>
      <c r="T118" s="248"/>
      <c r="U118" s="249"/>
      <c r="V118" s="250"/>
      <c r="W118" s="251">
        <v>12500000</v>
      </c>
      <c r="X118" s="252">
        <v>0.2</v>
      </c>
      <c r="Y118" s="55">
        <f t="shared" si="158"/>
        <v>10000000</v>
      </c>
      <c r="Z118" s="274">
        <f t="shared" si="159"/>
        <v>10000000</v>
      </c>
      <c r="AA118" s="183" t="e">
        <f t="shared" ca="1" si="160"/>
        <v>#NAME?</v>
      </c>
      <c r="AB118" s="239" t="s">
        <v>178</v>
      </c>
      <c r="AC118" s="239" t="s">
        <v>200</v>
      </c>
      <c r="AD118" s="239" t="s">
        <v>180</v>
      </c>
      <c r="AE118" s="239" t="s">
        <v>227</v>
      </c>
      <c r="AF118" s="239" t="s">
        <v>39</v>
      </c>
      <c r="AG118" s="239" t="s">
        <v>39</v>
      </c>
      <c r="AH118" s="239" t="s">
        <v>190</v>
      </c>
      <c r="AI118" s="269"/>
      <c r="AJ118" s="279">
        <v>1338269900</v>
      </c>
      <c r="AK118" s="224" t="e">
        <f t="shared" ca="1" si="161"/>
        <v>#NAME?</v>
      </c>
      <c r="AL118" s="279">
        <v>1338269900</v>
      </c>
      <c r="AM118" s="224" t="e">
        <f t="shared" ca="1" si="162"/>
        <v>#NAME?</v>
      </c>
      <c r="AN118" s="279">
        <v>0.10299999999999999</v>
      </c>
      <c r="AO118" s="185" t="e">
        <f t="shared" ca="1" si="63"/>
        <v>#NAME?</v>
      </c>
      <c r="AP118" s="185" t="s">
        <v>264</v>
      </c>
      <c r="AQ118" s="239" t="s">
        <v>39</v>
      </c>
      <c r="AR118" s="239" t="s">
        <v>181</v>
      </c>
      <c r="AS118" s="239" t="s">
        <v>182</v>
      </c>
      <c r="AT118" s="29" t="s">
        <v>39</v>
      </c>
      <c r="AU118" s="29" t="s">
        <v>39</v>
      </c>
      <c r="AV118" s="239" t="s">
        <v>190</v>
      </c>
      <c r="AW118" s="239" t="s">
        <v>190</v>
      </c>
      <c r="AX118" s="239" t="s">
        <v>227</v>
      </c>
      <c r="AY118" s="239" t="s">
        <v>227</v>
      </c>
      <c r="AZ118" s="251">
        <v>0</v>
      </c>
      <c r="BA118" s="55" t="e">
        <f t="shared" ca="1" si="163"/>
        <v>#NAME?</v>
      </c>
      <c r="BB118" s="279">
        <v>34961</v>
      </c>
      <c r="BC118" s="279">
        <v>1800000</v>
      </c>
      <c r="BD118" s="62" t="e">
        <f t="shared" ca="1" si="164"/>
        <v>#NAME?</v>
      </c>
      <c r="BE118" s="277">
        <f t="shared" si="165"/>
        <v>1.9422777777777778E-2</v>
      </c>
      <c r="BF118" s="62" t="e">
        <f t="shared" ca="1" si="166"/>
        <v>#NAME?</v>
      </c>
      <c r="BG118" s="239" t="s">
        <v>202</v>
      </c>
      <c r="BH118" s="242"/>
      <c r="BI118" s="239" t="s">
        <v>227</v>
      </c>
      <c r="BJ118" s="239">
        <v>10</v>
      </c>
      <c r="BK118" s="279">
        <v>2</v>
      </c>
      <c r="BL118" s="239" t="s">
        <v>227</v>
      </c>
      <c r="BM118" s="239" t="s">
        <v>190</v>
      </c>
      <c r="BN118" s="239" t="s">
        <v>227</v>
      </c>
      <c r="BO118" s="239" t="s">
        <v>190</v>
      </c>
      <c r="BP118" s="238">
        <v>2</v>
      </c>
      <c r="BQ118" s="238">
        <v>7</v>
      </c>
      <c r="BR118" s="238">
        <v>0</v>
      </c>
      <c r="BS118" s="238">
        <v>9</v>
      </c>
      <c r="BT118" s="205"/>
      <c r="BU118" s="16">
        <v>35</v>
      </c>
      <c r="BV118" s="16">
        <v>3</v>
      </c>
      <c r="BW118" s="16">
        <v>60</v>
      </c>
      <c r="BX118" s="16" t="s">
        <v>190</v>
      </c>
      <c r="BY118" s="205"/>
      <c r="BZ118" s="16">
        <v>9</v>
      </c>
      <c r="CA118" s="16">
        <v>0</v>
      </c>
      <c r="CB118" s="16">
        <v>31</v>
      </c>
      <c r="CC118" s="16" t="s">
        <v>227</v>
      </c>
      <c r="CD118" s="205"/>
      <c r="CI118" s="205"/>
      <c r="CN118" s="205"/>
      <c r="CS118" s="205"/>
      <c r="CX118" s="205"/>
      <c r="DC118" s="205"/>
      <c r="DH118" s="205"/>
      <c r="DM118" s="205"/>
      <c r="DN118" s="205"/>
      <c r="DO118" s="205"/>
      <c r="DQ118" s="206"/>
      <c r="DR118" s="188">
        <f t="shared" si="64"/>
        <v>22</v>
      </c>
      <c r="DS118" s="188"/>
      <c r="DT118" s="189">
        <f t="shared" si="65"/>
        <v>3</v>
      </c>
      <c r="DU118" s="189"/>
      <c r="DV118" s="188">
        <f t="shared" si="66"/>
        <v>45.5</v>
      </c>
      <c r="DW118" s="183" t="e">
        <f t="shared" ca="1" si="67"/>
        <v>#NAME?</v>
      </c>
      <c r="DX118" s="207"/>
      <c r="DY118" s="190" t="e">
        <f t="shared" ca="1" si="68"/>
        <v>#NAME?</v>
      </c>
      <c r="DZ118" s="191">
        <f t="shared" si="190"/>
        <v>3.1052631578947367</v>
      </c>
      <c r="EA118" s="191" t="str">
        <f t="shared" si="191"/>
        <v/>
      </c>
      <c r="EB118" s="191" t="str">
        <f t="shared" si="192"/>
        <v/>
      </c>
      <c r="EC118" s="208" t="e">
        <f t="shared" ca="1" si="72"/>
        <v>#NAME?</v>
      </c>
      <c r="ED118" s="36" t="str">
        <f t="shared" si="73"/>
        <v>SAFE</v>
      </c>
      <c r="EE118" s="193">
        <f>COUNTIF($ED$2:$ED$92, ED118)/(COUNTIF($ED$2:$ED$92, "&lt;&gt;""") - COUNTIF($ED$2:$ED$92, ""))</f>
        <v>0.37777777777777777</v>
      </c>
      <c r="EF118" s="36" t="str">
        <f t="shared" si="74"/>
        <v>Early</v>
      </c>
      <c r="EG118" s="207"/>
      <c r="EH118" s="194" t="e">
        <f t="shared" ca="1" si="75"/>
        <v>#NAME?</v>
      </c>
      <c r="EI118" s="194" t="e">
        <f t="shared" ca="1" si="76"/>
        <v>#NAME?</v>
      </c>
      <c r="EJ118" s="209" t="e">
        <f t="shared" ca="1" si="77"/>
        <v>#NAME?</v>
      </c>
      <c r="EK118" s="208" t="e">
        <f t="shared" ca="1" si="193"/>
        <v>#NAME?</v>
      </c>
      <c r="EL118" s="36" t="str">
        <f t="shared" si="79"/>
        <v>No</v>
      </c>
      <c r="EM118" s="207"/>
      <c r="EN118" s="192">
        <f t="shared" si="194"/>
        <v>3.0952380952380953</v>
      </c>
      <c r="EO118" s="192">
        <f t="shared" si="195"/>
        <v>4</v>
      </c>
      <c r="EP118" s="209">
        <f t="shared" si="82"/>
        <v>7.0952380952380949</v>
      </c>
      <c r="EQ118" s="210">
        <f t="shared" si="196"/>
        <v>5</v>
      </c>
      <c r="ER118" s="36" t="e">
        <f t="shared" ca="1" si="84"/>
        <v>#NAME?</v>
      </c>
      <c r="ES118" s="40">
        <f ca="1">COUNTIF($ER$2:$ER$92, ER118)/(COUNTIF($ER$2:$ER$92, "&lt;&gt;""") - COUNTIF($ER$2:$ER$92, ""))</f>
        <v>1</v>
      </c>
      <c r="ET118" s="36">
        <f t="shared" si="85"/>
        <v>2</v>
      </c>
      <c r="EU118" s="40">
        <f>COUNTIF($ET$2:$ET$92, ET118)/(COUNTIF($ET$2:$ET$92, "&lt;&gt;""") - COUNTIF($ET$2:$ET$92, ""))</f>
        <v>0.45555555555555555</v>
      </c>
      <c r="EV118" s="36">
        <f t="shared" si="86"/>
        <v>7</v>
      </c>
      <c r="EW118" s="40">
        <f>COUNTIF($EV$2:$EV$92, EV118)/(COUNTIF($EV$2:$EV$92, "&lt;&gt;""") - COUNTIF($EV$2:$EV$92, ""))</f>
        <v>4.4444444444444446E-2</v>
      </c>
      <c r="EX118" s="36" t="str">
        <f t="shared" si="87"/>
        <v>Yes</v>
      </c>
      <c r="EY118" s="40">
        <f>COUNTIF($EX$2:$EX$92, EX118)/(COUNTIF($EX$2:$EX$92, "&lt;&gt;""") - COUNTIF($EX$2:$EX$92, ""))</f>
        <v>0.27777777777777779</v>
      </c>
      <c r="EZ118" s="36" t="str">
        <f t="shared" ref="EZ118:FB118" si="241">BM118</f>
        <v>No</v>
      </c>
      <c r="FA118" s="36" t="str">
        <f t="shared" si="241"/>
        <v>Yes</v>
      </c>
      <c r="FB118" s="36" t="str">
        <f t="shared" si="241"/>
        <v>No</v>
      </c>
      <c r="FC118" s="207"/>
      <c r="FD118" s="36" t="str">
        <f t="shared" si="89"/>
        <v>Recurring</v>
      </c>
      <c r="FE118" s="40">
        <f>COUNTIF($FD$2:$FD$92, FD118)/(COUNTIF($FD$2:$FD$92, "&lt;&gt;""") - COUNTIF($FD$2:$FD$92, ""))</f>
        <v>0.4</v>
      </c>
      <c r="FF118" s="36" t="str">
        <f t="shared" si="90"/>
        <v>B2B2C</v>
      </c>
      <c r="FG118" s="40">
        <f>COUNTIF($FF$2:$FF$92, FF118)/(COUNTIF($FF$2:$FF$92, "&lt;&gt;""") - COUNTIF($FF$2:$FF$92, ""))</f>
        <v>6.6666666666666666E-2</v>
      </c>
      <c r="FH118" s="36" t="str">
        <f t="shared" si="91"/>
        <v>High</v>
      </c>
      <c r="FI118" s="40">
        <f>COUNTIF($FH$2:$FH$92, FH118)/(COUNTIF($FH$2:$FH$92, "&lt;&gt;""") - COUNTIF($FH$2:$FH$92, ""))</f>
        <v>0.53333333333333333</v>
      </c>
      <c r="FJ118" s="36" t="str">
        <f t="shared" si="92"/>
        <v>High</v>
      </c>
      <c r="FK118" s="40">
        <f>COUNTIF($FJ$2:$FJ$92, FJ118)/(COUNTIF($FJ$2:$FJ$92, "&lt;&gt;""") - COUNTIF($FJ$2:$FJ$92, ""))</f>
        <v>0.58888888888888891</v>
      </c>
      <c r="FL118" s="207"/>
      <c r="FM118" s="192">
        <f t="shared" si="93"/>
        <v>5</v>
      </c>
      <c r="FN118" s="192" t="e">
        <f t="shared" ca="1" si="94"/>
        <v>#NAME?</v>
      </c>
      <c r="FO118" s="192" t="e">
        <f t="shared" ca="1" si="95"/>
        <v>#NAME?</v>
      </c>
      <c r="FP118" s="192" t="e">
        <f t="shared" ca="1" si="96"/>
        <v>#NAME?</v>
      </c>
      <c r="FQ118" s="209" t="e">
        <f t="shared" ca="1" si="97"/>
        <v>#NAME?</v>
      </c>
      <c r="FR118" s="208" t="e">
        <f t="shared" ca="1" si="198"/>
        <v>#NAME?</v>
      </c>
      <c r="FS118" s="36" t="str">
        <f t="shared" si="99"/>
        <v>Pre-Profit</v>
      </c>
      <c r="FT118" s="196">
        <f>COUNTIF($FS$2:$FS$92, FS118)/(COUNTIF($FS$2:$FS$92, "&lt;&gt;""") - COUNTIF($FZ$2:$FZ$92, ""))</f>
        <v>0.51111111111111107</v>
      </c>
      <c r="FU118" s="207"/>
      <c r="FV118" s="192">
        <f t="shared" si="100"/>
        <v>3</v>
      </c>
      <c r="FW118" s="197" t="e">
        <f t="shared" ca="1" si="101"/>
        <v>#NAME?</v>
      </c>
      <c r="FX118" s="209" t="e">
        <f t="shared" ca="1" si="102"/>
        <v>#NAME?</v>
      </c>
      <c r="FY118" s="211" t="e">
        <f t="shared" ca="1" si="199"/>
        <v>#NAME?</v>
      </c>
      <c r="FZ118" s="36" t="str">
        <f t="shared" si="104"/>
        <v>No</v>
      </c>
      <c r="GA118" s="196">
        <f>COUNTIF($FZ$2:$FZ$92, FZ118)/(COUNTIF($FZ$2:$FZ$92, "&lt;&gt;""") - COUNTIF($FZ$2:$FZ$92, ""))</f>
        <v>0.76666666666666672</v>
      </c>
      <c r="GB118" s="196" t="str">
        <f t="shared" si="105"/>
        <v>High</v>
      </c>
      <c r="GC118" s="196">
        <f>COUNTIF($GB$2:$GB$92, GB118)/(COUNTIF($GB$2:$GB$92, "&lt;&gt;""") - COUNTIF($GB$2:$GB$92, ""))</f>
        <v>0.43333333333333335</v>
      </c>
      <c r="GD118" s="196" t="str">
        <f t="shared" si="106"/>
        <v>High</v>
      </c>
      <c r="GE118" s="196">
        <f>COUNTIF($GD$2:$GD$92, GD118)/(COUNTIF($GD$2:$GD$92, "&lt;&gt;""") - COUNTIF($GD$2:$GD$92, ""))</f>
        <v>0.8</v>
      </c>
      <c r="GF118" s="207"/>
      <c r="GG118" s="36"/>
      <c r="GH118" s="209" t="e">
        <f t="shared" ca="1" si="107"/>
        <v>#NAME?</v>
      </c>
      <c r="GI118" s="212" t="e">
        <f t="shared" ca="1" si="200"/>
        <v>#NAME?</v>
      </c>
    </row>
    <row r="119" spans="1:191" ht="15.75" customHeight="1">
      <c r="A119" s="182"/>
      <c r="B119" s="182" t="s">
        <v>355</v>
      </c>
      <c r="C119" s="256">
        <v>1761248</v>
      </c>
      <c r="D119" s="247" t="s">
        <v>1203</v>
      </c>
      <c r="E119" s="259">
        <v>43480.638194444444</v>
      </c>
      <c r="F119" s="243" t="s">
        <v>337</v>
      </c>
      <c r="G119" s="257" t="s">
        <v>1204</v>
      </c>
      <c r="H119" s="257" t="s">
        <v>1205</v>
      </c>
      <c r="I119" s="258">
        <v>43892</v>
      </c>
      <c r="J119" s="260" t="s">
        <v>1206</v>
      </c>
      <c r="K119" s="247" t="s">
        <v>1203</v>
      </c>
      <c r="M119" s="243" t="s">
        <v>1207</v>
      </c>
      <c r="N119" s="243" t="s">
        <v>168</v>
      </c>
      <c r="O119" s="243" t="s">
        <v>30</v>
      </c>
      <c r="P119" s="243" t="s">
        <v>174</v>
      </c>
      <c r="Q119" s="243" t="s">
        <v>35</v>
      </c>
      <c r="R119" s="187"/>
      <c r="S119" s="243" t="s">
        <v>176</v>
      </c>
      <c r="T119" s="248"/>
      <c r="U119" s="249"/>
      <c r="W119" s="64">
        <v>15000000</v>
      </c>
      <c r="X119" s="261">
        <v>0.2</v>
      </c>
      <c r="Y119" s="55">
        <f t="shared" si="158"/>
        <v>12000000</v>
      </c>
      <c r="Z119" s="274">
        <f t="shared" si="159"/>
        <v>12000000</v>
      </c>
      <c r="AA119" s="183" t="e">
        <f t="shared" ca="1" si="160"/>
        <v>#NAME?</v>
      </c>
      <c r="AB119" s="243" t="s">
        <v>36</v>
      </c>
      <c r="AC119" s="243" t="s">
        <v>179</v>
      </c>
      <c r="AD119" s="243" t="s">
        <v>38</v>
      </c>
      <c r="AE119" s="243" t="s">
        <v>190</v>
      </c>
      <c r="AF119" s="243" t="s">
        <v>181</v>
      </c>
      <c r="AG119" s="243" t="s">
        <v>39</v>
      </c>
      <c r="AH119" s="239" t="s">
        <v>190</v>
      </c>
      <c r="AI119" s="64"/>
      <c r="AJ119" s="279">
        <v>60000000000</v>
      </c>
      <c r="AK119" s="224" t="e">
        <f t="shared" ca="1" si="161"/>
        <v>#NAME?</v>
      </c>
      <c r="AL119" s="279">
        <v>200000000</v>
      </c>
      <c r="AM119" s="224" t="e">
        <f t="shared" ca="1" si="162"/>
        <v>#NAME?</v>
      </c>
      <c r="AN119" s="279">
        <v>0.04</v>
      </c>
      <c r="AO119" s="185" t="e">
        <f t="shared" ca="1" si="63"/>
        <v>#NAME?</v>
      </c>
      <c r="AP119" s="185" t="s">
        <v>192</v>
      </c>
      <c r="AQ119" s="243" t="s">
        <v>181</v>
      </c>
      <c r="AR119" s="243" t="s">
        <v>181</v>
      </c>
      <c r="AS119" s="243" t="s">
        <v>42</v>
      </c>
      <c r="AT119" s="35" t="s">
        <v>181</v>
      </c>
      <c r="AU119" s="35" t="s">
        <v>39</v>
      </c>
      <c r="AV119" s="243" t="s">
        <v>190</v>
      </c>
      <c r="AW119" s="243" t="s">
        <v>190</v>
      </c>
      <c r="AX119" s="243" t="s">
        <v>190</v>
      </c>
      <c r="AY119" s="243" t="s">
        <v>190</v>
      </c>
      <c r="AZ119" s="64">
        <v>0</v>
      </c>
      <c r="BA119" s="55" t="e">
        <f t="shared" ca="1" si="163"/>
        <v>#NAME?</v>
      </c>
      <c r="BB119" s="279">
        <v>3832</v>
      </c>
      <c r="BC119" s="279">
        <v>0</v>
      </c>
      <c r="BD119" s="62" t="e">
        <f t="shared" ca="1" si="164"/>
        <v>#NAME?</v>
      </c>
      <c r="BE119" s="277">
        <f t="shared" si="165"/>
        <v>1</v>
      </c>
      <c r="BF119" s="62" t="e">
        <f t="shared" ca="1" si="166"/>
        <v>#NAME?</v>
      </c>
      <c r="BG119" s="243" t="s">
        <v>43</v>
      </c>
      <c r="BH119" s="187"/>
      <c r="BI119" s="243" t="s">
        <v>190</v>
      </c>
      <c r="BJ119" s="256">
        <v>0</v>
      </c>
      <c r="BK119" s="279">
        <v>1</v>
      </c>
      <c r="BL119" s="243" t="s">
        <v>190</v>
      </c>
      <c r="BM119" s="243" t="s">
        <v>190</v>
      </c>
      <c r="BN119" s="243" t="s">
        <v>190</v>
      </c>
      <c r="BO119" s="243" t="s">
        <v>190</v>
      </c>
      <c r="BP119" s="256">
        <v>1</v>
      </c>
      <c r="BQ119" s="256">
        <v>1</v>
      </c>
      <c r="BR119" s="256">
        <v>0</v>
      </c>
      <c r="BS119" s="256">
        <v>0</v>
      </c>
      <c r="BT119" s="205"/>
      <c r="BU119" s="16">
        <v>15</v>
      </c>
      <c r="BV119" s="16">
        <v>2</v>
      </c>
      <c r="BW119" s="16">
        <v>46</v>
      </c>
      <c r="BX119" s="16" t="s">
        <v>190</v>
      </c>
      <c r="BY119" s="205"/>
      <c r="CD119" s="205"/>
      <c r="CI119" s="205"/>
      <c r="CN119" s="205"/>
      <c r="CS119" s="205"/>
      <c r="CX119" s="205"/>
      <c r="DC119" s="205"/>
      <c r="DH119" s="205"/>
      <c r="DM119" s="205"/>
      <c r="DN119" s="205"/>
      <c r="DO119" s="205"/>
      <c r="DQ119" s="206"/>
      <c r="DR119" s="188">
        <f t="shared" si="64"/>
        <v>15</v>
      </c>
      <c r="DS119" s="188"/>
      <c r="DT119" s="189">
        <f t="shared" si="65"/>
        <v>2</v>
      </c>
      <c r="DU119" s="189"/>
      <c r="DV119" s="188">
        <f t="shared" si="66"/>
        <v>46</v>
      </c>
      <c r="DW119" s="183" t="e">
        <f t="shared" ca="1" si="67"/>
        <v>#NAME?</v>
      </c>
      <c r="DX119" s="207"/>
      <c r="DY119" s="190" t="e">
        <f t="shared" ca="1" si="68"/>
        <v>#NAME?</v>
      </c>
      <c r="DZ119" s="191">
        <f t="shared" si="190"/>
        <v>3.1052631578947367</v>
      </c>
      <c r="EA119" s="191" t="str">
        <f t="shared" si="191"/>
        <v/>
      </c>
      <c r="EB119" s="191" t="str">
        <f t="shared" si="192"/>
        <v/>
      </c>
      <c r="EC119" s="208" t="e">
        <f t="shared" ca="1" si="72"/>
        <v>#NAME?</v>
      </c>
      <c r="ED119" s="36" t="str">
        <f t="shared" si="73"/>
        <v>Convertible Note</v>
      </c>
      <c r="EE119" s="193">
        <f>COUNTIF($ED$2:$ED$92, ED119)/(COUNTIF($ED$2:$ED$92, "&lt;&gt;""") - COUNTIF($ED$2:$ED$92, ""))</f>
        <v>0.13333333333333333</v>
      </c>
      <c r="EF119" s="36" t="str">
        <f t="shared" si="74"/>
        <v>Early</v>
      </c>
      <c r="EG119" s="207"/>
      <c r="EH119" s="194" t="e">
        <f t="shared" ca="1" si="75"/>
        <v>#NAME?</v>
      </c>
      <c r="EI119" s="194" t="e">
        <f t="shared" ca="1" si="76"/>
        <v>#NAME?</v>
      </c>
      <c r="EJ119" s="209" t="e">
        <f t="shared" ca="1" si="77"/>
        <v>#NAME?</v>
      </c>
      <c r="EK119" s="208" t="e">
        <f t="shared" ca="1" si="193"/>
        <v>#NAME?</v>
      </c>
      <c r="EL119" s="36" t="str">
        <f t="shared" si="79"/>
        <v>No</v>
      </c>
      <c r="EM119" s="207"/>
      <c r="EN119" s="192">
        <f t="shared" si="194"/>
        <v>2.4285714285714288</v>
      </c>
      <c r="EO119" s="192">
        <f t="shared" si="195"/>
        <v>3</v>
      </c>
      <c r="EP119" s="209">
        <f t="shared" si="82"/>
        <v>5.4285714285714288</v>
      </c>
      <c r="EQ119" s="210">
        <f t="shared" si="196"/>
        <v>3.6915887850467293</v>
      </c>
      <c r="ER119" s="36" t="e">
        <f t="shared" ca="1" si="84"/>
        <v>#NAME?</v>
      </c>
      <c r="ES119" s="40">
        <f ca="1">COUNTIF($ER$2:$ER$92, ER119)/(COUNTIF($ER$2:$ER$92, "&lt;&gt;""") - COUNTIF($ER$2:$ER$92, ""))</f>
        <v>1</v>
      </c>
      <c r="ET119" s="36">
        <f t="shared" si="85"/>
        <v>1</v>
      </c>
      <c r="EU119" s="40">
        <f>COUNTIF($ET$2:$ET$92, ET119)/(COUNTIF($ET$2:$ET$92, "&lt;&gt;""") - COUNTIF($ET$2:$ET$92, ""))</f>
        <v>0.45555555555555555</v>
      </c>
      <c r="EV119" s="36">
        <f t="shared" si="86"/>
        <v>1</v>
      </c>
      <c r="EW119" s="40">
        <f>COUNTIF($EV$2:$EV$92, EV119)/(COUNTIF($EV$2:$EV$92, "&lt;&gt;""") - COUNTIF($EV$2:$EV$92, ""))</f>
        <v>7.7777777777777779E-2</v>
      </c>
      <c r="EX119" s="36" t="str">
        <f t="shared" si="87"/>
        <v>No</v>
      </c>
      <c r="EY119" s="40">
        <f>COUNTIF($EX$2:$EX$92, EX119)/(COUNTIF($EX$2:$EX$92, "&lt;&gt;""") - COUNTIF($EX$2:$EX$92, ""))</f>
        <v>0.72222222222222221</v>
      </c>
      <c r="EZ119" s="36" t="str">
        <f t="shared" ref="EZ119:FB119" si="242">BM119</f>
        <v>No</v>
      </c>
      <c r="FA119" s="36" t="str">
        <f t="shared" si="242"/>
        <v>No</v>
      </c>
      <c r="FB119" s="36" t="str">
        <f t="shared" si="242"/>
        <v>No</v>
      </c>
      <c r="FC119" s="207"/>
      <c r="FD119" s="36" t="str">
        <f t="shared" si="89"/>
        <v>Transactional</v>
      </c>
      <c r="FE119" s="40">
        <f>COUNTIF($FD$2:$FD$92, FD119)/(COUNTIF($FD$2:$FD$92, "&lt;&gt;""") - COUNTIF($FD$2:$FD$92, ""))</f>
        <v>0.6</v>
      </c>
      <c r="FF119" s="36" t="str">
        <f t="shared" si="90"/>
        <v>B2C</v>
      </c>
      <c r="FG119" s="40">
        <f>COUNTIF($FF$2:$FF$92, FF119)/(COUNTIF($FF$2:$FF$92, "&lt;&gt;""") - COUNTIF($FF$2:$FF$92, ""))</f>
        <v>0.41111111111111109</v>
      </c>
      <c r="FH119" s="36" t="str">
        <f t="shared" si="91"/>
        <v>Low</v>
      </c>
      <c r="FI119" s="40">
        <f>COUNTIF($FH$2:$FH$92, FH119)/(COUNTIF($FH$2:$FH$92, "&lt;&gt;""") - COUNTIF($FH$2:$FH$92, ""))</f>
        <v>0.46666666666666667</v>
      </c>
      <c r="FJ119" s="36" t="str">
        <f t="shared" si="92"/>
        <v>High</v>
      </c>
      <c r="FK119" s="40">
        <f>COUNTIF($FJ$2:$FJ$92, FJ119)/(COUNTIF($FJ$2:$FJ$92, "&lt;&gt;""") - COUNTIF($FJ$2:$FJ$92, ""))</f>
        <v>0.58888888888888891</v>
      </c>
      <c r="FL119" s="207"/>
      <c r="FM119" s="192">
        <f t="shared" si="93"/>
        <v>1</v>
      </c>
      <c r="FN119" s="192" t="e">
        <f t="shared" ca="1" si="94"/>
        <v>#NAME?</v>
      </c>
      <c r="FO119" s="192" t="e">
        <f t="shared" ca="1" si="95"/>
        <v>#NAME?</v>
      </c>
      <c r="FP119" s="192" t="e">
        <f t="shared" ca="1" si="96"/>
        <v>#NAME?</v>
      </c>
      <c r="FQ119" s="209" t="e">
        <f t="shared" ca="1" si="97"/>
        <v>#NAME?</v>
      </c>
      <c r="FR119" s="208" t="e">
        <f t="shared" ca="1" si="198"/>
        <v>#NAME?</v>
      </c>
      <c r="FS119" s="36" t="str">
        <f t="shared" si="99"/>
        <v>Pre-Product</v>
      </c>
      <c r="FT119" s="196">
        <f>COUNTIF($FS$2:$FS$92, FS119)/(COUNTIF($FS$2:$FS$92, "&lt;&gt;""") - COUNTIF($FZ$2:$FZ$92, ""))</f>
        <v>0.22222222222222221</v>
      </c>
      <c r="FU119" s="207"/>
      <c r="FV119" s="192" t="e">
        <f t="shared" ca="1" si="100"/>
        <v>#NAME?</v>
      </c>
      <c r="FW119" s="197" t="e">
        <f t="shared" ca="1" si="101"/>
        <v>#NAME?</v>
      </c>
      <c r="FX119" s="209" t="e">
        <f t="shared" ca="1" si="102"/>
        <v>#NAME?</v>
      </c>
      <c r="FY119" s="211" t="e">
        <f t="shared" ca="1" si="199"/>
        <v>#NAME?</v>
      </c>
      <c r="FZ119" s="36" t="str">
        <f t="shared" si="104"/>
        <v>No</v>
      </c>
      <c r="GA119" s="196">
        <f>COUNTIF($FZ$2:$FZ$92, FZ119)/(COUNTIF($FZ$2:$FZ$92, "&lt;&gt;""") - COUNTIF($FZ$2:$FZ$92, ""))</f>
        <v>0.76666666666666672</v>
      </c>
      <c r="GB119" s="196" t="str">
        <f t="shared" si="105"/>
        <v>Low</v>
      </c>
      <c r="GC119" s="196">
        <f>COUNTIF($GB$2:$GB$92, GB119)/(COUNTIF($GB$2:$GB$92, "&lt;&gt;""") - COUNTIF($GB$2:$GB$92, ""))</f>
        <v>0.55555555555555558</v>
      </c>
      <c r="GD119" s="196" t="str">
        <f t="shared" si="106"/>
        <v>High</v>
      </c>
      <c r="GE119" s="196">
        <f>COUNTIF($GD$2:$GD$92, GD119)/(COUNTIF($GD$2:$GD$92, "&lt;&gt;""") - COUNTIF($GD$2:$GD$92, ""))</f>
        <v>0.8</v>
      </c>
      <c r="GF119" s="207"/>
      <c r="GG119" s="36"/>
      <c r="GH119" s="209" t="e">
        <f t="shared" ca="1" si="107"/>
        <v>#NAME?</v>
      </c>
      <c r="GI119" s="212" t="e">
        <f t="shared" ca="1" si="200"/>
        <v>#NAME?</v>
      </c>
    </row>
    <row r="120" spans="1:191" ht="15.75" customHeight="1">
      <c r="A120" s="182"/>
      <c r="B120" s="182" t="s">
        <v>355</v>
      </c>
      <c r="C120" s="256">
        <v>1758617</v>
      </c>
      <c r="D120" s="247" t="s">
        <v>1208</v>
      </c>
      <c r="E120" s="259">
        <v>43488.32916666667</v>
      </c>
      <c r="F120" s="243" t="s">
        <v>337</v>
      </c>
      <c r="G120" s="257" t="s">
        <v>1209</v>
      </c>
      <c r="H120" s="257" t="s">
        <v>1210</v>
      </c>
      <c r="I120" s="258">
        <v>43819</v>
      </c>
      <c r="J120" s="260" t="s">
        <v>1211</v>
      </c>
      <c r="K120" s="260" t="s">
        <v>1208</v>
      </c>
      <c r="M120" s="243" t="s">
        <v>483</v>
      </c>
      <c r="N120" s="243" t="s">
        <v>168</v>
      </c>
      <c r="O120" s="243" t="s">
        <v>30</v>
      </c>
      <c r="P120" s="243" t="s">
        <v>31</v>
      </c>
      <c r="Q120" s="243" t="s">
        <v>35</v>
      </c>
      <c r="R120" s="187"/>
      <c r="S120" s="243" t="s">
        <v>216</v>
      </c>
      <c r="T120" s="248"/>
      <c r="U120" s="249"/>
      <c r="V120" s="69">
        <v>100000</v>
      </c>
      <c r="W120" s="64"/>
      <c r="X120" s="261"/>
      <c r="Y120" s="55" t="str">
        <f t="shared" si="158"/>
        <v/>
      </c>
      <c r="Z120" s="274">
        <f t="shared" si="159"/>
        <v>100000</v>
      </c>
      <c r="AA120" s="183" t="e">
        <f t="shared" ca="1" si="160"/>
        <v>#NAME?</v>
      </c>
      <c r="AB120" s="243" t="s">
        <v>36</v>
      </c>
      <c r="AC120" s="243" t="s">
        <v>200</v>
      </c>
      <c r="AD120" s="243" t="s">
        <v>38</v>
      </c>
      <c r="AE120" s="243" t="s">
        <v>190</v>
      </c>
      <c r="AF120" s="243" t="s">
        <v>181</v>
      </c>
      <c r="AG120" s="243" t="s">
        <v>39</v>
      </c>
      <c r="AH120" s="239" t="s">
        <v>190</v>
      </c>
      <c r="AI120" s="64"/>
      <c r="AJ120" s="279">
        <v>50000000000</v>
      </c>
      <c r="AK120" s="224" t="e">
        <f t="shared" ca="1" si="161"/>
        <v>#NAME?</v>
      </c>
      <c r="AL120" s="279">
        <v>1000000</v>
      </c>
      <c r="AM120" s="224" t="e">
        <f t="shared" ca="1" si="162"/>
        <v>#NAME?</v>
      </c>
      <c r="AN120" s="279">
        <v>0.02</v>
      </c>
      <c r="AO120" s="185" t="e">
        <f t="shared" ca="1" si="63"/>
        <v>#NAME?</v>
      </c>
      <c r="AP120" s="185" t="s">
        <v>264</v>
      </c>
      <c r="AQ120" s="243" t="s">
        <v>181</v>
      </c>
      <c r="AR120" s="243" t="s">
        <v>181</v>
      </c>
      <c r="AS120" s="243" t="s">
        <v>201</v>
      </c>
      <c r="AT120" s="35" t="s">
        <v>181</v>
      </c>
      <c r="AU120" s="35" t="s">
        <v>39</v>
      </c>
      <c r="AV120" s="243" t="s">
        <v>190</v>
      </c>
      <c r="AW120" s="243" t="s">
        <v>190</v>
      </c>
      <c r="AX120" s="243" t="s">
        <v>190</v>
      </c>
      <c r="AY120" s="243" t="s">
        <v>190</v>
      </c>
      <c r="AZ120" s="64">
        <v>0</v>
      </c>
      <c r="BA120" s="55" t="e">
        <f t="shared" ca="1" si="163"/>
        <v>#NAME?</v>
      </c>
      <c r="BB120" s="279">
        <v>486</v>
      </c>
      <c r="BC120" s="279">
        <v>0</v>
      </c>
      <c r="BD120" s="62" t="e">
        <f t="shared" ca="1" si="164"/>
        <v>#NAME?</v>
      </c>
      <c r="BE120" s="277">
        <f t="shared" si="165"/>
        <v>1</v>
      </c>
      <c r="BF120" s="62" t="e">
        <f t="shared" ca="1" si="166"/>
        <v>#NAME?</v>
      </c>
      <c r="BG120" s="243" t="s">
        <v>43</v>
      </c>
      <c r="BH120" s="187"/>
      <c r="BI120" s="243" t="s">
        <v>190</v>
      </c>
      <c r="BJ120" s="256">
        <v>0</v>
      </c>
      <c r="BK120" s="279">
        <v>1</v>
      </c>
      <c r="BL120" s="243" t="s">
        <v>190</v>
      </c>
      <c r="BM120" s="243" t="s">
        <v>190</v>
      </c>
      <c r="BN120" s="243" t="s">
        <v>190</v>
      </c>
      <c r="BO120" s="243" t="s">
        <v>190</v>
      </c>
      <c r="BP120" s="256">
        <v>1</v>
      </c>
      <c r="BQ120" s="256">
        <v>3</v>
      </c>
      <c r="BR120" s="256">
        <v>0</v>
      </c>
      <c r="BS120" s="256">
        <v>0</v>
      </c>
      <c r="BT120" s="205"/>
      <c r="BU120" s="16">
        <v>5</v>
      </c>
      <c r="BV120" s="16">
        <v>0</v>
      </c>
      <c r="BW120" s="16">
        <v>38</v>
      </c>
      <c r="BX120" s="16" t="s">
        <v>190</v>
      </c>
      <c r="BY120" s="205"/>
      <c r="CD120" s="205"/>
      <c r="CI120" s="205"/>
      <c r="CN120" s="205"/>
      <c r="CS120" s="205"/>
      <c r="CX120" s="205"/>
      <c r="DC120" s="205"/>
      <c r="DH120" s="205"/>
      <c r="DM120" s="205"/>
      <c r="DN120" s="205"/>
      <c r="DO120" s="205"/>
      <c r="DQ120" s="206"/>
      <c r="DR120" s="188">
        <f t="shared" si="64"/>
        <v>5</v>
      </c>
      <c r="DS120" s="188"/>
      <c r="DT120" s="189">
        <f t="shared" si="65"/>
        <v>0</v>
      </c>
      <c r="DU120" s="189"/>
      <c r="DV120" s="188">
        <f t="shared" si="66"/>
        <v>38</v>
      </c>
      <c r="DW120" s="183" t="e">
        <f t="shared" ca="1" si="67"/>
        <v>#NAME?</v>
      </c>
      <c r="DX120" s="207"/>
      <c r="DY120" s="190" t="e">
        <f t="shared" ca="1" si="68"/>
        <v>#NAME?</v>
      </c>
      <c r="DZ120" s="191" t="str">
        <f t="shared" si="190"/>
        <v/>
      </c>
      <c r="EA120" s="191" t="str">
        <f t="shared" si="191"/>
        <v/>
      </c>
      <c r="EB120" s="191" t="str">
        <f t="shared" si="192"/>
        <v/>
      </c>
      <c r="EC120" s="208" t="e">
        <f t="shared" ca="1" si="72"/>
        <v>#NAME?</v>
      </c>
      <c r="ED120" s="36" t="str">
        <f t="shared" si="73"/>
        <v>Equity - Common</v>
      </c>
      <c r="EE120" s="193">
        <f>COUNTIF($ED$2:$ED$92, ED120)/(COUNTIF($ED$2:$ED$92, "&lt;&gt;""") - COUNTIF($ED$2:$ED$92, ""))</f>
        <v>0.32222222222222224</v>
      </c>
      <c r="EF120" s="36" t="str">
        <f t="shared" si="74"/>
        <v>Early</v>
      </c>
      <c r="EG120" s="207"/>
      <c r="EH120" s="194" t="e">
        <f t="shared" ca="1" si="75"/>
        <v>#NAME?</v>
      </c>
      <c r="EI120" s="194" t="e">
        <f t="shared" ca="1" si="76"/>
        <v>#NAME?</v>
      </c>
      <c r="EJ120" s="209" t="e">
        <f t="shared" ca="1" si="77"/>
        <v>#NAME?</v>
      </c>
      <c r="EK120" s="208" t="e">
        <f t="shared" ca="1" si="193"/>
        <v>#NAME?</v>
      </c>
      <c r="EL120" s="36" t="str">
        <f t="shared" si="79"/>
        <v>No</v>
      </c>
      <c r="EM120" s="207"/>
      <c r="EN120" s="192">
        <f t="shared" si="194"/>
        <v>1.4761904761904763</v>
      </c>
      <c r="EO120" s="192">
        <f t="shared" si="195"/>
        <v>1</v>
      </c>
      <c r="EP120" s="209">
        <f t="shared" si="82"/>
        <v>2.4761904761904763</v>
      </c>
      <c r="EQ120" s="210">
        <f t="shared" si="196"/>
        <v>1.3738317757009346</v>
      </c>
      <c r="ER120" s="36" t="e">
        <f t="shared" ca="1" si="84"/>
        <v>#NAME?</v>
      </c>
      <c r="ES120" s="40">
        <f ca="1">COUNTIF($ER$2:$ER$92, ER120)/(COUNTIF($ER$2:$ER$92, "&lt;&gt;""") - COUNTIF($ER$2:$ER$92, ""))</f>
        <v>1</v>
      </c>
      <c r="ET120" s="36">
        <f t="shared" si="85"/>
        <v>1</v>
      </c>
      <c r="EU120" s="40">
        <f>COUNTIF($ET$2:$ET$92, ET120)/(COUNTIF($ET$2:$ET$92, "&lt;&gt;""") - COUNTIF($ET$2:$ET$92, ""))</f>
        <v>0.45555555555555555</v>
      </c>
      <c r="EV120" s="36">
        <f t="shared" si="86"/>
        <v>3</v>
      </c>
      <c r="EW120" s="40">
        <f>COUNTIF($EV$2:$EV$92, EV120)/(COUNTIF($EV$2:$EV$92, "&lt;&gt;""") - COUNTIF($EV$2:$EV$92, ""))</f>
        <v>8.8888888888888892E-2</v>
      </c>
      <c r="EX120" s="36" t="str">
        <f t="shared" si="87"/>
        <v>No</v>
      </c>
      <c r="EY120" s="40">
        <f>COUNTIF($EX$2:$EX$92, EX120)/(COUNTIF($EX$2:$EX$92, "&lt;&gt;""") - COUNTIF($EX$2:$EX$92, ""))</f>
        <v>0.72222222222222221</v>
      </c>
      <c r="EZ120" s="36" t="str">
        <f t="shared" ref="EZ120:FB120" si="243">BM120</f>
        <v>No</v>
      </c>
      <c r="FA120" s="36" t="str">
        <f t="shared" si="243"/>
        <v>No</v>
      </c>
      <c r="FB120" s="36" t="str">
        <f t="shared" si="243"/>
        <v>No</v>
      </c>
      <c r="FC120" s="207"/>
      <c r="FD120" s="36" t="str">
        <f t="shared" si="89"/>
        <v>Transactional</v>
      </c>
      <c r="FE120" s="40">
        <f>COUNTIF($FD$2:$FD$92, FD120)/(COUNTIF($FD$2:$FD$92, "&lt;&gt;""") - COUNTIF($FD$2:$FD$92, ""))</f>
        <v>0.6</v>
      </c>
      <c r="FF120" s="36" t="str">
        <f t="shared" si="90"/>
        <v>B2B2C</v>
      </c>
      <c r="FG120" s="40">
        <f>COUNTIF($FF$2:$FF$92, FF120)/(COUNTIF($FF$2:$FF$92, "&lt;&gt;""") - COUNTIF($FF$2:$FF$92, ""))</f>
        <v>6.6666666666666666E-2</v>
      </c>
      <c r="FH120" s="36" t="str">
        <f t="shared" si="91"/>
        <v>Low</v>
      </c>
      <c r="FI120" s="40">
        <f>COUNTIF($FH$2:$FH$92, FH120)/(COUNTIF($FH$2:$FH$92, "&lt;&gt;""") - COUNTIF($FH$2:$FH$92, ""))</f>
        <v>0.46666666666666667</v>
      </c>
      <c r="FJ120" s="36" t="str">
        <f t="shared" si="92"/>
        <v>High</v>
      </c>
      <c r="FK120" s="40">
        <f>COUNTIF($FJ$2:$FJ$92, FJ120)/(COUNTIF($FJ$2:$FJ$92, "&lt;&gt;""") - COUNTIF($FJ$2:$FJ$92, ""))</f>
        <v>0.58888888888888891</v>
      </c>
      <c r="FL120" s="207"/>
      <c r="FM120" s="192">
        <f t="shared" si="93"/>
        <v>1</v>
      </c>
      <c r="FN120" s="192" t="e">
        <f t="shared" ca="1" si="94"/>
        <v>#NAME?</v>
      </c>
      <c r="FO120" s="192" t="e">
        <f t="shared" ca="1" si="95"/>
        <v>#NAME?</v>
      </c>
      <c r="FP120" s="192" t="e">
        <f t="shared" ca="1" si="96"/>
        <v>#NAME?</v>
      </c>
      <c r="FQ120" s="209" t="e">
        <f t="shared" ca="1" si="97"/>
        <v>#NAME?</v>
      </c>
      <c r="FR120" s="208" t="e">
        <f t="shared" ca="1" si="198"/>
        <v>#NAME?</v>
      </c>
      <c r="FS120" s="36" t="str">
        <f t="shared" si="99"/>
        <v>Pre-Product</v>
      </c>
      <c r="FT120" s="196">
        <f>COUNTIF($FS$2:$FS$92, FS120)/(COUNTIF($FS$2:$FS$92, "&lt;&gt;""") - COUNTIF($FZ$2:$FZ$92, ""))</f>
        <v>0.22222222222222221</v>
      </c>
      <c r="FU120" s="207"/>
      <c r="FV120" s="192" t="e">
        <f t="shared" ca="1" si="100"/>
        <v>#NAME?</v>
      </c>
      <c r="FW120" s="197" t="e">
        <f t="shared" ca="1" si="101"/>
        <v>#NAME?</v>
      </c>
      <c r="FX120" s="209" t="e">
        <f t="shared" ca="1" si="102"/>
        <v>#NAME?</v>
      </c>
      <c r="FY120" s="211" t="e">
        <f t="shared" ca="1" si="199"/>
        <v>#NAME?</v>
      </c>
      <c r="FZ120" s="36" t="str">
        <f t="shared" si="104"/>
        <v>No</v>
      </c>
      <c r="GA120" s="196">
        <f>COUNTIF($FZ$2:$FZ$92, FZ120)/(COUNTIF($FZ$2:$FZ$92, "&lt;&gt;""") - COUNTIF($FZ$2:$FZ$92, ""))</f>
        <v>0.76666666666666672</v>
      </c>
      <c r="GB120" s="196" t="str">
        <f t="shared" si="105"/>
        <v>Low</v>
      </c>
      <c r="GC120" s="196">
        <f>COUNTIF($GB$2:$GB$92, GB120)/(COUNTIF($GB$2:$GB$92, "&lt;&gt;""") - COUNTIF($GB$2:$GB$92, ""))</f>
        <v>0.55555555555555558</v>
      </c>
      <c r="GD120" s="196" t="str">
        <f t="shared" si="106"/>
        <v>High</v>
      </c>
      <c r="GE120" s="196">
        <f>COUNTIF($GD$2:$GD$92, GD120)/(COUNTIF($GD$2:$GD$92, "&lt;&gt;""") - COUNTIF($GD$2:$GD$92, ""))</f>
        <v>0.8</v>
      </c>
      <c r="GF120" s="207"/>
      <c r="GG120" s="36"/>
      <c r="GH120" s="209" t="e">
        <f t="shared" ca="1" si="107"/>
        <v>#NAME?</v>
      </c>
      <c r="GI120" s="212" t="e">
        <f t="shared" ca="1" si="200"/>
        <v>#NAME?</v>
      </c>
    </row>
    <row r="121" spans="1:191" ht="15.75" customHeight="1">
      <c r="A121" s="182"/>
      <c r="B121" s="182" t="s">
        <v>355</v>
      </c>
      <c r="C121" s="256">
        <v>1762827</v>
      </c>
      <c r="D121" s="247" t="s">
        <v>1212</v>
      </c>
      <c r="E121" s="265">
        <v>43489.59652777778</v>
      </c>
      <c r="F121" s="243" t="s">
        <v>337</v>
      </c>
      <c r="G121" s="257" t="s">
        <v>1213</v>
      </c>
      <c r="H121" s="257" t="s">
        <v>1214</v>
      </c>
      <c r="I121" s="258">
        <v>43875</v>
      </c>
      <c r="J121" s="260" t="s">
        <v>1215</v>
      </c>
      <c r="K121" s="247" t="s">
        <v>1216</v>
      </c>
      <c r="M121" s="243" t="s">
        <v>899</v>
      </c>
      <c r="N121" s="243" t="s">
        <v>254</v>
      </c>
      <c r="O121" s="243" t="s">
        <v>30</v>
      </c>
      <c r="P121" s="243" t="s">
        <v>31</v>
      </c>
      <c r="Q121" s="243" t="s">
        <v>35</v>
      </c>
      <c r="R121" s="243"/>
      <c r="S121" s="243" t="s">
        <v>216</v>
      </c>
      <c r="T121" s="248"/>
      <c r="U121" s="249"/>
      <c r="V121" s="54">
        <v>5984000</v>
      </c>
      <c r="W121" s="64"/>
      <c r="X121" s="261"/>
      <c r="Y121" s="55" t="str">
        <f t="shared" si="158"/>
        <v/>
      </c>
      <c r="Z121" s="274">
        <f t="shared" si="159"/>
        <v>5984000</v>
      </c>
      <c r="AA121" s="183" t="e">
        <f t="shared" ca="1" si="160"/>
        <v>#NAME?</v>
      </c>
      <c r="AB121" s="243" t="s">
        <v>178</v>
      </c>
      <c r="AC121" s="243" t="s">
        <v>37</v>
      </c>
      <c r="AD121" s="243" t="s">
        <v>180</v>
      </c>
      <c r="AE121" s="243" t="s">
        <v>227</v>
      </c>
      <c r="AF121" s="243" t="s">
        <v>39</v>
      </c>
      <c r="AG121" s="243" t="s">
        <v>181</v>
      </c>
      <c r="AH121" s="239" t="s">
        <v>227</v>
      </c>
      <c r="AI121" s="64"/>
      <c r="AJ121" s="279">
        <v>75000000000</v>
      </c>
      <c r="AK121" s="224" t="e">
        <f t="shared" ca="1" si="161"/>
        <v>#NAME?</v>
      </c>
      <c r="AL121" s="279">
        <v>1000000000</v>
      </c>
      <c r="AM121" s="224" t="e">
        <f t="shared" ca="1" si="162"/>
        <v>#NAME?</v>
      </c>
      <c r="AN121" s="279">
        <v>0.25</v>
      </c>
      <c r="AO121" s="185" t="e">
        <f t="shared" ca="1" si="63"/>
        <v>#NAME?</v>
      </c>
      <c r="AP121" s="185" t="s">
        <v>192</v>
      </c>
      <c r="AQ121" s="243" t="s">
        <v>39</v>
      </c>
      <c r="AR121" s="243" t="s">
        <v>181</v>
      </c>
      <c r="AS121" s="243" t="s">
        <v>42</v>
      </c>
      <c r="AT121" s="35" t="s">
        <v>181</v>
      </c>
      <c r="AU121" s="35" t="s">
        <v>181</v>
      </c>
      <c r="AV121" s="243" t="s">
        <v>190</v>
      </c>
      <c r="AW121" s="243" t="s">
        <v>190</v>
      </c>
      <c r="AX121" s="243" t="s">
        <v>190</v>
      </c>
      <c r="AY121" s="243" t="s">
        <v>190</v>
      </c>
      <c r="AZ121" s="64">
        <v>0</v>
      </c>
      <c r="BA121" s="55" t="e">
        <f t="shared" ca="1" si="163"/>
        <v>#NAME?</v>
      </c>
      <c r="BB121" s="279">
        <v>3168</v>
      </c>
      <c r="BC121" s="279">
        <v>0</v>
      </c>
      <c r="BD121" s="62" t="e">
        <f t="shared" ca="1" si="164"/>
        <v>#NAME?</v>
      </c>
      <c r="BE121" s="277">
        <f t="shared" si="165"/>
        <v>1</v>
      </c>
      <c r="BF121" s="62" t="e">
        <f t="shared" ca="1" si="166"/>
        <v>#NAME?</v>
      </c>
      <c r="BG121" s="243" t="s">
        <v>43</v>
      </c>
      <c r="BH121" s="187"/>
      <c r="BI121" s="243" t="s">
        <v>227</v>
      </c>
      <c r="BJ121" s="239">
        <v>1</v>
      </c>
      <c r="BK121" s="279">
        <v>2</v>
      </c>
      <c r="BL121" s="239" t="s">
        <v>190</v>
      </c>
      <c r="BM121" s="243" t="s">
        <v>190</v>
      </c>
      <c r="BN121" s="243" t="s">
        <v>190</v>
      </c>
      <c r="BO121" s="243" t="s">
        <v>190</v>
      </c>
      <c r="BP121" s="256">
        <v>1</v>
      </c>
      <c r="BQ121" s="256">
        <v>1</v>
      </c>
      <c r="BR121" s="256">
        <v>0</v>
      </c>
      <c r="BS121" s="256">
        <v>0</v>
      </c>
      <c r="BT121" s="205"/>
      <c r="BU121" s="16">
        <v>20</v>
      </c>
      <c r="BV121" s="16">
        <v>0</v>
      </c>
      <c r="BW121" s="16">
        <v>45</v>
      </c>
      <c r="BX121" s="16" t="s">
        <v>190</v>
      </c>
      <c r="BY121" s="205"/>
      <c r="BZ121" s="16">
        <v>15</v>
      </c>
      <c r="CA121" s="16">
        <v>0</v>
      </c>
      <c r="CB121" s="16">
        <v>45</v>
      </c>
      <c r="CC121" s="16" t="s">
        <v>190</v>
      </c>
      <c r="CD121" s="205"/>
      <c r="CI121" s="205"/>
      <c r="CN121" s="205"/>
      <c r="CS121" s="205"/>
      <c r="CX121" s="205"/>
      <c r="DC121" s="205"/>
      <c r="DH121" s="205"/>
      <c r="DM121" s="205"/>
      <c r="DN121" s="205"/>
      <c r="DO121" s="205"/>
      <c r="DQ121" s="206"/>
      <c r="DR121" s="188">
        <f t="shared" si="64"/>
        <v>17.5</v>
      </c>
      <c r="DS121" s="188"/>
      <c r="DT121" s="189">
        <f t="shared" si="65"/>
        <v>0</v>
      </c>
      <c r="DU121" s="189"/>
      <c r="DV121" s="188">
        <f t="shared" si="66"/>
        <v>45</v>
      </c>
      <c r="DW121" s="183" t="e">
        <f t="shared" ca="1" si="67"/>
        <v>#NAME?</v>
      </c>
      <c r="DX121" s="207"/>
      <c r="DY121" s="190" t="e">
        <f t="shared" ca="1" si="68"/>
        <v>#NAME?</v>
      </c>
      <c r="DZ121" s="191" t="str">
        <f t="shared" si="190"/>
        <v/>
      </c>
      <c r="EA121" s="191" t="str">
        <f t="shared" si="191"/>
        <v/>
      </c>
      <c r="EB121" s="191" t="str">
        <f t="shared" si="192"/>
        <v/>
      </c>
      <c r="EC121" s="208" t="e">
        <f t="shared" ca="1" si="72"/>
        <v>#NAME?</v>
      </c>
      <c r="ED121" s="36" t="str">
        <f t="shared" si="73"/>
        <v>Equity - Common</v>
      </c>
      <c r="EE121" s="193">
        <f>COUNTIF($ED$2:$ED$92, ED121)/(COUNTIF($ED$2:$ED$92, "&lt;&gt;""") - COUNTIF($ED$2:$ED$92, ""))</f>
        <v>0.32222222222222224</v>
      </c>
      <c r="EF121" s="36" t="str">
        <f t="shared" si="74"/>
        <v>Early</v>
      </c>
      <c r="EG121" s="207"/>
      <c r="EH121" s="194" t="e">
        <f t="shared" ca="1" si="75"/>
        <v>#NAME?</v>
      </c>
      <c r="EI121" s="194" t="e">
        <f t="shared" ca="1" si="76"/>
        <v>#NAME?</v>
      </c>
      <c r="EJ121" s="209" t="e">
        <f t="shared" ca="1" si="77"/>
        <v>#NAME?</v>
      </c>
      <c r="EK121" s="208" t="e">
        <f t="shared" ca="1" si="193"/>
        <v>#NAME?</v>
      </c>
      <c r="EL121" s="36" t="str">
        <f t="shared" si="79"/>
        <v>No</v>
      </c>
      <c r="EM121" s="207"/>
      <c r="EN121" s="192">
        <f t="shared" si="194"/>
        <v>2.666666666666667</v>
      </c>
      <c r="EO121" s="192">
        <f t="shared" si="195"/>
        <v>1</v>
      </c>
      <c r="EP121" s="209">
        <f t="shared" si="82"/>
        <v>3.666666666666667</v>
      </c>
      <c r="EQ121" s="210">
        <f t="shared" si="196"/>
        <v>2.3084112149532716</v>
      </c>
      <c r="ER121" s="36" t="e">
        <f t="shared" ca="1" si="84"/>
        <v>#NAME?</v>
      </c>
      <c r="ES121" s="40">
        <f ca="1">COUNTIF($ER$2:$ER$92, ER121)/(COUNTIF($ER$2:$ER$92, "&lt;&gt;""") - COUNTIF($ER$2:$ER$92, ""))</f>
        <v>1</v>
      </c>
      <c r="ET121" s="36">
        <f t="shared" si="85"/>
        <v>2</v>
      </c>
      <c r="EU121" s="40">
        <f>COUNTIF($ET$2:$ET$92, ET121)/(COUNTIF($ET$2:$ET$92, "&lt;&gt;""") - COUNTIF($ET$2:$ET$92, ""))</f>
        <v>0.45555555555555555</v>
      </c>
      <c r="EV121" s="36">
        <f t="shared" si="86"/>
        <v>1</v>
      </c>
      <c r="EW121" s="40">
        <f>COUNTIF($EV$2:$EV$92, EV121)/(COUNTIF($EV$2:$EV$92, "&lt;&gt;""") - COUNTIF($EV$2:$EV$92, ""))</f>
        <v>7.7777777777777779E-2</v>
      </c>
      <c r="EX121" s="36" t="str">
        <f t="shared" si="87"/>
        <v>No</v>
      </c>
      <c r="EY121" s="40">
        <f>COUNTIF($EX$2:$EX$92, EX121)/(COUNTIF($EX$2:$EX$92, "&lt;&gt;""") - COUNTIF($EX$2:$EX$92, ""))</f>
        <v>0.72222222222222221</v>
      </c>
      <c r="EZ121" s="36" t="str">
        <f t="shared" ref="EZ121:FB121" si="244">BM121</f>
        <v>No</v>
      </c>
      <c r="FA121" s="36" t="str">
        <f t="shared" si="244"/>
        <v>No</v>
      </c>
      <c r="FB121" s="36" t="str">
        <f t="shared" si="244"/>
        <v>No</v>
      </c>
      <c r="FC121" s="207"/>
      <c r="FD121" s="36" t="str">
        <f t="shared" si="89"/>
        <v>Recurring</v>
      </c>
      <c r="FE121" s="40">
        <f>COUNTIF($FD$2:$FD$92, FD121)/(COUNTIF($FD$2:$FD$92, "&lt;&gt;""") - COUNTIF($FD$2:$FD$92, ""))</f>
        <v>0.4</v>
      </c>
      <c r="FF121" s="36" t="str">
        <f t="shared" si="90"/>
        <v>B2B</v>
      </c>
      <c r="FG121" s="40">
        <f>COUNTIF($FF$2:$FF$92, FF121)/(COUNTIF($FF$2:$FF$92, "&lt;&gt;""") - COUNTIF($FF$2:$FF$92, ""))</f>
        <v>0.24444444444444444</v>
      </c>
      <c r="FH121" s="36" t="str">
        <f t="shared" si="91"/>
        <v>High</v>
      </c>
      <c r="FI121" s="40">
        <f>COUNTIF($FH$2:$FH$92, FH121)/(COUNTIF($FH$2:$FH$92, "&lt;&gt;""") - COUNTIF($FH$2:$FH$92, ""))</f>
        <v>0.53333333333333333</v>
      </c>
      <c r="FJ121" s="36" t="str">
        <f t="shared" si="92"/>
        <v>Low</v>
      </c>
      <c r="FK121" s="40">
        <f>COUNTIF($FJ$2:$FJ$92, FJ121)/(COUNTIF($FJ$2:$FJ$92, "&lt;&gt;""") - COUNTIF($FJ$2:$FJ$92, ""))</f>
        <v>0.41111111111111109</v>
      </c>
      <c r="FL121" s="207"/>
      <c r="FM121" s="192">
        <f t="shared" si="93"/>
        <v>1</v>
      </c>
      <c r="FN121" s="192" t="e">
        <f t="shared" ca="1" si="94"/>
        <v>#NAME?</v>
      </c>
      <c r="FO121" s="192" t="e">
        <f t="shared" ca="1" si="95"/>
        <v>#NAME?</v>
      </c>
      <c r="FP121" s="192" t="e">
        <f t="shared" ca="1" si="96"/>
        <v>#NAME?</v>
      </c>
      <c r="FQ121" s="209" t="e">
        <f t="shared" ca="1" si="97"/>
        <v>#NAME?</v>
      </c>
      <c r="FR121" s="208" t="e">
        <f t="shared" ca="1" si="198"/>
        <v>#NAME?</v>
      </c>
      <c r="FS121" s="36" t="str">
        <f t="shared" si="99"/>
        <v>Pre-Product</v>
      </c>
      <c r="FT121" s="196">
        <f>COUNTIF($FS$2:$FS$92, FS121)/(COUNTIF($FS$2:$FS$92, "&lt;&gt;""") - COUNTIF($FZ$2:$FZ$92, ""))</f>
        <v>0.22222222222222221</v>
      </c>
      <c r="FU121" s="207"/>
      <c r="FV121" s="192">
        <f t="shared" si="100"/>
        <v>3</v>
      </c>
      <c r="FW121" s="197" t="e">
        <f t="shared" ca="1" si="101"/>
        <v>#NAME?</v>
      </c>
      <c r="FX121" s="209" t="e">
        <f t="shared" ca="1" si="102"/>
        <v>#NAME?</v>
      </c>
      <c r="FY121" s="211" t="e">
        <f t="shared" ca="1" si="199"/>
        <v>#NAME?</v>
      </c>
      <c r="FZ121" s="36" t="str">
        <f t="shared" si="104"/>
        <v>No</v>
      </c>
      <c r="GA121" s="196">
        <f>COUNTIF($FZ$2:$FZ$92, FZ121)/(COUNTIF($FZ$2:$FZ$92, "&lt;&gt;""") - COUNTIF($FZ$2:$FZ$92, ""))</f>
        <v>0.76666666666666672</v>
      </c>
      <c r="GB121" s="196" t="str">
        <f t="shared" si="105"/>
        <v>Low</v>
      </c>
      <c r="GC121" s="196">
        <f>COUNTIF($GB$2:$GB$92, GB121)/(COUNTIF($GB$2:$GB$92, "&lt;&gt;""") - COUNTIF($GB$2:$GB$92, ""))</f>
        <v>0.55555555555555558</v>
      </c>
      <c r="GD121" s="196" t="str">
        <f t="shared" si="106"/>
        <v>Low</v>
      </c>
      <c r="GE121" s="196">
        <f>COUNTIF($GD$2:$GD$92, GD121)/(COUNTIF($GD$2:$GD$92, "&lt;&gt;""") - COUNTIF($GD$2:$GD$92, ""))</f>
        <v>0.18888888888888888</v>
      </c>
      <c r="GF121" s="207"/>
      <c r="GG121" s="36"/>
      <c r="GH121" s="209" t="e">
        <f t="shared" ca="1" si="107"/>
        <v>#NAME?</v>
      </c>
      <c r="GI121" s="212" t="e">
        <f t="shared" ca="1" si="200"/>
        <v>#NAME?</v>
      </c>
    </row>
    <row r="122" spans="1:191" ht="15.75" customHeight="1">
      <c r="A122" s="182"/>
      <c r="B122" s="182" t="s">
        <v>355</v>
      </c>
      <c r="C122" s="256">
        <v>1765252</v>
      </c>
      <c r="D122" s="247" t="s">
        <v>1217</v>
      </c>
      <c r="E122" s="259">
        <v>43500.454861111109</v>
      </c>
      <c r="F122" s="243" t="s">
        <v>270</v>
      </c>
      <c r="G122" s="257" t="s">
        <v>1218</v>
      </c>
      <c r="H122" s="257" t="s">
        <v>1219</v>
      </c>
      <c r="I122" s="258">
        <v>43860</v>
      </c>
      <c r="J122" s="260" t="s">
        <v>1220</v>
      </c>
      <c r="K122" s="247" t="s">
        <v>1217</v>
      </c>
      <c r="M122" s="243" t="s">
        <v>28</v>
      </c>
      <c r="N122" s="243" t="s">
        <v>230</v>
      </c>
      <c r="O122" s="243" t="s">
        <v>30</v>
      </c>
      <c r="P122" s="243" t="s">
        <v>31</v>
      </c>
      <c r="Q122" s="243" t="s">
        <v>35</v>
      </c>
      <c r="R122" s="187"/>
      <c r="S122" s="243" t="s">
        <v>176</v>
      </c>
      <c r="T122" s="248"/>
      <c r="U122" s="249"/>
      <c r="V122" s="250"/>
      <c r="W122" s="64">
        <v>5000000</v>
      </c>
      <c r="X122" s="261">
        <v>0.2</v>
      </c>
      <c r="Y122" s="55">
        <f t="shared" si="158"/>
        <v>4000000</v>
      </c>
      <c r="Z122" s="274">
        <f t="shared" si="159"/>
        <v>4000000</v>
      </c>
      <c r="AA122" s="183" t="e">
        <f t="shared" ca="1" si="160"/>
        <v>#NAME?</v>
      </c>
      <c r="AB122" s="243" t="s">
        <v>178</v>
      </c>
      <c r="AC122" s="243" t="s">
        <v>37</v>
      </c>
      <c r="AD122" s="243" t="s">
        <v>180</v>
      </c>
      <c r="AE122" s="243" t="s">
        <v>227</v>
      </c>
      <c r="AF122" s="243" t="s">
        <v>39</v>
      </c>
      <c r="AG122" s="243" t="s">
        <v>181</v>
      </c>
      <c r="AH122" s="239" t="s">
        <v>190</v>
      </c>
      <c r="AI122" s="64"/>
      <c r="AJ122" s="279">
        <v>30000000000</v>
      </c>
      <c r="AK122" s="224" t="e">
        <f t="shared" ca="1" si="161"/>
        <v>#NAME?</v>
      </c>
      <c r="AL122" s="279">
        <v>100000000</v>
      </c>
      <c r="AM122" s="224" t="e">
        <f t="shared" ca="1" si="162"/>
        <v>#NAME?</v>
      </c>
      <c r="AN122" s="279">
        <v>0.17</v>
      </c>
      <c r="AO122" s="185" t="e">
        <f t="shared" ca="1" si="63"/>
        <v>#NAME?</v>
      </c>
      <c r="AP122" s="185" t="s">
        <v>228</v>
      </c>
      <c r="AQ122" s="243" t="s">
        <v>39</v>
      </c>
      <c r="AR122" s="243" t="s">
        <v>181</v>
      </c>
      <c r="AS122" s="243" t="s">
        <v>182</v>
      </c>
      <c r="AT122" s="35" t="s">
        <v>39</v>
      </c>
      <c r="AU122" s="35" t="s">
        <v>39</v>
      </c>
      <c r="AV122" s="243" t="s">
        <v>190</v>
      </c>
      <c r="AW122" s="243" t="s">
        <v>190</v>
      </c>
      <c r="AX122" s="243" t="s">
        <v>190</v>
      </c>
      <c r="AY122" s="243" t="s">
        <v>190</v>
      </c>
      <c r="AZ122" s="64">
        <v>0</v>
      </c>
      <c r="BA122" s="55" t="e">
        <f t="shared" ca="1" si="163"/>
        <v>#NAME?</v>
      </c>
      <c r="BB122" s="279">
        <v>213</v>
      </c>
      <c r="BC122" s="279">
        <v>0</v>
      </c>
      <c r="BD122" s="62" t="e">
        <f t="shared" ca="1" si="164"/>
        <v>#NAME?</v>
      </c>
      <c r="BE122" s="277">
        <f t="shared" si="165"/>
        <v>1</v>
      </c>
      <c r="BF122" s="62" t="e">
        <f t="shared" ca="1" si="166"/>
        <v>#NAME?</v>
      </c>
      <c r="BG122" s="243" t="s">
        <v>43</v>
      </c>
      <c r="BH122" s="187"/>
      <c r="BI122" s="243" t="s">
        <v>227</v>
      </c>
      <c r="BJ122" s="243">
        <v>1</v>
      </c>
      <c r="BK122" s="279">
        <v>1</v>
      </c>
      <c r="BL122" s="239" t="s">
        <v>190</v>
      </c>
      <c r="BM122" s="243" t="s">
        <v>190</v>
      </c>
      <c r="BN122" s="243" t="s">
        <v>190</v>
      </c>
      <c r="BO122" s="243" t="s">
        <v>190</v>
      </c>
      <c r="BP122" s="256">
        <v>1</v>
      </c>
      <c r="BQ122" s="256">
        <v>1</v>
      </c>
      <c r="BR122" s="256">
        <v>0</v>
      </c>
      <c r="BS122" s="256">
        <v>0</v>
      </c>
      <c r="BT122" s="205"/>
      <c r="BU122" s="16">
        <v>0</v>
      </c>
      <c r="BV122" s="16">
        <v>0</v>
      </c>
      <c r="BW122" s="16">
        <v>26</v>
      </c>
      <c r="BX122" s="16" t="s">
        <v>190</v>
      </c>
      <c r="BY122" s="205"/>
      <c r="CD122" s="205"/>
      <c r="CI122" s="205"/>
      <c r="CN122" s="205"/>
      <c r="CS122" s="205"/>
      <c r="CX122" s="205"/>
      <c r="DC122" s="205"/>
      <c r="DH122" s="205"/>
      <c r="DM122" s="205"/>
      <c r="DN122" s="205"/>
      <c r="DO122" s="205"/>
      <c r="DQ122" s="206"/>
      <c r="DR122" s="188">
        <f t="shared" si="64"/>
        <v>0</v>
      </c>
      <c r="DS122" s="188"/>
      <c r="DT122" s="189">
        <f t="shared" si="65"/>
        <v>0</v>
      </c>
      <c r="DU122" s="189"/>
      <c r="DV122" s="188">
        <f t="shared" si="66"/>
        <v>26</v>
      </c>
      <c r="DW122" s="183" t="e">
        <f t="shared" ca="1" si="67"/>
        <v>#NAME?</v>
      </c>
      <c r="DX122" s="207"/>
      <c r="DY122" s="190" t="e">
        <f t="shared" ca="1" si="68"/>
        <v>#NAME?</v>
      </c>
      <c r="DZ122" s="191">
        <f t="shared" si="190"/>
        <v>3.1052631578947367</v>
      </c>
      <c r="EA122" s="191" t="str">
        <f t="shared" si="191"/>
        <v/>
      </c>
      <c r="EB122" s="191" t="str">
        <f t="shared" si="192"/>
        <v/>
      </c>
      <c r="EC122" s="208" t="e">
        <f t="shared" ca="1" si="72"/>
        <v>#NAME?</v>
      </c>
      <c r="ED122" s="36" t="str">
        <f t="shared" si="73"/>
        <v>Convertible Note</v>
      </c>
      <c r="EE122" s="193">
        <f>COUNTIF($ED$2:$ED$92, ED122)/(COUNTIF($ED$2:$ED$92, "&lt;&gt;""") - COUNTIF($ED$2:$ED$92, ""))</f>
        <v>0.13333333333333333</v>
      </c>
      <c r="EF122" s="36" t="str">
        <f t="shared" si="74"/>
        <v>Early</v>
      </c>
      <c r="EG122" s="207"/>
      <c r="EH122" s="194" t="e">
        <f t="shared" ca="1" si="75"/>
        <v>#NAME?</v>
      </c>
      <c r="EI122" s="194" t="e">
        <f t="shared" ca="1" si="76"/>
        <v>#NAME?</v>
      </c>
      <c r="EJ122" s="209" t="e">
        <f t="shared" ca="1" si="77"/>
        <v>#NAME?</v>
      </c>
      <c r="EK122" s="208" t="e">
        <f t="shared" ca="1" si="193"/>
        <v>#NAME?</v>
      </c>
      <c r="EL122" s="36" t="str">
        <f t="shared" si="79"/>
        <v>No</v>
      </c>
      <c r="EM122" s="207"/>
      <c r="EN122" s="192">
        <f t="shared" si="194"/>
        <v>1</v>
      </c>
      <c r="EO122" s="192">
        <f t="shared" si="195"/>
        <v>1</v>
      </c>
      <c r="EP122" s="209">
        <f t="shared" si="82"/>
        <v>2</v>
      </c>
      <c r="EQ122" s="210">
        <f t="shared" si="196"/>
        <v>1</v>
      </c>
      <c r="ER122" s="36" t="e">
        <f t="shared" ca="1" si="84"/>
        <v>#NAME?</v>
      </c>
      <c r="ES122" s="40">
        <f ca="1">COUNTIF($ER$2:$ER$92, ER122)/(COUNTIF($ER$2:$ER$92, "&lt;&gt;""") - COUNTIF($ER$2:$ER$92, ""))</f>
        <v>1</v>
      </c>
      <c r="ET122" s="36">
        <f t="shared" si="85"/>
        <v>1</v>
      </c>
      <c r="EU122" s="40">
        <f>COUNTIF($ET$2:$ET$92, ET122)/(COUNTIF($ET$2:$ET$92, "&lt;&gt;""") - COUNTIF($ET$2:$ET$92, ""))</f>
        <v>0.45555555555555555</v>
      </c>
      <c r="EV122" s="36">
        <f t="shared" si="86"/>
        <v>1</v>
      </c>
      <c r="EW122" s="40">
        <f>COUNTIF($EV$2:$EV$92, EV122)/(COUNTIF($EV$2:$EV$92, "&lt;&gt;""") - COUNTIF($EV$2:$EV$92, ""))</f>
        <v>7.7777777777777779E-2</v>
      </c>
      <c r="EX122" s="36" t="str">
        <f t="shared" si="87"/>
        <v>No</v>
      </c>
      <c r="EY122" s="40">
        <f>COUNTIF($EX$2:$EX$92, EX122)/(COUNTIF($EX$2:$EX$92, "&lt;&gt;""") - COUNTIF($EX$2:$EX$92, ""))</f>
        <v>0.72222222222222221</v>
      </c>
      <c r="EZ122" s="36" t="str">
        <f t="shared" ref="EZ122:FB122" si="245">BM122</f>
        <v>No</v>
      </c>
      <c r="FA122" s="36" t="str">
        <f t="shared" si="245"/>
        <v>No</v>
      </c>
      <c r="FB122" s="36" t="str">
        <f t="shared" si="245"/>
        <v>No</v>
      </c>
      <c r="FC122" s="207"/>
      <c r="FD122" s="36" t="str">
        <f t="shared" si="89"/>
        <v>Recurring</v>
      </c>
      <c r="FE122" s="40">
        <f>COUNTIF($FD$2:$FD$92, FD122)/(COUNTIF($FD$2:$FD$92, "&lt;&gt;""") - COUNTIF($FD$2:$FD$92, ""))</f>
        <v>0.4</v>
      </c>
      <c r="FF122" s="36" t="str">
        <f t="shared" si="90"/>
        <v>B2B</v>
      </c>
      <c r="FG122" s="40">
        <f>COUNTIF($FF$2:$FF$92, FF122)/(COUNTIF($FF$2:$FF$92, "&lt;&gt;""") - COUNTIF($FF$2:$FF$92, ""))</f>
        <v>0.24444444444444444</v>
      </c>
      <c r="FH122" s="36" t="str">
        <f t="shared" si="91"/>
        <v>High</v>
      </c>
      <c r="FI122" s="40">
        <f>COUNTIF($FH$2:$FH$92, FH122)/(COUNTIF($FH$2:$FH$92, "&lt;&gt;""") - COUNTIF($FH$2:$FH$92, ""))</f>
        <v>0.53333333333333333</v>
      </c>
      <c r="FJ122" s="36" t="str">
        <f t="shared" si="92"/>
        <v>Low</v>
      </c>
      <c r="FK122" s="40">
        <f>COUNTIF($FJ$2:$FJ$92, FJ122)/(COUNTIF($FJ$2:$FJ$92, "&lt;&gt;""") - COUNTIF($FJ$2:$FJ$92, ""))</f>
        <v>0.41111111111111109</v>
      </c>
      <c r="FL122" s="207"/>
      <c r="FM122" s="192">
        <f t="shared" si="93"/>
        <v>1</v>
      </c>
      <c r="FN122" s="192" t="e">
        <f t="shared" ca="1" si="94"/>
        <v>#NAME?</v>
      </c>
      <c r="FO122" s="192" t="e">
        <f t="shared" ca="1" si="95"/>
        <v>#NAME?</v>
      </c>
      <c r="FP122" s="192" t="e">
        <f t="shared" ca="1" si="96"/>
        <v>#NAME?</v>
      </c>
      <c r="FQ122" s="209" t="e">
        <f t="shared" ca="1" si="97"/>
        <v>#NAME?</v>
      </c>
      <c r="FR122" s="208" t="e">
        <f t="shared" ca="1" si="198"/>
        <v>#NAME?</v>
      </c>
      <c r="FS122" s="36" t="str">
        <f t="shared" si="99"/>
        <v>Pre-Product</v>
      </c>
      <c r="FT122" s="196">
        <f>COUNTIF($FS$2:$FS$92, FS122)/(COUNTIF($FS$2:$FS$92, "&lt;&gt;""") - COUNTIF($FZ$2:$FZ$92, ""))</f>
        <v>0.22222222222222221</v>
      </c>
      <c r="FU122" s="207"/>
      <c r="FV122" s="192">
        <f t="shared" si="100"/>
        <v>3</v>
      </c>
      <c r="FW122" s="197" t="e">
        <f t="shared" ca="1" si="101"/>
        <v>#NAME?</v>
      </c>
      <c r="FX122" s="209" t="e">
        <f t="shared" ca="1" si="102"/>
        <v>#NAME?</v>
      </c>
      <c r="FY122" s="211" t="e">
        <f t="shared" ca="1" si="199"/>
        <v>#NAME?</v>
      </c>
      <c r="FZ122" s="36" t="str">
        <f t="shared" si="104"/>
        <v>No</v>
      </c>
      <c r="GA122" s="196">
        <f>COUNTIF($FZ$2:$FZ$92, FZ122)/(COUNTIF($FZ$2:$FZ$92, "&lt;&gt;""") - COUNTIF($FZ$2:$FZ$92, ""))</f>
        <v>0.76666666666666672</v>
      </c>
      <c r="GB122" s="196" t="str">
        <f t="shared" si="105"/>
        <v>High</v>
      </c>
      <c r="GC122" s="196">
        <f>COUNTIF($GB$2:$GB$92, GB122)/(COUNTIF($GB$2:$GB$92, "&lt;&gt;""") - COUNTIF($GB$2:$GB$92, ""))</f>
        <v>0.43333333333333335</v>
      </c>
      <c r="GD122" s="196" t="str">
        <f t="shared" si="106"/>
        <v>High</v>
      </c>
      <c r="GE122" s="196">
        <f>COUNTIF($GD$2:$GD$92, GD122)/(COUNTIF($GD$2:$GD$92, "&lt;&gt;""") - COUNTIF($GD$2:$GD$92, ""))</f>
        <v>0.8</v>
      </c>
      <c r="GF122" s="207"/>
      <c r="GG122" s="36"/>
      <c r="GH122" s="209" t="e">
        <f t="shared" ca="1" si="107"/>
        <v>#NAME?</v>
      </c>
      <c r="GI122" s="212" t="e">
        <f t="shared" ca="1" si="200"/>
        <v>#NAME?</v>
      </c>
    </row>
    <row r="123" spans="1:191" ht="15.75" customHeight="1">
      <c r="A123" s="182"/>
      <c r="B123" s="182" t="s">
        <v>355</v>
      </c>
      <c r="C123" s="256">
        <v>1769308</v>
      </c>
      <c r="D123" s="247" t="s">
        <v>1221</v>
      </c>
      <c r="E123" s="265">
        <v>43524.568749999999</v>
      </c>
      <c r="F123" s="243" t="s">
        <v>337</v>
      </c>
      <c r="G123" s="257" t="s">
        <v>1222</v>
      </c>
      <c r="H123" s="257" t="s">
        <v>1223</v>
      </c>
      <c r="I123" s="258">
        <v>43854</v>
      </c>
      <c r="J123" s="260" t="s">
        <v>1224</v>
      </c>
      <c r="K123" s="247" t="s">
        <v>1221</v>
      </c>
      <c r="M123" s="243" t="s">
        <v>1225</v>
      </c>
      <c r="N123" s="243" t="s">
        <v>213</v>
      </c>
      <c r="O123" s="243" t="s">
        <v>30</v>
      </c>
      <c r="P123" s="243" t="s">
        <v>31</v>
      </c>
      <c r="Q123" s="243" t="s">
        <v>35</v>
      </c>
      <c r="R123" s="187"/>
      <c r="S123" s="243" t="s">
        <v>216</v>
      </c>
      <c r="T123" s="248"/>
      <c r="U123" s="249"/>
      <c r="V123" s="69">
        <v>3900000</v>
      </c>
      <c r="W123" s="64"/>
      <c r="X123" s="261"/>
      <c r="Y123" s="55" t="str">
        <f t="shared" si="158"/>
        <v/>
      </c>
      <c r="Z123" s="274">
        <f t="shared" si="159"/>
        <v>3900000</v>
      </c>
      <c r="AA123" s="183" t="e">
        <f t="shared" ca="1" si="160"/>
        <v>#NAME?</v>
      </c>
      <c r="AB123" s="243" t="s">
        <v>178</v>
      </c>
      <c r="AC123" s="243" t="s">
        <v>37</v>
      </c>
      <c r="AD123" s="243" t="s">
        <v>38</v>
      </c>
      <c r="AE123" s="243" t="s">
        <v>190</v>
      </c>
      <c r="AF123" s="243" t="s">
        <v>181</v>
      </c>
      <c r="AG123" s="243" t="s">
        <v>39</v>
      </c>
      <c r="AH123" s="239" t="s">
        <v>190</v>
      </c>
      <c r="AI123" s="64"/>
      <c r="AJ123" s="279">
        <v>30000000000</v>
      </c>
      <c r="AK123" s="224" t="e">
        <f t="shared" ca="1" si="161"/>
        <v>#NAME?</v>
      </c>
      <c r="AL123" s="279">
        <v>2000000000</v>
      </c>
      <c r="AM123" s="224" t="e">
        <f t="shared" ca="1" si="162"/>
        <v>#NAME?</v>
      </c>
      <c r="AN123" s="279">
        <v>0.05</v>
      </c>
      <c r="AO123" s="185" t="e">
        <f t="shared" ca="1" si="63"/>
        <v>#NAME?</v>
      </c>
      <c r="AP123" s="185" t="s">
        <v>169</v>
      </c>
      <c r="AQ123" s="243" t="s">
        <v>39</v>
      </c>
      <c r="AR123" s="243" t="s">
        <v>181</v>
      </c>
      <c r="AS123" s="243" t="s">
        <v>182</v>
      </c>
      <c r="AT123" s="35" t="s">
        <v>39</v>
      </c>
      <c r="AU123" s="35" t="s">
        <v>39</v>
      </c>
      <c r="AV123" s="243" t="s">
        <v>227</v>
      </c>
      <c r="AW123" s="243" t="s">
        <v>227</v>
      </c>
      <c r="AX123" s="243" t="s">
        <v>190</v>
      </c>
      <c r="AY123" s="243" t="s">
        <v>190</v>
      </c>
      <c r="AZ123" s="64">
        <v>0</v>
      </c>
      <c r="BA123" s="55" t="e">
        <f t="shared" ca="1" si="163"/>
        <v>#NAME?</v>
      </c>
      <c r="BB123" s="279">
        <v>0</v>
      </c>
      <c r="BC123" s="279">
        <v>0</v>
      </c>
      <c r="BD123" s="62" t="e">
        <f t="shared" ca="1" si="164"/>
        <v>#NAME?</v>
      </c>
      <c r="BE123" s="277">
        <f t="shared" si="165"/>
        <v>1</v>
      </c>
      <c r="BF123" s="62" t="e">
        <f t="shared" ca="1" si="166"/>
        <v>#NAME?</v>
      </c>
      <c r="BG123" s="243" t="s">
        <v>183</v>
      </c>
      <c r="BH123" s="187"/>
      <c r="BI123" s="243" t="s">
        <v>227</v>
      </c>
      <c r="BJ123" s="239">
        <v>2</v>
      </c>
      <c r="BK123" s="279">
        <v>1</v>
      </c>
      <c r="BL123" s="243" t="s">
        <v>190</v>
      </c>
      <c r="BM123" s="243" t="s">
        <v>190</v>
      </c>
      <c r="BN123" s="243" t="s">
        <v>190</v>
      </c>
      <c r="BO123" s="243" t="s">
        <v>190</v>
      </c>
      <c r="BP123" s="256">
        <v>1</v>
      </c>
      <c r="BQ123" s="256">
        <v>3</v>
      </c>
      <c r="BR123" s="256">
        <v>0</v>
      </c>
      <c r="BS123" s="256">
        <v>0</v>
      </c>
      <c r="BT123" s="205"/>
      <c r="BU123" s="16">
        <v>15</v>
      </c>
      <c r="BV123" s="16">
        <v>0</v>
      </c>
      <c r="BW123" s="16">
        <v>60</v>
      </c>
      <c r="BX123" s="16" t="s">
        <v>190</v>
      </c>
      <c r="BY123" s="205"/>
      <c r="CD123" s="205"/>
      <c r="CI123" s="205"/>
      <c r="CN123" s="205"/>
      <c r="CS123" s="205"/>
      <c r="CX123" s="205"/>
      <c r="DC123" s="205"/>
      <c r="DH123" s="205"/>
      <c r="DM123" s="205"/>
      <c r="DN123" s="205"/>
      <c r="DO123" s="205"/>
      <c r="DQ123" s="206"/>
      <c r="DR123" s="188">
        <f t="shared" si="64"/>
        <v>15</v>
      </c>
      <c r="DS123" s="188"/>
      <c r="DT123" s="189">
        <f t="shared" si="65"/>
        <v>0</v>
      </c>
      <c r="DU123" s="189"/>
      <c r="DV123" s="188">
        <f t="shared" si="66"/>
        <v>60</v>
      </c>
      <c r="DW123" s="183" t="e">
        <f t="shared" ca="1" si="67"/>
        <v>#NAME?</v>
      </c>
      <c r="DX123" s="207"/>
      <c r="DY123" s="190" t="e">
        <f t="shared" ca="1" si="68"/>
        <v>#NAME?</v>
      </c>
      <c r="DZ123" s="191" t="str">
        <f t="shared" si="190"/>
        <v/>
      </c>
      <c r="EA123" s="191" t="str">
        <f t="shared" si="191"/>
        <v/>
      </c>
      <c r="EB123" s="191" t="str">
        <f t="shared" si="192"/>
        <v/>
      </c>
      <c r="EC123" s="208" t="e">
        <f t="shared" ca="1" si="72"/>
        <v>#NAME?</v>
      </c>
      <c r="ED123" s="36" t="str">
        <f t="shared" si="73"/>
        <v>Equity - Common</v>
      </c>
      <c r="EE123" s="193">
        <f>COUNTIF($ED$2:$ED$92, ED123)/(COUNTIF($ED$2:$ED$92, "&lt;&gt;""") - COUNTIF($ED$2:$ED$92, ""))</f>
        <v>0.32222222222222224</v>
      </c>
      <c r="EF123" s="36" t="str">
        <f t="shared" si="74"/>
        <v>Early</v>
      </c>
      <c r="EG123" s="207"/>
      <c r="EH123" s="194" t="e">
        <f t="shared" ca="1" si="75"/>
        <v>#NAME?</v>
      </c>
      <c r="EI123" s="194" t="e">
        <f t="shared" ca="1" si="76"/>
        <v>#NAME?</v>
      </c>
      <c r="EJ123" s="209" t="e">
        <f t="shared" ca="1" si="77"/>
        <v>#NAME?</v>
      </c>
      <c r="EK123" s="208" t="e">
        <f t="shared" ca="1" si="193"/>
        <v>#NAME?</v>
      </c>
      <c r="EL123" s="36" t="str">
        <f t="shared" si="79"/>
        <v>Yes</v>
      </c>
      <c r="EM123" s="207"/>
      <c r="EN123" s="192">
        <f t="shared" si="194"/>
        <v>2.4285714285714288</v>
      </c>
      <c r="EO123" s="192">
        <f t="shared" si="195"/>
        <v>1</v>
      </c>
      <c r="EP123" s="209">
        <f t="shared" si="82"/>
        <v>3.4285714285714288</v>
      </c>
      <c r="EQ123" s="210">
        <f t="shared" si="196"/>
        <v>2.1214953271028039</v>
      </c>
      <c r="ER123" s="36" t="e">
        <f t="shared" ca="1" si="84"/>
        <v>#NAME?</v>
      </c>
      <c r="ES123" s="40">
        <f ca="1">COUNTIF($ER$2:$ER$92, ER123)/(COUNTIF($ER$2:$ER$92, "&lt;&gt;""") - COUNTIF($ER$2:$ER$92, ""))</f>
        <v>1</v>
      </c>
      <c r="ET123" s="36">
        <f t="shared" si="85"/>
        <v>1</v>
      </c>
      <c r="EU123" s="40">
        <f>COUNTIF($ET$2:$ET$92, ET123)/(COUNTIF($ET$2:$ET$92, "&lt;&gt;""") - COUNTIF($ET$2:$ET$92, ""))</f>
        <v>0.45555555555555555</v>
      </c>
      <c r="EV123" s="36">
        <f t="shared" si="86"/>
        <v>3</v>
      </c>
      <c r="EW123" s="40">
        <f>COUNTIF($EV$2:$EV$92, EV123)/(COUNTIF($EV$2:$EV$92, "&lt;&gt;""") - COUNTIF($EV$2:$EV$92, ""))</f>
        <v>8.8888888888888892E-2</v>
      </c>
      <c r="EX123" s="36" t="str">
        <f t="shared" si="87"/>
        <v>No</v>
      </c>
      <c r="EY123" s="40">
        <f>COUNTIF($EX$2:$EX$92, EX123)/(COUNTIF($EX$2:$EX$92, "&lt;&gt;""") - COUNTIF($EX$2:$EX$92, ""))</f>
        <v>0.72222222222222221</v>
      </c>
      <c r="EZ123" s="36" t="str">
        <f t="shared" ref="EZ123:FB123" si="246">BM123</f>
        <v>No</v>
      </c>
      <c r="FA123" s="36" t="str">
        <f t="shared" si="246"/>
        <v>No</v>
      </c>
      <c r="FB123" s="36" t="str">
        <f t="shared" si="246"/>
        <v>No</v>
      </c>
      <c r="FC123" s="207"/>
      <c r="FD123" s="36" t="str">
        <f t="shared" si="89"/>
        <v>Recurring</v>
      </c>
      <c r="FE123" s="40">
        <f>COUNTIF($FD$2:$FD$92, FD123)/(COUNTIF($FD$2:$FD$92, "&lt;&gt;""") - COUNTIF($FD$2:$FD$92, ""))</f>
        <v>0.4</v>
      </c>
      <c r="FF123" s="36" t="str">
        <f t="shared" si="90"/>
        <v>B2B</v>
      </c>
      <c r="FG123" s="40">
        <f>COUNTIF($FF$2:$FF$92, FF123)/(COUNTIF($FF$2:$FF$92, "&lt;&gt;""") - COUNTIF($FF$2:$FF$92, ""))</f>
        <v>0.24444444444444444</v>
      </c>
      <c r="FH123" s="36" t="str">
        <f t="shared" si="91"/>
        <v>Low</v>
      </c>
      <c r="FI123" s="40">
        <f>COUNTIF($FH$2:$FH$92, FH123)/(COUNTIF($FH$2:$FH$92, "&lt;&gt;""") - COUNTIF($FH$2:$FH$92, ""))</f>
        <v>0.46666666666666667</v>
      </c>
      <c r="FJ123" s="36" t="str">
        <f t="shared" si="92"/>
        <v>High</v>
      </c>
      <c r="FK123" s="40">
        <f>COUNTIF($FJ$2:$FJ$92, FJ123)/(COUNTIF($FJ$2:$FJ$92, "&lt;&gt;""") - COUNTIF($FJ$2:$FJ$92, ""))</f>
        <v>0.58888888888888891</v>
      </c>
      <c r="FL123" s="207"/>
      <c r="FM123" s="192">
        <f t="shared" si="93"/>
        <v>1</v>
      </c>
      <c r="FN123" s="192" t="e">
        <f t="shared" ca="1" si="94"/>
        <v>#NAME?</v>
      </c>
      <c r="FO123" s="192" t="e">
        <f t="shared" ca="1" si="95"/>
        <v>#NAME?</v>
      </c>
      <c r="FP123" s="192" t="e">
        <f t="shared" ca="1" si="96"/>
        <v>#NAME?</v>
      </c>
      <c r="FQ123" s="209" t="e">
        <f t="shared" ca="1" si="97"/>
        <v>#NAME?</v>
      </c>
      <c r="FR123" s="208" t="e">
        <f t="shared" ca="1" si="198"/>
        <v>#NAME?</v>
      </c>
      <c r="FS123" s="36" t="str">
        <f t="shared" si="99"/>
        <v>Pre-Revenue</v>
      </c>
      <c r="FT123" s="196">
        <f>COUNTIF($FS$2:$FS$92, FS123)/(COUNTIF($FS$2:$FS$92, "&lt;&gt;""") - COUNTIF($FZ$2:$FZ$92, ""))</f>
        <v>0.2</v>
      </c>
      <c r="FU123" s="207"/>
      <c r="FV123" s="192">
        <f t="shared" si="100"/>
        <v>3</v>
      </c>
      <c r="FW123" s="197" t="e">
        <f t="shared" ca="1" si="101"/>
        <v>#NAME?</v>
      </c>
      <c r="FX123" s="209" t="e">
        <f t="shared" ca="1" si="102"/>
        <v>#NAME?</v>
      </c>
      <c r="FY123" s="211" t="e">
        <f t="shared" ca="1" si="199"/>
        <v>#NAME?</v>
      </c>
      <c r="FZ123" s="36" t="str">
        <f t="shared" si="104"/>
        <v>Yes</v>
      </c>
      <c r="GA123" s="196">
        <f>COUNTIF($FZ$2:$FZ$92, FZ123)/(COUNTIF($FZ$2:$FZ$92, "&lt;&gt;""") - COUNTIF($FZ$2:$FZ$92, ""))</f>
        <v>0.23333333333333334</v>
      </c>
      <c r="GB123" s="196" t="str">
        <f t="shared" si="105"/>
        <v>High</v>
      </c>
      <c r="GC123" s="196">
        <f>COUNTIF($GB$2:$GB$92, GB123)/(COUNTIF($GB$2:$GB$92, "&lt;&gt;""") - COUNTIF($GB$2:$GB$92, ""))</f>
        <v>0.43333333333333335</v>
      </c>
      <c r="GD123" s="196" t="str">
        <f t="shared" si="106"/>
        <v>High</v>
      </c>
      <c r="GE123" s="196">
        <f>COUNTIF($GD$2:$GD$92, GD123)/(COUNTIF($GD$2:$GD$92, "&lt;&gt;""") - COUNTIF($GD$2:$GD$92, ""))</f>
        <v>0.8</v>
      </c>
      <c r="GF123" s="207"/>
      <c r="GG123" s="36"/>
      <c r="GH123" s="209" t="e">
        <f t="shared" ca="1" si="107"/>
        <v>#NAME?</v>
      </c>
      <c r="GI123" s="212" t="e">
        <f t="shared" ca="1" si="200"/>
        <v>#NAME?</v>
      </c>
    </row>
    <row r="124" spans="1:191" ht="15.75" customHeight="1">
      <c r="A124" s="171"/>
      <c r="B124" s="171" t="s">
        <v>355</v>
      </c>
      <c r="C124" s="16">
        <v>1769670</v>
      </c>
      <c r="D124" s="233" t="s">
        <v>1226</v>
      </c>
      <c r="E124" s="234">
        <v>43531.791666666664</v>
      </c>
      <c r="F124" s="16" t="s">
        <v>337</v>
      </c>
      <c r="G124" s="235" t="s">
        <v>1227</v>
      </c>
      <c r="H124" s="235" t="s">
        <v>1228</v>
      </c>
      <c r="I124" s="241">
        <v>43893</v>
      </c>
      <c r="J124" s="233" t="s">
        <v>1229</v>
      </c>
      <c r="K124" s="233" t="s">
        <v>1226</v>
      </c>
      <c r="M124" s="231" t="s">
        <v>286</v>
      </c>
      <c r="N124" s="16" t="s">
        <v>168</v>
      </c>
      <c r="O124" s="16" t="s">
        <v>30</v>
      </c>
      <c r="P124" s="16" t="s">
        <v>174</v>
      </c>
      <c r="Q124" s="16" t="s">
        <v>35</v>
      </c>
      <c r="S124" s="16" t="s">
        <v>280</v>
      </c>
      <c r="T124" s="237"/>
      <c r="U124" s="213"/>
      <c r="V124" s="54">
        <v>1250000</v>
      </c>
      <c r="W124" s="54"/>
      <c r="X124" s="252"/>
      <c r="Y124" s="55" t="str">
        <f t="shared" si="158"/>
        <v/>
      </c>
      <c r="Z124" s="274">
        <f t="shared" si="159"/>
        <v>1250000</v>
      </c>
      <c r="AA124" s="183" t="e">
        <f t="shared" ca="1" si="160"/>
        <v>#NAME?</v>
      </c>
      <c r="AB124" s="16" t="s">
        <v>178</v>
      </c>
      <c r="AC124" s="16" t="s">
        <v>37</v>
      </c>
      <c r="AD124" s="16" t="s">
        <v>38</v>
      </c>
      <c r="AE124" s="16" t="s">
        <v>190</v>
      </c>
      <c r="AF124" s="16" t="s">
        <v>39</v>
      </c>
      <c r="AG124" s="16" t="s">
        <v>39</v>
      </c>
      <c r="AH124" s="16" t="s">
        <v>190</v>
      </c>
      <c r="AI124" s="54"/>
      <c r="AJ124" s="278">
        <v>5800000000000</v>
      </c>
      <c r="AK124" s="224" t="e">
        <f t="shared" ca="1" si="161"/>
        <v>#NAME?</v>
      </c>
      <c r="AL124" s="278">
        <v>50000000</v>
      </c>
      <c r="AM124" s="224" t="e">
        <f t="shared" ca="1" si="162"/>
        <v>#NAME?</v>
      </c>
      <c r="AN124" s="278">
        <v>0.08</v>
      </c>
      <c r="AO124" s="185" t="e">
        <f t="shared" ca="1" si="63"/>
        <v>#NAME?</v>
      </c>
      <c r="AP124" s="185" t="s">
        <v>228</v>
      </c>
      <c r="AQ124" s="16" t="s">
        <v>39</v>
      </c>
      <c r="AR124" s="16" t="s">
        <v>181</v>
      </c>
      <c r="AS124" s="16" t="s">
        <v>42</v>
      </c>
      <c r="AT124" s="159" t="s">
        <v>181</v>
      </c>
      <c r="AU124" s="159" t="s">
        <v>181</v>
      </c>
      <c r="AV124" s="16" t="s">
        <v>190</v>
      </c>
      <c r="AW124" s="16" t="s">
        <v>190</v>
      </c>
      <c r="AX124" s="16" t="s">
        <v>190</v>
      </c>
      <c r="AY124" s="16" t="s">
        <v>190</v>
      </c>
      <c r="AZ124" s="54">
        <v>0</v>
      </c>
      <c r="BA124" s="55" t="e">
        <f t="shared" ca="1" si="163"/>
        <v>#NAME?</v>
      </c>
      <c r="BB124" s="278"/>
      <c r="BC124" s="278">
        <v>0</v>
      </c>
      <c r="BD124" s="62" t="e">
        <f t="shared" ca="1" si="164"/>
        <v>#NAME?</v>
      </c>
      <c r="BE124" s="277">
        <f t="shared" si="165"/>
        <v>1</v>
      </c>
      <c r="BF124" s="62" t="e">
        <f t="shared" ca="1" si="166"/>
        <v>#NAME?</v>
      </c>
      <c r="BG124" s="16" t="s">
        <v>202</v>
      </c>
      <c r="BI124" s="16" t="s">
        <v>190</v>
      </c>
      <c r="BJ124" s="16">
        <v>0</v>
      </c>
      <c r="BK124" s="278">
        <v>2</v>
      </c>
      <c r="BL124" s="16" t="s">
        <v>190</v>
      </c>
      <c r="BM124" s="16" t="s">
        <v>227</v>
      </c>
      <c r="BN124" s="16" t="s">
        <v>190</v>
      </c>
      <c r="BO124" s="16" t="s">
        <v>190</v>
      </c>
      <c r="BP124" s="16">
        <v>2</v>
      </c>
      <c r="BQ124" s="16">
        <v>13</v>
      </c>
      <c r="BR124" s="16">
        <v>1</v>
      </c>
      <c r="BS124" s="16">
        <v>0</v>
      </c>
      <c r="BT124" s="205"/>
      <c r="BU124" s="16">
        <v>15</v>
      </c>
      <c r="BV124" s="16">
        <v>1</v>
      </c>
      <c r="BW124" s="16">
        <v>40</v>
      </c>
      <c r="BX124" s="16" t="s">
        <v>190</v>
      </c>
      <c r="BY124" s="205"/>
      <c r="BZ124" s="16">
        <v>10</v>
      </c>
      <c r="CA124" s="16">
        <v>0</v>
      </c>
      <c r="CB124" s="16">
        <v>36</v>
      </c>
      <c r="CC124" s="16" t="s">
        <v>190</v>
      </c>
      <c r="CD124" s="205"/>
      <c r="CI124" s="205"/>
      <c r="CN124" s="205"/>
      <c r="CS124" s="205"/>
      <c r="CX124" s="205"/>
      <c r="DC124" s="205"/>
      <c r="DH124" s="205"/>
      <c r="DM124" s="205"/>
      <c r="DN124" s="205"/>
      <c r="DO124" s="205"/>
      <c r="DQ124" s="206"/>
      <c r="DR124" s="188">
        <f t="shared" si="64"/>
        <v>12.5</v>
      </c>
      <c r="DS124" s="188"/>
      <c r="DT124" s="189">
        <f t="shared" si="65"/>
        <v>1</v>
      </c>
      <c r="DU124" s="189"/>
      <c r="DV124" s="188">
        <f t="shared" si="66"/>
        <v>38</v>
      </c>
      <c r="DW124" s="183" t="e">
        <f t="shared" ca="1" si="67"/>
        <v>#NAME?</v>
      </c>
      <c r="DX124" s="207"/>
      <c r="DY124" s="190" t="e">
        <f t="shared" ca="1" si="68"/>
        <v>#NAME?</v>
      </c>
      <c r="DZ124" s="191" t="str">
        <f t="shared" si="190"/>
        <v/>
      </c>
      <c r="EA124" s="191" t="str">
        <f t="shared" si="191"/>
        <v/>
      </c>
      <c r="EB124" s="191" t="str">
        <f t="shared" si="192"/>
        <v/>
      </c>
      <c r="EC124" s="208" t="e">
        <f t="shared" ca="1" si="72"/>
        <v>#NAME?</v>
      </c>
      <c r="ED124" s="36" t="str">
        <f t="shared" si="73"/>
        <v>Equity - Tokens</v>
      </c>
      <c r="EE124" s="193">
        <f>COUNTIF($ED$2:$ED$92, ED124)/(COUNTIF($ED$2:$ED$92, "&lt;&gt;""") - COUNTIF($ED$2:$ED$92, ""))</f>
        <v>0</v>
      </c>
      <c r="EF124" s="36" t="str">
        <f t="shared" si="74"/>
        <v>Early</v>
      </c>
      <c r="EG124" s="207"/>
      <c r="EH124" s="194" t="e">
        <f t="shared" ca="1" si="75"/>
        <v>#NAME?</v>
      </c>
      <c r="EI124" s="194" t="e">
        <f t="shared" ca="1" si="76"/>
        <v>#NAME?</v>
      </c>
      <c r="EJ124" s="209" t="e">
        <f t="shared" ca="1" si="77"/>
        <v>#NAME?</v>
      </c>
      <c r="EK124" s="208" t="e">
        <f t="shared" ca="1" si="193"/>
        <v>#NAME?</v>
      </c>
      <c r="EL124" s="36" t="str">
        <f t="shared" si="79"/>
        <v>No</v>
      </c>
      <c r="EM124" s="207"/>
      <c r="EN124" s="192">
        <f t="shared" si="194"/>
        <v>2.1904761904761907</v>
      </c>
      <c r="EO124" s="192">
        <f t="shared" si="195"/>
        <v>2</v>
      </c>
      <c r="EP124" s="209">
        <f t="shared" si="82"/>
        <v>4.1904761904761907</v>
      </c>
      <c r="EQ124" s="210">
        <f t="shared" si="196"/>
        <v>2.7196261682242993</v>
      </c>
      <c r="ER124" s="36" t="e">
        <f t="shared" ca="1" si="84"/>
        <v>#NAME?</v>
      </c>
      <c r="ES124" s="40">
        <f ca="1">COUNTIF($ER$2:$ER$92, ER124)/(COUNTIF($ER$2:$ER$92, "&lt;&gt;""") - COUNTIF($ER$2:$ER$92, ""))</f>
        <v>1</v>
      </c>
      <c r="ET124" s="36">
        <f t="shared" si="85"/>
        <v>2</v>
      </c>
      <c r="EU124" s="40">
        <f>COUNTIF($ET$2:$ET$92, ET124)/(COUNTIF($ET$2:$ET$92, "&lt;&gt;""") - COUNTIF($ET$2:$ET$92, ""))</f>
        <v>0.45555555555555555</v>
      </c>
      <c r="EV124" s="36">
        <f t="shared" si="86"/>
        <v>13</v>
      </c>
      <c r="EW124" s="40">
        <f>COUNTIF($EV$2:$EV$92, EV124)/(COUNTIF($EV$2:$EV$92, "&lt;&gt;""") - COUNTIF($EV$2:$EV$92, ""))</f>
        <v>2.2222222222222223E-2</v>
      </c>
      <c r="EX124" s="36" t="str">
        <f t="shared" si="87"/>
        <v>No</v>
      </c>
      <c r="EY124" s="40">
        <f>COUNTIF($EX$2:$EX$92, EX124)/(COUNTIF($EX$2:$EX$92, "&lt;&gt;""") - COUNTIF($EX$2:$EX$92, ""))</f>
        <v>0.72222222222222221</v>
      </c>
      <c r="EZ124" s="36" t="str">
        <f t="shared" ref="EZ124:FB124" si="247">BM124</f>
        <v>Yes</v>
      </c>
      <c r="FA124" s="36" t="str">
        <f t="shared" si="247"/>
        <v>No</v>
      </c>
      <c r="FB124" s="36" t="str">
        <f t="shared" si="247"/>
        <v>No</v>
      </c>
      <c r="FC124" s="207"/>
      <c r="FD124" s="36" t="str">
        <f t="shared" si="89"/>
        <v>Recurring</v>
      </c>
      <c r="FE124" s="40">
        <f>COUNTIF($FD$2:$FD$92, FD124)/(COUNTIF($FD$2:$FD$92, "&lt;&gt;""") - COUNTIF($FD$2:$FD$92, ""))</f>
        <v>0.4</v>
      </c>
      <c r="FF124" s="36" t="str">
        <f t="shared" si="90"/>
        <v>B2B</v>
      </c>
      <c r="FG124" s="40">
        <f>COUNTIF($FF$2:$FF$92, FF124)/(COUNTIF($FF$2:$FF$92, "&lt;&gt;""") - COUNTIF($FF$2:$FF$92, ""))</f>
        <v>0.24444444444444444</v>
      </c>
      <c r="FH124" s="36" t="str">
        <f t="shared" si="91"/>
        <v>High</v>
      </c>
      <c r="FI124" s="40">
        <f>COUNTIF($FH$2:$FH$92, FH124)/(COUNTIF($FH$2:$FH$92, "&lt;&gt;""") - COUNTIF($FH$2:$FH$92, ""))</f>
        <v>0.53333333333333333</v>
      </c>
      <c r="FJ124" s="36" t="str">
        <f t="shared" si="92"/>
        <v>High</v>
      </c>
      <c r="FK124" s="40">
        <f>COUNTIF($FJ$2:$FJ$92, FJ124)/(COUNTIF($FJ$2:$FJ$92, "&lt;&gt;""") - COUNTIF($FJ$2:$FJ$92, ""))</f>
        <v>0.58888888888888891</v>
      </c>
      <c r="FL124" s="207"/>
      <c r="FM124" s="192">
        <f t="shared" si="93"/>
        <v>1</v>
      </c>
      <c r="FN124" s="192" t="e">
        <f t="shared" ca="1" si="94"/>
        <v>#NAME?</v>
      </c>
      <c r="FO124" s="192" t="e">
        <f t="shared" ca="1" si="95"/>
        <v>#NAME?</v>
      </c>
      <c r="FP124" s="192" t="e">
        <f t="shared" ca="1" si="96"/>
        <v>#NAME?</v>
      </c>
      <c r="FQ124" s="209" t="e">
        <f t="shared" ca="1" si="97"/>
        <v>#NAME?</v>
      </c>
      <c r="FR124" s="208" t="e">
        <f t="shared" ca="1" si="198"/>
        <v>#NAME?</v>
      </c>
      <c r="FS124" s="36" t="str">
        <f t="shared" si="99"/>
        <v>Pre-Profit</v>
      </c>
      <c r="FT124" s="196">
        <f>COUNTIF($FS$2:$FS$92, FS124)/(COUNTIF($FS$2:$FS$92, "&lt;&gt;""") - COUNTIF($FZ$2:$FZ$92, ""))</f>
        <v>0.51111111111111107</v>
      </c>
      <c r="FU124" s="207"/>
      <c r="FV124" s="192">
        <f t="shared" si="100"/>
        <v>3</v>
      </c>
      <c r="FW124" s="197" t="e">
        <f t="shared" ca="1" si="101"/>
        <v>#NAME?</v>
      </c>
      <c r="FX124" s="209" t="e">
        <f t="shared" ca="1" si="102"/>
        <v>#NAME?</v>
      </c>
      <c r="FY124" s="211" t="e">
        <f t="shared" ca="1" si="199"/>
        <v>#NAME?</v>
      </c>
      <c r="FZ124" s="36" t="str">
        <f t="shared" si="104"/>
        <v>No</v>
      </c>
      <c r="GA124" s="196">
        <f>COUNTIF($FZ$2:$FZ$92, FZ124)/(COUNTIF($FZ$2:$FZ$92, "&lt;&gt;""") - COUNTIF($FZ$2:$FZ$92, ""))</f>
        <v>0.76666666666666672</v>
      </c>
      <c r="GB124" s="196" t="str">
        <f t="shared" si="105"/>
        <v>Low</v>
      </c>
      <c r="GC124" s="196">
        <f>COUNTIF($GB$2:$GB$92, GB124)/(COUNTIF($GB$2:$GB$92, "&lt;&gt;""") - COUNTIF($GB$2:$GB$92, ""))</f>
        <v>0.55555555555555558</v>
      </c>
      <c r="GD124" s="196" t="str">
        <f t="shared" si="106"/>
        <v>Low</v>
      </c>
      <c r="GE124" s="196">
        <f>COUNTIF($GD$2:$GD$92, GD124)/(COUNTIF($GD$2:$GD$92, "&lt;&gt;""") - COUNTIF($GD$2:$GD$92, ""))</f>
        <v>0.18888888888888888</v>
      </c>
      <c r="GF124" s="207"/>
      <c r="GG124" s="36"/>
      <c r="GH124" s="209" t="e">
        <f t="shared" ca="1" si="107"/>
        <v>#NAME?</v>
      </c>
      <c r="GI124" s="212" t="e">
        <f t="shared" ca="1" si="200"/>
        <v>#NAME?</v>
      </c>
    </row>
    <row r="125" spans="1:191" ht="15.75" customHeight="1">
      <c r="A125" s="174"/>
      <c r="B125" s="174" t="s">
        <v>355</v>
      </c>
      <c r="C125" s="16">
        <v>1767862</v>
      </c>
      <c r="D125" s="233" t="s">
        <v>1230</v>
      </c>
      <c r="E125" s="234">
        <v>43544.54791666667</v>
      </c>
      <c r="F125" s="16" t="s">
        <v>337</v>
      </c>
      <c r="G125" s="235" t="s">
        <v>1231</v>
      </c>
      <c r="H125" s="235" t="s">
        <v>1232</v>
      </c>
      <c r="I125" s="241">
        <v>43872</v>
      </c>
      <c r="J125" s="233" t="s">
        <v>1233</v>
      </c>
      <c r="K125" s="233" t="s">
        <v>1230</v>
      </c>
      <c r="M125" s="16" t="s">
        <v>1234</v>
      </c>
      <c r="N125" s="16" t="s">
        <v>172</v>
      </c>
      <c r="O125" s="16" t="s">
        <v>30</v>
      </c>
      <c r="P125" s="16" t="s">
        <v>31</v>
      </c>
      <c r="Q125" s="16" t="s">
        <v>35</v>
      </c>
      <c r="S125" s="16" t="s">
        <v>176</v>
      </c>
      <c r="T125" s="237"/>
      <c r="U125" s="213"/>
      <c r="V125" s="54"/>
      <c r="W125" s="54">
        <v>30000000</v>
      </c>
      <c r="X125" s="226">
        <v>0.2</v>
      </c>
      <c r="Y125" s="55">
        <f t="shared" si="158"/>
        <v>24000000</v>
      </c>
      <c r="Z125" s="274">
        <f t="shared" si="159"/>
        <v>24000000</v>
      </c>
      <c r="AA125" s="183" t="e">
        <f t="shared" ca="1" si="160"/>
        <v>#NAME?</v>
      </c>
      <c r="AB125" s="16" t="s">
        <v>36</v>
      </c>
      <c r="AC125" s="16" t="s">
        <v>218</v>
      </c>
      <c r="AD125" s="16" t="s">
        <v>38</v>
      </c>
      <c r="AE125" s="16" t="s">
        <v>190</v>
      </c>
      <c r="AF125" s="16" t="s">
        <v>39</v>
      </c>
      <c r="AG125" s="16" t="s">
        <v>39</v>
      </c>
      <c r="AH125" s="16" t="s">
        <v>190</v>
      </c>
      <c r="AI125" s="54"/>
      <c r="AJ125" s="278">
        <v>35000000000</v>
      </c>
      <c r="AK125" s="224" t="e">
        <f t="shared" ca="1" si="161"/>
        <v>#NAME?</v>
      </c>
      <c r="AL125" s="278">
        <v>4000000000</v>
      </c>
      <c r="AM125" s="224" t="e">
        <f t="shared" ca="1" si="162"/>
        <v>#NAME?</v>
      </c>
      <c r="AN125" s="278">
        <v>0.1</v>
      </c>
      <c r="AO125" s="185" t="e">
        <f t="shared" ca="1" si="63"/>
        <v>#NAME?</v>
      </c>
      <c r="AP125" s="185" t="s">
        <v>192</v>
      </c>
      <c r="AQ125" s="16" t="s">
        <v>39</v>
      </c>
      <c r="AR125" s="16" t="s">
        <v>181</v>
      </c>
      <c r="AS125" s="16" t="s">
        <v>182</v>
      </c>
      <c r="AT125" s="159" t="s">
        <v>181</v>
      </c>
      <c r="AU125" s="159" t="s">
        <v>181</v>
      </c>
      <c r="AV125" s="16" t="s">
        <v>190</v>
      </c>
      <c r="AW125" s="16" t="s">
        <v>190</v>
      </c>
      <c r="AX125" s="16" t="s">
        <v>190</v>
      </c>
      <c r="AY125" s="16" t="s">
        <v>227</v>
      </c>
      <c r="AZ125" s="54">
        <v>68</v>
      </c>
      <c r="BA125" s="55" t="e">
        <f t="shared" ca="1" si="163"/>
        <v>#NAME?</v>
      </c>
      <c r="BB125" s="278">
        <v>3660</v>
      </c>
      <c r="BC125" s="278">
        <v>0</v>
      </c>
      <c r="BD125" s="62" t="e">
        <f t="shared" ca="1" si="164"/>
        <v>#NAME?</v>
      </c>
      <c r="BE125" s="277">
        <f t="shared" si="165"/>
        <v>1</v>
      </c>
      <c r="BF125" s="62" t="e">
        <f t="shared" ca="1" si="166"/>
        <v>#NAME?</v>
      </c>
      <c r="BG125" s="16" t="s">
        <v>202</v>
      </c>
      <c r="BI125" s="16" t="s">
        <v>227</v>
      </c>
      <c r="BJ125" s="16">
        <v>1</v>
      </c>
      <c r="BK125" s="278">
        <v>2</v>
      </c>
      <c r="BL125" s="16" t="s">
        <v>190</v>
      </c>
      <c r="BM125" s="16" t="s">
        <v>227</v>
      </c>
      <c r="BN125" s="16" t="s">
        <v>227</v>
      </c>
      <c r="BO125" s="16" t="s">
        <v>190</v>
      </c>
      <c r="BP125" s="16">
        <v>1</v>
      </c>
      <c r="BQ125" s="16">
        <v>2</v>
      </c>
      <c r="BR125" s="16">
        <v>3</v>
      </c>
      <c r="BS125" s="16">
        <v>0</v>
      </c>
      <c r="BT125" s="205"/>
      <c r="BU125" s="16">
        <v>15</v>
      </c>
      <c r="BV125" s="16">
        <v>0</v>
      </c>
      <c r="BW125" s="16">
        <v>40</v>
      </c>
      <c r="BX125" s="16" t="s">
        <v>190</v>
      </c>
      <c r="BY125" s="205"/>
      <c r="BZ125" s="16">
        <v>15</v>
      </c>
      <c r="CA125" s="16">
        <v>0</v>
      </c>
      <c r="CB125" s="16">
        <v>39</v>
      </c>
      <c r="CC125" s="16" t="s">
        <v>190</v>
      </c>
      <c r="CD125" s="205"/>
      <c r="CI125" s="205"/>
      <c r="CN125" s="205"/>
      <c r="CS125" s="205"/>
      <c r="CX125" s="205"/>
      <c r="DC125" s="205"/>
      <c r="DH125" s="205"/>
      <c r="DM125" s="205"/>
      <c r="DN125" s="205"/>
      <c r="DO125" s="205"/>
      <c r="DQ125" s="206"/>
      <c r="DR125" s="188">
        <f t="shared" si="64"/>
        <v>15</v>
      </c>
      <c r="DS125" s="188"/>
      <c r="DT125" s="189">
        <f t="shared" si="65"/>
        <v>0</v>
      </c>
      <c r="DU125" s="189"/>
      <c r="DV125" s="188">
        <f t="shared" si="66"/>
        <v>39.5</v>
      </c>
      <c r="DW125" s="183" t="e">
        <f t="shared" ca="1" si="67"/>
        <v>#NAME?</v>
      </c>
      <c r="DX125" s="207"/>
      <c r="DY125" s="190" t="e">
        <f t="shared" ca="1" si="68"/>
        <v>#NAME?</v>
      </c>
      <c r="DZ125" s="191">
        <f t="shared" si="190"/>
        <v>3.1052631578947367</v>
      </c>
      <c r="EA125" s="191" t="str">
        <f t="shared" si="191"/>
        <v/>
      </c>
      <c r="EB125" s="191" t="str">
        <f t="shared" si="192"/>
        <v/>
      </c>
      <c r="EC125" s="208" t="e">
        <f t="shared" ca="1" si="72"/>
        <v>#NAME?</v>
      </c>
      <c r="ED125" s="36" t="str">
        <f t="shared" si="73"/>
        <v>Convertible Note</v>
      </c>
      <c r="EE125" s="193">
        <f>COUNTIF($ED$2:$ED$92, ED125)/(COUNTIF($ED$2:$ED$92, "&lt;&gt;""") - COUNTIF($ED$2:$ED$92, ""))</f>
        <v>0.13333333333333333</v>
      </c>
      <c r="EF125" s="36" t="str">
        <f t="shared" si="74"/>
        <v>Early</v>
      </c>
      <c r="EG125" s="207"/>
      <c r="EH125" s="194" t="e">
        <f t="shared" ca="1" si="75"/>
        <v>#NAME?</v>
      </c>
      <c r="EI125" s="194" t="e">
        <f t="shared" ca="1" si="76"/>
        <v>#NAME?</v>
      </c>
      <c r="EJ125" s="209" t="e">
        <f t="shared" ca="1" si="77"/>
        <v>#NAME?</v>
      </c>
      <c r="EK125" s="208" t="e">
        <f t="shared" ca="1" si="193"/>
        <v>#NAME?</v>
      </c>
      <c r="EL125" s="36" t="str">
        <f t="shared" si="79"/>
        <v>No</v>
      </c>
      <c r="EM125" s="207"/>
      <c r="EN125" s="192">
        <f t="shared" si="194"/>
        <v>2.4285714285714288</v>
      </c>
      <c r="EO125" s="192">
        <f t="shared" si="195"/>
        <v>1</v>
      </c>
      <c r="EP125" s="209">
        <f t="shared" si="82"/>
        <v>3.4285714285714288</v>
      </c>
      <c r="EQ125" s="210">
        <f t="shared" si="196"/>
        <v>2.1214953271028039</v>
      </c>
      <c r="ER125" s="36" t="e">
        <f t="shared" ca="1" si="84"/>
        <v>#NAME?</v>
      </c>
      <c r="ES125" s="40">
        <f ca="1">COUNTIF($ER$2:$ER$92, ER125)/(COUNTIF($ER$2:$ER$92, "&lt;&gt;""") - COUNTIF($ER$2:$ER$92, ""))</f>
        <v>1</v>
      </c>
      <c r="ET125" s="36">
        <f t="shared" si="85"/>
        <v>2</v>
      </c>
      <c r="EU125" s="40">
        <f>COUNTIF($ET$2:$ET$92, ET125)/(COUNTIF($ET$2:$ET$92, "&lt;&gt;""") - COUNTIF($ET$2:$ET$92, ""))</f>
        <v>0.45555555555555555</v>
      </c>
      <c r="EV125" s="36">
        <f t="shared" si="86"/>
        <v>2</v>
      </c>
      <c r="EW125" s="40">
        <f>COUNTIF($EV$2:$EV$92, EV125)/(COUNTIF($EV$2:$EV$92, "&lt;&gt;""") - COUNTIF($EV$2:$EV$92, ""))</f>
        <v>0.15555555555555556</v>
      </c>
      <c r="EX125" s="36" t="str">
        <f t="shared" si="87"/>
        <v>No</v>
      </c>
      <c r="EY125" s="40">
        <f>COUNTIF($EX$2:$EX$92, EX125)/(COUNTIF($EX$2:$EX$92, "&lt;&gt;""") - COUNTIF($EX$2:$EX$92, ""))</f>
        <v>0.72222222222222221</v>
      </c>
      <c r="EZ125" s="36" t="str">
        <f t="shared" ref="EZ125:FB125" si="248">BM125</f>
        <v>Yes</v>
      </c>
      <c r="FA125" s="36" t="str">
        <f t="shared" si="248"/>
        <v>Yes</v>
      </c>
      <c r="FB125" s="36" t="str">
        <f t="shared" si="248"/>
        <v>No</v>
      </c>
      <c r="FC125" s="207"/>
      <c r="FD125" s="36" t="str">
        <f t="shared" si="89"/>
        <v>Transactional</v>
      </c>
      <c r="FE125" s="40">
        <f>COUNTIF($FD$2:$FD$92, FD125)/(COUNTIF($FD$2:$FD$92, "&lt;&gt;""") - COUNTIF($FD$2:$FD$92, ""))</f>
        <v>0.6</v>
      </c>
      <c r="FF125" s="36" t="str">
        <f t="shared" si="90"/>
        <v>B2B/B2C</v>
      </c>
      <c r="FG125" s="40">
        <f>COUNTIF($FF$2:$FF$92, FF125)/(COUNTIF($FF$2:$FF$92, "&lt;&gt;""") - COUNTIF($FF$2:$FF$92, ""))</f>
        <v>0.27777777777777779</v>
      </c>
      <c r="FH125" s="36" t="str">
        <f t="shared" si="91"/>
        <v>High</v>
      </c>
      <c r="FI125" s="40">
        <f>COUNTIF($FH$2:$FH$92, FH125)/(COUNTIF($FH$2:$FH$92, "&lt;&gt;""") - COUNTIF($FH$2:$FH$92, ""))</f>
        <v>0.53333333333333333</v>
      </c>
      <c r="FJ125" s="36" t="str">
        <f t="shared" si="92"/>
        <v>High</v>
      </c>
      <c r="FK125" s="40">
        <f>COUNTIF($FJ$2:$FJ$92, FJ125)/(COUNTIF($FJ$2:$FJ$92, "&lt;&gt;""") - COUNTIF($FJ$2:$FJ$92, ""))</f>
        <v>0.58888888888888891</v>
      </c>
      <c r="FL125" s="207"/>
      <c r="FM125" s="192">
        <f t="shared" si="93"/>
        <v>5</v>
      </c>
      <c r="FN125" s="192" t="e">
        <f t="shared" ca="1" si="94"/>
        <v>#NAME?</v>
      </c>
      <c r="FO125" s="192" t="e">
        <f t="shared" ca="1" si="95"/>
        <v>#NAME?</v>
      </c>
      <c r="FP125" s="192" t="e">
        <f t="shared" ca="1" si="96"/>
        <v>#NAME?</v>
      </c>
      <c r="FQ125" s="209" t="e">
        <f t="shared" ca="1" si="97"/>
        <v>#NAME?</v>
      </c>
      <c r="FR125" s="208" t="e">
        <f t="shared" ca="1" si="198"/>
        <v>#NAME?</v>
      </c>
      <c r="FS125" s="36" t="str">
        <f t="shared" si="99"/>
        <v>Pre-Profit</v>
      </c>
      <c r="FT125" s="196">
        <f>COUNTIF($FS$2:$FS$92, FS125)/(COUNTIF($FS$2:$FS$92, "&lt;&gt;""") - COUNTIF($FZ$2:$FZ$92, ""))</f>
        <v>0.51111111111111107</v>
      </c>
      <c r="FU125" s="207"/>
      <c r="FV125" s="192">
        <f t="shared" si="100"/>
        <v>3</v>
      </c>
      <c r="FW125" s="197" t="e">
        <f t="shared" ca="1" si="101"/>
        <v>#NAME?</v>
      </c>
      <c r="FX125" s="209" t="e">
        <f t="shared" ca="1" si="102"/>
        <v>#NAME?</v>
      </c>
      <c r="FY125" s="211" t="e">
        <f t="shared" ca="1" si="199"/>
        <v>#NAME?</v>
      </c>
      <c r="FZ125" s="36" t="str">
        <f t="shared" si="104"/>
        <v>No</v>
      </c>
      <c r="GA125" s="196">
        <f>COUNTIF($FZ$2:$FZ$92, FZ125)/(COUNTIF($FZ$2:$FZ$92, "&lt;&gt;""") - COUNTIF($FZ$2:$FZ$92, ""))</f>
        <v>0.76666666666666672</v>
      </c>
      <c r="GB125" s="196" t="str">
        <f t="shared" si="105"/>
        <v>Low</v>
      </c>
      <c r="GC125" s="196">
        <f>COUNTIF($GB$2:$GB$92, GB125)/(COUNTIF($GB$2:$GB$92, "&lt;&gt;""") - COUNTIF($GB$2:$GB$92, ""))</f>
        <v>0.55555555555555558</v>
      </c>
      <c r="GD125" s="196" t="str">
        <f t="shared" si="106"/>
        <v>Low</v>
      </c>
      <c r="GE125" s="196">
        <f>COUNTIF($GD$2:$GD$92, GD125)/(COUNTIF($GD$2:$GD$92, "&lt;&gt;""") - COUNTIF($GD$2:$GD$92, ""))</f>
        <v>0.18888888888888888</v>
      </c>
      <c r="GF125" s="207"/>
      <c r="GG125" s="36"/>
      <c r="GH125" s="209" t="e">
        <f t="shared" ca="1" si="107"/>
        <v>#NAME?</v>
      </c>
      <c r="GI125" s="212" t="e">
        <f t="shared" ca="1" si="200"/>
        <v>#NAME?</v>
      </c>
    </row>
    <row r="126" spans="1:191" ht="15.75" customHeight="1">
      <c r="A126" s="174"/>
      <c r="B126" s="174" t="s">
        <v>355</v>
      </c>
      <c r="C126" s="16">
        <v>1771429</v>
      </c>
      <c r="D126" s="233" t="s">
        <v>1235</v>
      </c>
      <c r="E126" s="234">
        <v>43550.561805555553</v>
      </c>
      <c r="F126" s="16" t="s">
        <v>344</v>
      </c>
      <c r="G126" s="235" t="s">
        <v>1236</v>
      </c>
      <c r="H126" s="235" t="s">
        <v>1237</v>
      </c>
      <c r="I126" s="241">
        <v>43546</v>
      </c>
      <c r="J126" s="233" t="s">
        <v>1238</v>
      </c>
      <c r="K126" s="233" t="s">
        <v>1235</v>
      </c>
      <c r="M126" s="16" t="s">
        <v>1239</v>
      </c>
      <c r="N126" s="16" t="s">
        <v>294</v>
      </c>
      <c r="O126" s="16" t="s">
        <v>30</v>
      </c>
      <c r="P126" s="16" t="s">
        <v>31</v>
      </c>
      <c r="Q126" s="16" t="s">
        <v>35</v>
      </c>
      <c r="S126" s="16" t="s">
        <v>232</v>
      </c>
      <c r="T126" s="237"/>
      <c r="U126" s="213"/>
      <c r="V126" s="54">
        <v>10000000</v>
      </c>
      <c r="W126" s="54"/>
      <c r="X126" s="226"/>
      <c r="Y126" s="55" t="str">
        <f t="shared" si="158"/>
        <v/>
      </c>
      <c r="Z126" s="274">
        <f t="shared" si="159"/>
        <v>10000000</v>
      </c>
      <c r="AA126" s="183" t="e">
        <f t="shared" ca="1" si="160"/>
        <v>#NAME?</v>
      </c>
      <c r="AB126" s="16" t="s">
        <v>36</v>
      </c>
      <c r="AC126" s="16" t="s">
        <v>179</v>
      </c>
      <c r="AD126" s="16" t="s">
        <v>180</v>
      </c>
      <c r="AE126" s="16" t="s">
        <v>190</v>
      </c>
      <c r="AF126" s="16" t="s">
        <v>181</v>
      </c>
      <c r="AG126" s="16" t="s">
        <v>39</v>
      </c>
      <c r="AH126" s="16" t="s">
        <v>190</v>
      </c>
      <c r="AI126" s="54"/>
      <c r="AJ126" s="278">
        <v>10000000000</v>
      </c>
      <c r="AK126" s="224" t="e">
        <f t="shared" ca="1" si="161"/>
        <v>#NAME?</v>
      </c>
      <c r="AL126" s="278">
        <v>2000000000</v>
      </c>
      <c r="AM126" s="224" t="e">
        <f t="shared" ca="1" si="162"/>
        <v>#NAME?</v>
      </c>
      <c r="AN126" s="278">
        <v>0.15</v>
      </c>
      <c r="AO126" s="185" t="e">
        <f t="shared" ca="1" si="63"/>
        <v>#NAME?</v>
      </c>
      <c r="AP126" s="185" t="s">
        <v>211</v>
      </c>
      <c r="AQ126" s="16" t="s">
        <v>181</v>
      </c>
      <c r="AR126" s="16" t="s">
        <v>181</v>
      </c>
      <c r="AS126" s="16" t="s">
        <v>42</v>
      </c>
      <c r="AT126" s="159" t="s">
        <v>181</v>
      </c>
      <c r="AU126" s="159" t="s">
        <v>39</v>
      </c>
      <c r="AV126" s="16" t="s">
        <v>190</v>
      </c>
      <c r="AW126" s="16" t="s">
        <v>190</v>
      </c>
      <c r="AX126" s="16" t="s">
        <v>227</v>
      </c>
      <c r="AY126" s="16" t="s">
        <v>227</v>
      </c>
      <c r="AZ126" s="54">
        <v>1943802</v>
      </c>
      <c r="BA126" s="55" t="e">
        <f t="shared" ca="1" si="163"/>
        <v>#NAME?</v>
      </c>
      <c r="BB126" s="278">
        <v>74802</v>
      </c>
      <c r="BC126" s="278">
        <v>5674579</v>
      </c>
      <c r="BD126" s="62" t="e">
        <f t="shared" ca="1" si="164"/>
        <v>#NAME?</v>
      </c>
      <c r="BE126" s="277">
        <f t="shared" si="165"/>
        <v>1.3181947066029039E-2</v>
      </c>
      <c r="BF126" s="62" t="e">
        <f t="shared" ca="1" si="166"/>
        <v>#NAME?</v>
      </c>
      <c r="BG126" s="16" t="s">
        <v>202</v>
      </c>
      <c r="BI126" s="16" t="s">
        <v>190</v>
      </c>
      <c r="BJ126" s="16">
        <v>0</v>
      </c>
      <c r="BK126" s="278">
        <v>1</v>
      </c>
      <c r="BL126" s="16" t="s">
        <v>190</v>
      </c>
      <c r="BM126" s="16" t="s">
        <v>190</v>
      </c>
      <c r="BN126" s="16" t="s">
        <v>190</v>
      </c>
      <c r="BO126" s="16" t="s">
        <v>190</v>
      </c>
      <c r="BP126" s="16">
        <v>1</v>
      </c>
      <c r="BQ126" s="16">
        <v>8</v>
      </c>
      <c r="BR126" s="16">
        <v>0</v>
      </c>
      <c r="BS126" s="16">
        <v>0</v>
      </c>
      <c r="BT126" s="205"/>
      <c r="BU126" s="16">
        <v>30</v>
      </c>
      <c r="BV126" s="16">
        <v>2</v>
      </c>
      <c r="BW126" s="16">
        <v>60</v>
      </c>
      <c r="BX126" s="16" t="s">
        <v>190</v>
      </c>
      <c r="BY126" s="205"/>
      <c r="CD126" s="205"/>
      <c r="CI126" s="205"/>
      <c r="CN126" s="205"/>
      <c r="CS126" s="205"/>
      <c r="CX126" s="205"/>
      <c r="DC126" s="205"/>
      <c r="DH126" s="205"/>
      <c r="DM126" s="205"/>
      <c r="DN126" s="205"/>
      <c r="DO126" s="205"/>
      <c r="DQ126" s="206"/>
      <c r="DR126" s="188">
        <f t="shared" si="64"/>
        <v>30</v>
      </c>
      <c r="DS126" s="188"/>
      <c r="DT126" s="189">
        <f t="shared" si="65"/>
        <v>2</v>
      </c>
      <c r="DU126" s="189"/>
      <c r="DV126" s="188">
        <f t="shared" si="66"/>
        <v>60</v>
      </c>
      <c r="DW126" s="183" t="e">
        <f t="shared" ca="1" si="67"/>
        <v>#NAME?</v>
      </c>
      <c r="DX126" s="207"/>
      <c r="DY126" s="190" t="e">
        <f t="shared" ca="1" si="68"/>
        <v>#NAME?</v>
      </c>
      <c r="DZ126" s="191" t="str">
        <f t="shared" si="190"/>
        <v/>
      </c>
      <c r="EA126" s="191" t="str">
        <f t="shared" si="191"/>
        <v/>
      </c>
      <c r="EB126" s="191" t="str">
        <f t="shared" si="192"/>
        <v/>
      </c>
      <c r="EC126" s="208" t="e">
        <f t="shared" ca="1" si="72"/>
        <v>#NAME?</v>
      </c>
      <c r="ED126" s="36" t="str">
        <f t="shared" si="73"/>
        <v>Equity - Preferred</v>
      </c>
      <c r="EE126" s="193">
        <f>COUNTIF($ED$2:$ED$92, ED126)/(COUNTIF($ED$2:$ED$92, "&lt;&gt;""") - COUNTIF($ED$2:$ED$92, ""))</f>
        <v>6.6666666666666666E-2</v>
      </c>
      <c r="EF126" s="36" t="str">
        <f t="shared" si="74"/>
        <v>Early</v>
      </c>
      <c r="EG126" s="207"/>
      <c r="EH126" s="194" t="e">
        <f t="shared" ca="1" si="75"/>
        <v>#NAME?</v>
      </c>
      <c r="EI126" s="194" t="e">
        <f t="shared" ca="1" si="76"/>
        <v>#NAME?</v>
      </c>
      <c r="EJ126" s="209" t="e">
        <f t="shared" ca="1" si="77"/>
        <v>#NAME?</v>
      </c>
      <c r="EK126" s="208" t="e">
        <f t="shared" ca="1" si="193"/>
        <v>#NAME?</v>
      </c>
      <c r="EL126" s="36" t="str">
        <f t="shared" si="79"/>
        <v>No</v>
      </c>
      <c r="EM126" s="207"/>
      <c r="EN126" s="192">
        <f t="shared" si="194"/>
        <v>3.8571428571428572</v>
      </c>
      <c r="EO126" s="192">
        <f t="shared" si="195"/>
        <v>3</v>
      </c>
      <c r="EP126" s="209">
        <f t="shared" si="82"/>
        <v>6.8571428571428577</v>
      </c>
      <c r="EQ126" s="210">
        <f t="shared" si="196"/>
        <v>4.813084112149534</v>
      </c>
      <c r="ER126" s="36" t="e">
        <f t="shared" ca="1" si="84"/>
        <v>#NAME?</v>
      </c>
      <c r="ES126" s="40">
        <f ca="1">COUNTIF($ER$2:$ER$92, ER126)/(COUNTIF($ER$2:$ER$92, "&lt;&gt;""") - COUNTIF($ER$2:$ER$92, ""))</f>
        <v>1</v>
      </c>
      <c r="ET126" s="36">
        <f t="shared" si="85"/>
        <v>1</v>
      </c>
      <c r="EU126" s="40">
        <f>COUNTIF($ET$2:$ET$92, ET126)/(COUNTIF($ET$2:$ET$92, "&lt;&gt;""") - COUNTIF($ET$2:$ET$92, ""))</f>
        <v>0.45555555555555555</v>
      </c>
      <c r="EV126" s="36">
        <f t="shared" si="86"/>
        <v>8</v>
      </c>
      <c r="EW126" s="40">
        <f>COUNTIF($EV$2:$EV$92, EV126)/(COUNTIF($EV$2:$EV$92, "&lt;&gt;""") - COUNTIF($EV$2:$EV$92, ""))</f>
        <v>5.5555555555555552E-2</v>
      </c>
      <c r="EX126" s="36" t="str">
        <f t="shared" si="87"/>
        <v>No</v>
      </c>
      <c r="EY126" s="40">
        <f>COUNTIF($EX$2:$EX$92, EX126)/(COUNTIF($EX$2:$EX$92, "&lt;&gt;""") - COUNTIF($EX$2:$EX$92, ""))</f>
        <v>0.72222222222222221</v>
      </c>
      <c r="EZ126" s="36" t="str">
        <f t="shared" ref="EZ126:FB126" si="249">BM126</f>
        <v>No</v>
      </c>
      <c r="FA126" s="36" t="str">
        <f t="shared" si="249"/>
        <v>No</v>
      </c>
      <c r="FB126" s="36" t="str">
        <f t="shared" si="249"/>
        <v>No</v>
      </c>
      <c r="FC126" s="207"/>
      <c r="FD126" s="36" t="str">
        <f t="shared" si="89"/>
        <v>Transactional</v>
      </c>
      <c r="FE126" s="40">
        <f>COUNTIF($FD$2:$FD$92, FD126)/(COUNTIF($FD$2:$FD$92, "&lt;&gt;""") - COUNTIF($FD$2:$FD$92, ""))</f>
        <v>0.6</v>
      </c>
      <c r="FF126" s="36" t="str">
        <f t="shared" si="90"/>
        <v>B2C</v>
      </c>
      <c r="FG126" s="40">
        <f>COUNTIF($FF$2:$FF$92, FF126)/(COUNTIF($FF$2:$FF$92, "&lt;&gt;""") - COUNTIF($FF$2:$FF$92, ""))</f>
        <v>0.41111111111111109</v>
      </c>
      <c r="FH126" s="36" t="str">
        <f t="shared" si="91"/>
        <v>Low</v>
      </c>
      <c r="FI126" s="40">
        <f>COUNTIF($FH$2:$FH$92, FH126)/(COUNTIF($FH$2:$FH$92, "&lt;&gt;""") - COUNTIF($FH$2:$FH$92, ""))</f>
        <v>0.46666666666666667</v>
      </c>
      <c r="FJ126" s="36" t="str">
        <f t="shared" si="92"/>
        <v>High</v>
      </c>
      <c r="FK126" s="40">
        <f>COUNTIF($FJ$2:$FJ$92, FJ126)/(COUNTIF($FJ$2:$FJ$92, "&lt;&gt;""") - COUNTIF($FJ$2:$FJ$92, ""))</f>
        <v>0.58888888888888891</v>
      </c>
      <c r="FL126" s="207"/>
      <c r="FM126" s="192">
        <f t="shared" si="93"/>
        <v>5</v>
      </c>
      <c r="FN126" s="192" t="e">
        <f t="shared" ca="1" si="94"/>
        <v>#NAME?</v>
      </c>
      <c r="FO126" s="192" t="e">
        <f t="shared" ca="1" si="95"/>
        <v>#NAME?</v>
      </c>
      <c r="FP126" s="192" t="e">
        <f t="shared" ca="1" si="96"/>
        <v>#NAME?</v>
      </c>
      <c r="FQ126" s="209" t="e">
        <f t="shared" ca="1" si="97"/>
        <v>#NAME?</v>
      </c>
      <c r="FR126" s="208" t="e">
        <f t="shared" ca="1" si="198"/>
        <v>#NAME?</v>
      </c>
      <c r="FS126" s="36" t="str">
        <f t="shared" si="99"/>
        <v>Pre-Profit</v>
      </c>
      <c r="FT126" s="196">
        <f>COUNTIF($FS$2:$FS$92, FS126)/(COUNTIF($FS$2:$FS$92, "&lt;&gt;""") - COUNTIF($FZ$2:$FZ$92, ""))</f>
        <v>0.51111111111111107</v>
      </c>
      <c r="FU126" s="207"/>
      <c r="FV126" s="192" t="e">
        <f t="shared" ca="1" si="100"/>
        <v>#NAME?</v>
      </c>
      <c r="FW126" s="197" t="e">
        <f t="shared" ca="1" si="101"/>
        <v>#NAME?</v>
      </c>
      <c r="FX126" s="209" t="e">
        <f t="shared" ca="1" si="102"/>
        <v>#NAME?</v>
      </c>
      <c r="FY126" s="211" t="e">
        <f t="shared" ca="1" si="199"/>
        <v>#NAME?</v>
      </c>
      <c r="FZ126" s="36" t="str">
        <f t="shared" si="104"/>
        <v>No</v>
      </c>
      <c r="GA126" s="196">
        <f>COUNTIF($FZ$2:$FZ$92, FZ126)/(COUNTIF($FZ$2:$FZ$92, "&lt;&gt;""") - COUNTIF($FZ$2:$FZ$92, ""))</f>
        <v>0.76666666666666672</v>
      </c>
      <c r="GB126" s="196" t="str">
        <f t="shared" si="105"/>
        <v>Low</v>
      </c>
      <c r="GC126" s="196">
        <f>COUNTIF($GB$2:$GB$92, GB126)/(COUNTIF($GB$2:$GB$92, "&lt;&gt;""") - COUNTIF($GB$2:$GB$92, ""))</f>
        <v>0.55555555555555558</v>
      </c>
      <c r="GD126" s="196" t="str">
        <f t="shared" si="106"/>
        <v>High</v>
      </c>
      <c r="GE126" s="196">
        <f>COUNTIF($GD$2:$GD$92, GD126)/(COUNTIF($GD$2:$GD$92, "&lt;&gt;""") - COUNTIF($GD$2:$GD$92, ""))</f>
        <v>0.8</v>
      </c>
      <c r="GF126" s="207"/>
      <c r="GG126" s="36"/>
      <c r="GH126" s="209" t="e">
        <f t="shared" ca="1" si="107"/>
        <v>#NAME?</v>
      </c>
      <c r="GI126" s="212" t="e">
        <f t="shared" ca="1" si="200"/>
        <v>#NAME?</v>
      </c>
    </row>
    <row r="127" spans="1:191" ht="15.75" customHeight="1">
      <c r="A127" s="174"/>
      <c r="B127" s="174" t="s">
        <v>355</v>
      </c>
      <c r="C127" s="16">
        <v>1771389</v>
      </c>
      <c r="D127" s="233" t="s">
        <v>1240</v>
      </c>
      <c r="E127" s="234">
        <v>43556.602777777778</v>
      </c>
      <c r="F127" s="16" t="s">
        <v>325</v>
      </c>
      <c r="G127" s="235" t="s">
        <v>1241</v>
      </c>
      <c r="H127" s="235" t="s">
        <v>1242</v>
      </c>
      <c r="I127" s="241">
        <v>43556</v>
      </c>
      <c r="J127" s="233" t="s">
        <v>1243</v>
      </c>
      <c r="K127" s="233" t="s">
        <v>1240</v>
      </c>
      <c r="M127" s="16" t="s">
        <v>483</v>
      </c>
      <c r="N127" s="16" t="s">
        <v>168</v>
      </c>
      <c r="O127" s="16" t="s">
        <v>30</v>
      </c>
      <c r="P127" s="16" t="s">
        <v>31</v>
      </c>
      <c r="Q127" s="16" t="s">
        <v>35</v>
      </c>
      <c r="S127" s="16" t="s">
        <v>34</v>
      </c>
      <c r="T127" s="237"/>
      <c r="U127" s="213"/>
      <c r="V127" s="54"/>
      <c r="W127" s="215">
        <v>1600000</v>
      </c>
      <c r="X127" s="226">
        <v>0</v>
      </c>
      <c r="Y127" s="55">
        <f t="shared" si="158"/>
        <v>1600000</v>
      </c>
      <c r="Z127" s="274">
        <f t="shared" si="159"/>
        <v>1600000</v>
      </c>
      <c r="AA127" s="183" t="e">
        <f t="shared" ca="1" si="160"/>
        <v>#NAME?</v>
      </c>
      <c r="AB127" s="16" t="s">
        <v>36</v>
      </c>
      <c r="AC127" s="16" t="s">
        <v>200</v>
      </c>
      <c r="AD127" s="16" t="s">
        <v>38</v>
      </c>
      <c r="AE127" s="16" t="s">
        <v>190</v>
      </c>
      <c r="AF127" s="16" t="s">
        <v>181</v>
      </c>
      <c r="AG127" s="16" t="s">
        <v>39</v>
      </c>
      <c r="AH127" s="16" t="s">
        <v>190</v>
      </c>
      <c r="AI127" s="54"/>
      <c r="AJ127" s="278">
        <v>50000000</v>
      </c>
      <c r="AK127" s="224" t="e">
        <f t="shared" ca="1" si="161"/>
        <v>#NAME?</v>
      </c>
      <c r="AL127" s="278">
        <v>15000000</v>
      </c>
      <c r="AM127" s="224" t="e">
        <f t="shared" ca="1" si="162"/>
        <v>#NAME?</v>
      </c>
      <c r="AN127" s="278">
        <v>0.02</v>
      </c>
      <c r="AO127" s="185" t="e">
        <f t="shared" ca="1" si="63"/>
        <v>#NAME?</v>
      </c>
      <c r="AP127" s="185" t="s">
        <v>264</v>
      </c>
      <c r="AQ127" s="16" t="s">
        <v>181</v>
      </c>
      <c r="AR127" s="16" t="s">
        <v>181</v>
      </c>
      <c r="AS127" s="16" t="s">
        <v>201</v>
      </c>
      <c r="AT127" s="159" t="s">
        <v>181</v>
      </c>
      <c r="AU127" s="159" t="s">
        <v>39</v>
      </c>
      <c r="AV127" s="16" t="s">
        <v>190</v>
      </c>
      <c r="AW127" s="16" t="s">
        <v>190</v>
      </c>
      <c r="AX127" s="16" t="s">
        <v>190</v>
      </c>
      <c r="AY127" s="16" t="s">
        <v>190</v>
      </c>
      <c r="AZ127" s="54">
        <v>0</v>
      </c>
      <c r="BA127" s="55" t="e">
        <f t="shared" ca="1" si="163"/>
        <v>#NAME?</v>
      </c>
      <c r="BB127" s="278">
        <v>0</v>
      </c>
      <c r="BC127" s="278">
        <v>0</v>
      </c>
      <c r="BD127" s="62" t="e">
        <f t="shared" ca="1" si="164"/>
        <v>#NAME?</v>
      </c>
      <c r="BE127" s="277">
        <f t="shared" si="165"/>
        <v>1</v>
      </c>
      <c r="BF127" s="62" t="e">
        <f t="shared" ca="1" si="166"/>
        <v>#NAME?</v>
      </c>
      <c r="BG127" s="16" t="s">
        <v>43</v>
      </c>
      <c r="BI127" s="16" t="s">
        <v>190</v>
      </c>
      <c r="BJ127" s="16">
        <v>0</v>
      </c>
      <c r="BK127" s="278">
        <v>1</v>
      </c>
      <c r="BL127" s="16" t="s">
        <v>190</v>
      </c>
      <c r="BM127" s="16" t="s">
        <v>190</v>
      </c>
      <c r="BN127" s="16" t="s">
        <v>190</v>
      </c>
      <c r="BO127" s="16" t="s">
        <v>190</v>
      </c>
      <c r="BP127" s="16">
        <v>1</v>
      </c>
      <c r="BQ127" s="16">
        <v>1</v>
      </c>
      <c r="BR127" s="16">
        <v>0</v>
      </c>
      <c r="BS127" s="16">
        <v>0</v>
      </c>
      <c r="BT127" s="205"/>
      <c r="BU127" s="16">
        <v>0</v>
      </c>
      <c r="BV127" s="16">
        <v>0</v>
      </c>
      <c r="BW127" s="16">
        <v>60</v>
      </c>
      <c r="BX127" s="16" t="s">
        <v>190</v>
      </c>
      <c r="BY127" s="205"/>
      <c r="CD127" s="205"/>
      <c r="CI127" s="205"/>
      <c r="CN127" s="205"/>
      <c r="CS127" s="205"/>
      <c r="CX127" s="205"/>
      <c r="DC127" s="205"/>
      <c r="DH127" s="205"/>
      <c r="DM127" s="205"/>
      <c r="DN127" s="205"/>
      <c r="DO127" s="205"/>
      <c r="DQ127" s="206"/>
      <c r="DR127" s="188">
        <f t="shared" si="64"/>
        <v>0</v>
      </c>
      <c r="DS127" s="188"/>
      <c r="DT127" s="189">
        <f t="shared" si="65"/>
        <v>0</v>
      </c>
      <c r="DU127" s="189"/>
      <c r="DV127" s="188">
        <f t="shared" si="66"/>
        <v>60</v>
      </c>
      <c r="DW127" s="183" t="e">
        <f t="shared" ca="1" si="67"/>
        <v>#NAME?</v>
      </c>
      <c r="DX127" s="207"/>
      <c r="DY127" s="190" t="e">
        <f t="shared" ca="1" si="68"/>
        <v>#NAME?</v>
      </c>
      <c r="DZ127" s="191">
        <f t="shared" si="190"/>
        <v>1</v>
      </c>
      <c r="EA127" s="191" t="str">
        <f t="shared" si="191"/>
        <v/>
      </c>
      <c r="EB127" s="191" t="str">
        <f t="shared" si="192"/>
        <v/>
      </c>
      <c r="EC127" s="208" t="e">
        <f t="shared" ca="1" si="72"/>
        <v>#NAME?</v>
      </c>
      <c r="ED127" s="36" t="str">
        <f t="shared" si="73"/>
        <v>CAFES</v>
      </c>
      <c r="EE127" s="193">
        <f>COUNTIF($ED$2:$ED$92, ED127)/(COUNTIF($ED$2:$ED$92, "&lt;&gt;""") - COUNTIF($ED$2:$ED$92, ""))</f>
        <v>0.1</v>
      </c>
      <c r="EF127" s="36" t="str">
        <f t="shared" si="74"/>
        <v>Early</v>
      </c>
      <c r="EG127" s="207"/>
      <c r="EH127" s="194" t="e">
        <f t="shared" ca="1" si="75"/>
        <v>#NAME?</v>
      </c>
      <c r="EI127" s="194" t="e">
        <f t="shared" ca="1" si="76"/>
        <v>#NAME?</v>
      </c>
      <c r="EJ127" s="209" t="e">
        <f t="shared" ca="1" si="77"/>
        <v>#NAME?</v>
      </c>
      <c r="EK127" s="208" t="e">
        <f t="shared" ca="1" si="193"/>
        <v>#NAME?</v>
      </c>
      <c r="EL127" s="36" t="str">
        <f t="shared" si="79"/>
        <v>No</v>
      </c>
      <c r="EM127" s="207"/>
      <c r="EN127" s="192">
        <f t="shared" si="194"/>
        <v>1</v>
      </c>
      <c r="EO127" s="192">
        <f t="shared" si="195"/>
        <v>1</v>
      </c>
      <c r="EP127" s="209">
        <f t="shared" si="82"/>
        <v>2</v>
      </c>
      <c r="EQ127" s="210">
        <f t="shared" si="196"/>
        <v>1</v>
      </c>
      <c r="ER127" s="36" t="e">
        <f t="shared" ca="1" si="84"/>
        <v>#NAME?</v>
      </c>
      <c r="ES127" s="40">
        <f ca="1">COUNTIF($ER$2:$ER$92, ER127)/(COUNTIF($ER$2:$ER$92, "&lt;&gt;""") - COUNTIF($ER$2:$ER$92, ""))</f>
        <v>1</v>
      </c>
      <c r="ET127" s="36">
        <f t="shared" si="85"/>
        <v>1</v>
      </c>
      <c r="EU127" s="40">
        <f>COUNTIF($ET$2:$ET$92, ET127)/(COUNTIF($ET$2:$ET$92, "&lt;&gt;""") - COUNTIF($ET$2:$ET$92, ""))</f>
        <v>0.45555555555555555</v>
      </c>
      <c r="EV127" s="36">
        <f t="shared" si="86"/>
        <v>1</v>
      </c>
      <c r="EW127" s="40">
        <f>COUNTIF($EV$2:$EV$92, EV127)/(COUNTIF($EV$2:$EV$92, "&lt;&gt;""") - COUNTIF($EV$2:$EV$92, ""))</f>
        <v>7.7777777777777779E-2</v>
      </c>
      <c r="EX127" s="36" t="str">
        <f t="shared" si="87"/>
        <v>No</v>
      </c>
      <c r="EY127" s="40">
        <f>COUNTIF($EX$2:$EX$92, EX127)/(COUNTIF($EX$2:$EX$92, "&lt;&gt;""") - COUNTIF($EX$2:$EX$92, ""))</f>
        <v>0.72222222222222221</v>
      </c>
      <c r="EZ127" s="36" t="str">
        <f t="shared" ref="EZ127:FB127" si="250">BM127</f>
        <v>No</v>
      </c>
      <c r="FA127" s="36" t="str">
        <f t="shared" si="250"/>
        <v>No</v>
      </c>
      <c r="FB127" s="36" t="str">
        <f t="shared" si="250"/>
        <v>No</v>
      </c>
      <c r="FC127" s="207"/>
      <c r="FD127" s="36" t="str">
        <f t="shared" si="89"/>
        <v>Transactional</v>
      </c>
      <c r="FE127" s="40">
        <f>COUNTIF($FD$2:$FD$92, FD127)/(COUNTIF($FD$2:$FD$92, "&lt;&gt;""") - COUNTIF($FD$2:$FD$92, ""))</f>
        <v>0.6</v>
      </c>
      <c r="FF127" s="36" t="str">
        <f t="shared" si="90"/>
        <v>B2B2C</v>
      </c>
      <c r="FG127" s="40">
        <f>COUNTIF($FF$2:$FF$92, FF127)/(COUNTIF($FF$2:$FF$92, "&lt;&gt;""") - COUNTIF($FF$2:$FF$92, ""))</f>
        <v>6.6666666666666666E-2</v>
      </c>
      <c r="FH127" s="36" t="str">
        <f t="shared" si="91"/>
        <v>Low</v>
      </c>
      <c r="FI127" s="40">
        <f>COUNTIF($FH$2:$FH$92, FH127)/(COUNTIF($FH$2:$FH$92, "&lt;&gt;""") - COUNTIF($FH$2:$FH$92, ""))</f>
        <v>0.46666666666666667</v>
      </c>
      <c r="FJ127" s="36" t="str">
        <f t="shared" si="92"/>
        <v>High</v>
      </c>
      <c r="FK127" s="40">
        <f>COUNTIF($FJ$2:$FJ$92, FJ127)/(COUNTIF($FJ$2:$FJ$92, "&lt;&gt;""") - COUNTIF($FJ$2:$FJ$92, ""))</f>
        <v>0.58888888888888891</v>
      </c>
      <c r="FL127" s="207"/>
      <c r="FM127" s="192">
        <f t="shared" si="93"/>
        <v>1</v>
      </c>
      <c r="FN127" s="192" t="e">
        <f t="shared" ca="1" si="94"/>
        <v>#NAME?</v>
      </c>
      <c r="FO127" s="192" t="e">
        <f t="shared" ca="1" si="95"/>
        <v>#NAME?</v>
      </c>
      <c r="FP127" s="192" t="e">
        <f t="shared" ca="1" si="96"/>
        <v>#NAME?</v>
      </c>
      <c r="FQ127" s="209" t="e">
        <f t="shared" ca="1" si="97"/>
        <v>#NAME?</v>
      </c>
      <c r="FR127" s="208" t="e">
        <f t="shared" ca="1" si="198"/>
        <v>#NAME?</v>
      </c>
      <c r="FS127" s="36" t="str">
        <f t="shared" si="99"/>
        <v>Pre-Product</v>
      </c>
      <c r="FT127" s="196">
        <f>COUNTIF($FS$2:$FS$92, FS127)/(COUNTIF($FS$2:$FS$92, "&lt;&gt;""") - COUNTIF($FZ$2:$FZ$92, ""))</f>
        <v>0.22222222222222221</v>
      </c>
      <c r="FU127" s="207"/>
      <c r="FV127" s="192" t="e">
        <f t="shared" ca="1" si="100"/>
        <v>#NAME?</v>
      </c>
      <c r="FW127" s="197" t="e">
        <f t="shared" ca="1" si="101"/>
        <v>#NAME?</v>
      </c>
      <c r="FX127" s="209" t="e">
        <f t="shared" ca="1" si="102"/>
        <v>#NAME?</v>
      </c>
      <c r="FY127" s="211" t="e">
        <f t="shared" ca="1" si="199"/>
        <v>#NAME?</v>
      </c>
      <c r="FZ127" s="36" t="str">
        <f t="shared" si="104"/>
        <v>No</v>
      </c>
      <c r="GA127" s="196">
        <f>COUNTIF($FZ$2:$FZ$92, FZ127)/(COUNTIF($FZ$2:$FZ$92, "&lt;&gt;""") - COUNTIF($FZ$2:$FZ$92, ""))</f>
        <v>0.76666666666666672</v>
      </c>
      <c r="GB127" s="196" t="str">
        <f t="shared" si="105"/>
        <v>Low</v>
      </c>
      <c r="GC127" s="196">
        <f>COUNTIF($GB$2:$GB$92, GB127)/(COUNTIF($GB$2:$GB$92, "&lt;&gt;""") - COUNTIF($GB$2:$GB$92, ""))</f>
        <v>0.55555555555555558</v>
      </c>
      <c r="GD127" s="196" t="str">
        <f t="shared" si="106"/>
        <v>High</v>
      </c>
      <c r="GE127" s="196">
        <f>COUNTIF($GD$2:$GD$92, GD127)/(COUNTIF($GD$2:$GD$92, "&lt;&gt;""") - COUNTIF($GD$2:$GD$92, ""))</f>
        <v>0.8</v>
      </c>
      <c r="GF127" s="207"/>
      <c r="GG127" s="36"/>
      <c r="GH127" s="209" t="e">
        <f t="shared" ca="1" si="107"/>
        <v>#NAME?</v>
      </c>
      <c r="GI127" s="212" t="e">
        <f t="shared" ca="1" si="200"/>
        <v>#NAME?</v>
      </c>
    </row>
    <row r="128" spans="1:191" ht="15.75" customHeight="1">
      <c r="A128" s="174"/>
      <c r="B128" s="174" t="s">
        <v>355</v>
      </c>
      <c r="C128" s="16">
        <v>1772701</v>
      </c>
      <c r="D128" s="233" t="s">
        <v>1244</v>
      </c>
      <c r="E128" s="234">
        <v>43559.600694444445</v>
      </c>
      <c r="F128" s="16" t="s">
        <v>325</v>
      </c>
      <c r="G128" s="235" t="s">
        <v>1245</v>
      </c>
      <c r="H128" s="235" t="s">
        <v>1246</v>
      </c>
      <c r="I128" s="241">
        <v>43559</v>
      </c>
      <c r="J128" s="233" t="s">
        <v>1247</v>
      </c>
      <c r="K128" s="233" t="s">
        <v>1244</v>
      </c>
      <c r="M128" s="29" t="s">
        <v>747</v>
      </c>
      <c r="N128" s="16" t="s">
        <v>300</v>
      </c>
      <c r="O128" s="16" t="s">
        <v>30</v>
      </c>
      <c r="P128" s="16" t="s">
        <v>31</v>
      </c>
      <c r="Q128" s="16" t="s">
        <v>35</v>
      </c>
      <c r="S128" s="16" t="s">
        <v>34</v>
      </c>
      <c r="T128" s="237"/>
      <c r="U128" s="213"/>
      <c r="W128" s="54">
        <v>750000</v>
      </c>
      <c r="X128" s="226">
        <v>0</v>
      </c>
      <c r="Y128" s="55">
        <f t="shared" si="158"/>
        <v>750000</v>
      </c>
      <c r="Z128" s="274">
        <f t="shared" si="159"/>
        <v>750000</v>
      </c>
      <c r="AA128" s="183" t="e">
        <f t="shared" ca="1" si="160"/>
        <v>#NAME?</v>
      </c>
      <c r="AB128" s="16" t="s">
        <v>36</v>
      </c>
      <c r="AC128" s="16" t="s">
        <v>37</v>
      </c>
      <c r="AD128" s="16" t="s">
        <v>38</v>
      </c>
      <c r="AE128" s="16" t="s">
        <v>190</v>
      </c>
      <c r="AF128" s="16" t="s">
        <v>181</v>
      </c>
      <c r="AG128" s="16" t="s">
        <v>39</v>
      </c>
      <c r="AH128" s="16" t="s">
        <v>190</v>
      </c>
      <c r="AI128" s="54"/>
      <c r="AJ128" s="278">
        <v>25000000000</v>
      </c>
      <c r="AK128" s="224" t="e">
        <f t="shared" ca="1" si="161"/>
        <v>#NAME?</v>
      </c>
      <c r="AL128" s="278">
        <v>1000000000</v>
      </c>
      <c r="AM128" s="224" t="e">
        <f t="shared" ca="1" si="162"/>
        <v>#NAME?</v>
      </c>
      <c r="AN128" s="278">
        <v>0.15</v>
      </c>
      <c r="AO128" s="185" t="e">
        <f t="shared" ca="1" si="63"/>
        <v>#NAME?</v>
      </c>
      <c r="AP128" s="185" t="s">
        <v>211</v>
      </c>
      <c r="AQ128" s="16" t="s">
        <v>181</v>
      </c>
      <c r="AR128" s="16" t="s">
        <v>181</v>
      </c>
      <c r="AS128" s="16" t="s">
        <v>42</v>
      </c>
      <c r="AT128" s="159" t="s">
        <v>181</v>
      </c>
      <c r="AU128" s="159" t="s">
        <v>181</v>
      </c>
      <c r="AV128" s="16" t="s">
        <v>190</v>
      </c>
      <c r="AW128" s="16" t="s">
        <v>190</v>
      </c>
      <c r="AX128" s="16" t="s">
        <v>190</v>
      </c>
      <c r="AY128" s="16" t="s">
        <v>190</v>
      </c>
      <c r="AZ128" s="54">
        <v>0</v>
      </c>
      <c r="BA128" s="55" t="e">
        <f t="shared" ca="1" si="163"/>
        <v>#NAME?</v>
      </c>
      <c r="BB128" s="278">
        <v>0</v>
      </c>
      <c r="BC128" s="278">
        <v>0</v>
      </c>
      <c r="BD128" s="62" t="e">
        <f t="shared" ca="1" si="164"/>
        <v>#NAME?</v>
      </c>
      <c r="BE128" s="277">
        <f t="shared" si="165"/>
        <v>1</v>
      </c>
      <c r="BF128" s="62" t="e">
        <f t="shared" ca="1" si="166"/>
        <v>#NAME?</v>
      </c>
      <c r="BG128" s="16" t="s">
        <v>43</v>
      </c>
      <c r="BI128" s="16" t="s">
        <v>190</v>
      </c>
      <c r="BJ128" s="16">
        <v>0</v>
      </c>
      <c r="BK128" s="278">
        <v>1</v>
      </c>
      <c r="BL128" s="16" t="s">
        <v>190</v>
      </c>
      <c r="BM128" s="16" t="s">
        <v>190</v>
      </c>
      <c r="BN128" s="16" t="s">
        <v>190</v>
      </c>
      <c r="BO128" s="16" t="s">
        <v>190</v>
      </c>
      <c r="BP128" s="16">
        <v>1</v>
      </c>
      <c r="BQ128" s="16">
        <v>1</v>
      </c>
      <c r="BR128" s="16">
        <v>0</v>
      </c>
      <c r="BS128" s="16">
        <v>0</v>
      </c>
      <c r="BT128" s="205"/>
      <c r="BU128" s="16">
        <v>30</v>
      </c>
      <c r="BV128" s="16">
        <v>0</v>
      </c>
      <c r="BW128" s="16">
        <v>60</v>
      </c>
      <c r="BX128" s="16" t="s">
        <v>190</v>
      </c>
      <c r="BY128" s="205"/>
      <c r="CD128" s="205"/>
      <c r="CI128" s="205"/>
      <c r="CN128" s="205"/>
      <c r="CS128" s="205"/>
      <c r="CX128" s="205"/>
      <c r="DC128" s="205"/>
      <c r="DH128" s="205"/>
      <c r="DM128" s="205"/>
      <c r="DN128" s="205"/>
      <c r="DO128" s="205"/>
      <c r="DQ128" s="206"/>
      <c r="DR128" s="188">
        <f t="shared" si="64"/>
        <v>30</v>
      </c>
      <c r="DS128" s="188"/>
      <c r="DT128" s="189">
        <f t="shared" si="65"/>
        <v>0</v>
      </c>
      <c r="DU128" s="189"/>
      <c r="DV128" s="188">
        <f t="shared" si="66"/>
        <v>60</v>
      </c>
      <c r="DW128" s="183" t="e">
        <f t="shared" ca="1" si="67"/>
        <v>#NAME?</v>
      </c>
      <c r="DX128" s="207"/>
      <c r="DY128" s="190" t="e">
        <f t="shared" ca="1" si="68"/>
        <v>#NAME?</v>
      </c>
      <c r="DZ128" s="191">
        <f t="shared" si="190"/>
        <v>1</v>
      </c>
      <c r="EA128" s="191" t="str">
        <f t="shared" si="191"/>
        <v/>
      </c>
      <c r="EB128" s="191" t="str">
        <f t="shared" si="192"/>
        <v/>
      </c>
      <c r="EC128" s="208" t="e">
        <f t="shared" ca="1" si="72"/>
        <v>#NAME?</v>
      </c>
      <c r="ED128" s="36" t="str">
        <f t="shared" si="73"/>
        <v>CAFES</v>
      </c>
      <c r="EE128" s="193">
        <f>COUNTIF($ED$2:$ED$92, ED128)/(COUNTIF($ED$2:$ED$92, "&lt;&gt;""") - COUNTIF($ED$2:$ED$92, ""))</f>
        <v>0.1</v>
      </c>
      <c r="EF128" s="36" t="str">
        <f t="shared" si="74"/>
        <v>Early</v>
      </c>
      <c r="EG128" s="207"/>
      <c r="EH128" s="194" t="e">
        <f t="shared" ca="1" si="75"/>
        <v>#NAME?</v>
      </c>
      <c r="EI128" s="194" t="e">
        <f t="shared" ca="1" si="76"/>
        <v>#NAME?</v>
      </c>
      <c r="EJ128" s="209" t="e">
        <f t="shared" ca="1" si="77"/>
        <v>#NAME?</v>
      </c>
      <c r="EK128" s="208" t="e">
        <f t="shared" ca="1" si="193"/>
        <v>#NAME?</v>
      </c>
      <c r="EL128" s="36" t="str">
        <f t="shared" si="79"/>
        <v>No</v>
      </c>
      <c r="EM128" s="207"/>
      <c r="EN128" s="192">
        <f t="shared" si="194"/>
        <v>3.8571428571428572</v>
      </c>
      <c r="EO128" s="192">
        <f t="shared" si="195"/>
        <v>1</v>
      </c>
      <c r="EP128" s="209">
        <f t="shared" si="82"/>
        <v>4.8571428571428577</v>
      </c>
      <c r="EQ128" s="210">
        <f t="shared" si="196"/>
        <v>3.2429906542056082</v>
      </c>
      <c r="ER128" s="36" t="e">
        <f t="shared" ca="1" si="84"/>
        <v>#NAME?</v>
      </c>
      <c r="ES128" s="40">
        <f ca="1">COUNTIF($ER$2:$ER$92, ER128)/(COUNTIF($ER$2:$ER$92, "&lt;&gt;""") - COUNTIF($ER$2:$ER$92, ""))</f>
        <v>1</v>
      </c>
      <c r="ET128" s="36">
        <f t="shared" si="85"/>
        <v>1</v>
      </c>
      <c r="EU128" s="40">
        <f>COUNTIF($ET$2:$ET$92, ET128)/(COUNTIF($ET$2:$ET$92, "&lt;&gt;""") - COUNTIF($ET$2:$ET$92, ""))</f>
        <v>0.45555555555555555</v>
      </c>
      <c r="EV128" s="36">
        <f t="shared" si="86"/>
        <v>1</v>
      </c>
      <c r="EW128" s="40">
        <f>COUNTIF($EV$2:$EV$92, EV128)/(COUNTIF($EV$2:$EV$92, "&lt;&gt;""") - COUNTIF($EV$2:$EV$92, ""))</f>
        <v>7.7777777777777779E-2</v>
      </c>
      <c r="EX128" s="36" t="str">
        <f t="shared" si="87"/>
        <v>No</v>
      </c>
      <c r="EY128" s="40">
        <f>COUNTIF($EX$2:$EX$92, EX128)/(COUNTIF($EX$2:$EX$92, "&lt;&gt;""") - COUNTIF($EX$2:$EX$92, ""))</f>
        <v>0.72222222222222221</v>
      </c>
      <c r="EZ128" s="36" t="str">
        <f t="shared" ref="EZ128:FB128" si="251">BM128</f>
        <v>No</v>
      </c>
      <c r="FA128" s="36" t="str">
        <f t="shared" si="251"/>
        <v>No</v>
      </c>
      <c r="FB128" s="36" t="str">
        <f t="shared" si="251"/>
        <v>No</v>
      </c>
      <c r="FC128" s="207"/>
      <c r="FD128" s="36" t="str">
        <f t="shared" si="89"/>
        <v>Transactional</v>
      </c>
      <c r="FE128" s="40">
        <f>COUNTIF($FD$2:$FD$92, FD128)/(COUNTIF($FD$2:$FD$92, "&lt;&gt;""") - COUNTIF($FD$2:$FD$92, ""))</f>
        <v>0.6</v>
      </c>
      <c r="FF128" s="36" t="str">
        <f t="shared" si="90"/>
        <v>B2B</v>
      </c>
      <c r="FG128" s="40">
        <f>COUNTIF($FF$2:$FF$92, FF128)/(COUNTIF($FF$2:$FF$92, "&lt;&gt;""") - COUNTIF($FF$2:$FF$92, ""))</f>
        <v>0.24444444444444444</v>
      </c>
      <c r="FH128" s="36" t="str">
        <f t="shared" si="91"/>
        <v>Low</v>
      </c>
      <c r="FI128" s="40">
        <f>COUNTIF($FH$2:$FH$92, FH128)/(COUNTIF($FH$2:$FH$92, "&lt;&gt;""") - COUNTIF($FH$2:$FH$92, ""))</f>
        <v>0.46666666666666667</v>
      </c>
      <c r="FJ128" s="36" t="str">
        <f t="shared" si="92"/>
        <v>High</v>
      </c>
      <c r="FK128" s="40">
        <f>COUNTIF($FJ$2:$FJ$92, FJ128)/(COUNTIF($FJ$2:$FJ$92, "&lt;&gt;""") - COUNTIF($FJ$2:$FJ$92, ""))</f>
        <v>0.58888888888888891</v>
      </c>
      <c r="FL128" s="207"/>
      <c r="FM128" s="192">
        <f t="shared" si="93"/>
        <v>1</v>
      </c>
      <c r="FN128" s="192" t="e">
        <f t="shared" ca="1" si="94"/>
        <v>#NAME?</v>
      </c>
      <c r="FO128" s="192" t="e">
        <f t="shared" ca="1" si="95"/>
        <v>#NAME?</v>
      </c>
      <c r="FP128" s="192" t="e">
        <f t="shared" ca="1" si="96"/>
        <v>#NAME?</v>
      </c>
      <c r="FQ128" s="209" t="e">
        <f t="shared" ca="1" si="97"/>
        <v>#NAME?</v>
      </c>
      <c r="FR128" s="208" t="e">
        <f t="shared" ca="1" si="198"/>
        <v>#NAME?</v>
      </c>
      <c r="FS128" s="36" t="str">
        <f t="shared" si="99"/>
        <v>Pre-Product</v>
      </c>
      <c r="FT128" s="196">
        <f>COUNTIF($FS$2:$FS$92, FS128)/(COUNTIF($FS$2:$FS$92, "&lt;&gt;""") - COUNTIF($FZ$2:$FZ$92, ""))</f>
        <v>0.22222222222222221</v>
      </c>
      <c r="FU128" s="207"/>
      <c r="FV128" s="192" t="e">
        <f t="shared" ca="1" si="100"/>
        <v>#NAME?</v>
      </c>
      <c r="FW128" s="197" t="e">
        <f t="shared" ca="1" si="101"/>
        <v>#NAME?</v>
      </c>
      <c r="FX128" s="209" t="e">
        <f t="shared" ca="1" si="102"/>
        <v>#NAME?</v>
      </c>
      <c r="FY128" s="211" t="e">
        <f t="shared" ca="1" si="199"/>
        <v>#NAME?</v>
      </c>
      <c r="FZ128" s="36" t="str">
        <f t="shared" si="104"/>
        <v>No</v>
      </c>
      <c r="GA128" s="196">
        <f>COUNTIF($FZ$2:$FZ$92, FZ128)/(COUNTIF($FZ$2:$FZ$92, "&lt;&gt;""") - COUNTIF($FZ$2:$FZ$92, ""))</f>
        <v>0.76666666666666672</v>
      </c>
      <c r="GB128" s="196" t="str">
        <f t="shared" si="105"/>
        <v>Low</v>
      </c>
      <c r="GC128" s="196">
        <f>COUNTIF($GB$2:$GB$92, GB128)/(COUNTIF($GB$2:$GB$92, "&lt;&gt;""") - COUNTIF($GB$2:$GB$92, ""))</f>
        <v>0.55555555555555558</v>
      </c>
      <c r="GD128" s="196" t="str">
        <f t="shared" si="106"/>
        <v>Low</v>
      </c>
      <c r="GE128" s="196">
        <f>COUNTIF($GD$2:$GD$92, GD128)/(COUNTIF($GD$2:$GD$92, "&lt;&gt;""") - COUNTIF($GD$2:$GD$92, ""))</f>
        <v>0.18888888888888888</v>
      </c>
      <c r="GF128" s="207"/>
      <c r="GG128" s="36"/>
      <c r="GH128" s="209" t="e">
        <f t="shared" ca="1" si="107"/>
        <v>#NAME?</v>
      </c>
      <c r="GI128" s="212" t="e">
        <f t="shared" ca="1" si="200"/>
        <v>#NAME?</v>
      </c>
    </row>
    <row r="129" spans="1:191" ht="15.75" customHeight="1">
      <c r="A129" s="174"/>
      <c r="B129" s="174" t="s">
        <v>355</v>
      </c>
      <c r="C129" s="16">
        <v>1796364</v>
      </c>
      <c r="D129" s="233" t="s">
        <v>1248</v>
      </c>
      <c r="E129" s="234">
        <v>43836.484722222223</v>
      </c>
      <c r="F129" s="16" t="s">
        <v>344</v>
      </c>
      <c r="G129" s="235" t="s">
        <v>1249</v>
      </c>
      <c r="H129" s="235" t="s">
        <v>1250</v>
      </c>
      <c r="I129" s="241">
        <v>43818</v>
      </c>
      <c r="J129" s="233" t="s">
        <v>1251</v>
      </c>
      <c r="K129" s="233" t="s">
        <v>1252</v>
      </c>
      <c r="M129" s="16" t="s">
        <v>1018</v>
      </c>
      <c r="N129" s="16" t="s">
        <v>213</v>
      </c>
      <c r="O129" s="16" t="s">
        <v>30</v>
      </c>
      <c r="P129" s="16" t="s">
        <v>31</v>
      </c>
      <c r="Q129" s="16" t="s">
        <v>35</v>
      </c>
      <c r="S129" s="16" t="s">
        <v>176</v>
      </c>
      <c r="T129" s="237"/>
      <c r="U129" s="213"/>
      <c r="V129" s="54"/>
      <c r="W129" s="54">
        <v>4500000</v>
      </c>
      <c r="X129" s="226">
        <v>0.2</v>
      </c>
      <c r="Y129" s="55">
        <f t="shared" si="158"/>
        <v>3600000</v>
      </c>
      <c r="Z129" s="274">
        <f t="shared" si="159"/>
        <v>3600000</v>
      </c>
      <c r="AA129" s="183" t="e">
        <f t="shared" ca="1" si="160"/>
        <v>#NAME?</v>
      </c>
      <c r="AB129" s="16" t="s">
        <v>178</v>
      </c>
      <c r="AC129" s="16" t="s">
        <v>179</v>
      </c>
      <c r="AD129" s="16" t="s">
        <v>38</v>
      </c>
      <c r="AE129" s="16" t="s">
        <v>190</v>
      </c>
      <c r="AF129" s="16" t="s">
        <v>181</v>
      </c>
      <c r="AG129" s="16" t="s">
        <v>39</v>
      </c>
      <c r="AH129" s="16" t="s">
        <v>190</v>
      </c>
      <c r="AI129" s="54"/>
      <c r="AJ129" s="278">
        <v>25000000000</v>
      </c>
      <c r="AK129" s="224" t="e">
        <f t="shared" ca="1" si="161"/>
        <v>#NAME?</v>
      </c>
      <c r="AL129" s="278">
        <v>1000000000</v>
      </c>
      <c r="AM129" s="224" t="e">
        <f t="shared" ca="1" si="162"/>
        <v>#NAME?</v>
      </c>
      <c r="AN129" s="278">
        <v>0.3</v>
      </c>
      <c r="AO129" s="185" t="e">
        <f t="shared" ca="1" si="63"/>
        <v>#NAME?</v>
      </c>
      <c r="AP129" s="185" t="s">
        <v>192</v>
      </c>
      <c r="AQ129" s="16" t="s">
        <v>181</v>
      </c>
      <c r="AR129" s="16" t="s">
        <v>39</v>
      </c>
      <c r="AS129" s="16" t="s">
        <v>182</v>
      </c>
      <c r="AT129" s="159" t="s">
        <v>181</v>
      </c>
      <c r="AU129" s="159" t="s">
        <v>39</v>
      </c>
      <c r="AV129" s="16" t="s">
        <v>227</v>
      </c>
      <c r="AW129" s="16" t="s">
        <v>190</v>
      </c>
      <c r="AX129" s="16" t="s">
        <v>227</v>
      </c>
      <c r="AY129" s="16" t="s">
        <v>227</v>
      </c>
      <c r="AZ129" s="54">
        <v>21045</v>
      </c>
      <c r="BA129" s="55" t="e">
        <f t="shared" ca="1" si="163"/>
        <v>#NAME?</v>
      </c>
      <c r="BB129" s="278">
        <v>2552</v>
      </c>
      <c r="BC129" s="278">
        <v>40000</v>
      </c>
      <c r="BD129" s="62" t="e">
        <f t="shared" ca="1" si="164"/>
        <v>#NAME?</v>
      </c>
      <c r="BE129" s="277">
        <f t="shared" si="165"/>
        <v>6.3799999999999996E-2</v>
      </c>
      <c r="BF129" s="62" t="e">
        <f t="shared" ca="1" si="166"/>
        <v>#NAME?</v>
      </c>
      <c r="BG129" s="16" t="s">
        <v>202</v>
      </c>
      <c r="BI129" s="16" t="s">
        <v>190</v>
      </c>
      <c r="BJ129" s="16">
        <v>0</v>
      </c>
      <c r="BK129" s="278">
        <v>2</v>
      </c>
      <c r="BL129" s="16" t="s">
        <v>227</v>
      </c>
      <c r="BM129" s="16" t="s">
        <v>190</v>
      </c>
      <c r="BN129" s="16" t="s">
        <v>227</v>
      </c>
      <c r="BO129" s="16" t="s">
        <v>190</v>
      </c>
      <c r="BP129" s="16">
        <v>4</v>
      </c>
      <c r="BQ129" s="16">
        <v>5</v>
      </c>
      <c r="BR129" s="16">
        <v>0</v>
      </c>
      <c r="BS129" s="16">
        <v>0</v>
      </c>
      <c r="BT129" s="205"/>
      <c r="BU129" s="16">
        <v>2</v>
      </c>
      <c r="BV129" s="16">
        <v>0</v>
      </c>
      <c r="BW129" s="16">
        <v>30</v>
      </c>
      <c r="BX129" s="16" t="s">
        <v>190</v>
      </c>
      <c r="BY129" s="205"/>
      <c r="BZ129" s="16">
        <v>2</v>
      </c>
      <c r="CA129" s="16">
        <v>0</v>
      </c>
      <c r="CB129" s="16">
        <v>33</v>
      </c>
      <c r="CC129" s="16" t="s">
        <v>190</v>
      </c>
      <c r="CD129" s="205"/>
      <c r="CI129" s="205"/>
      <c r="CN129" s="205"/>
      <c r="CS129" s="205"/>
      <c r="CX129" s="205"/>
      <c r="DC129" s="205"/>
      <c r="DH129" s="205"/>
      <c r="DM129" s="205"/>
      <c r="DN129" s="205"/>
      <c r="DO129" s="205"/>
      <c r="DQ129" s="206"/>
      <c r="DR129" s="188">
        <f t="shared" si="64"/>
        <v>2</v>
      </c>
      <c r="DS129" s="188"/>
      <c r="DT129" s="189">
        <f t="shared" si="65"/>
        <v>0</v>
      </c>
      <c r="DU129" s="189"/>
      <c r="DV129" s="188">
        <f t="shared" si="66"/>
        <v>31.5</v>
      </c>
      <c r="DW129" s="183" t="e">
        <f t="shared" ca="1" si="67"/>
        <v>#NAME?</v>
      </c>
      <c r="DX129" s="207"/>
      <c r="DY129" s="190" t="e">
        <f t="shared" ca="1" si="68"/>
        <v>#NAME?</v>
      </c>
      <c r="DZ129" s="191">
        <f t="shared" si="190"/>
        <v>3.1052631578947367</v>
      </c>
      <c r="EA129" s="191" t="str">
        <f t="shared" si="191"/>
        <v/>
      </c>
      <c r="EB129" s="191" t="str">
        <f t="shared" si="192"/>
        <v/>
      </c>
      <c r="EC129" s="208" t="e">
        <f t="shared" ca="1" si="72"/>
        <v>#NAME?</v>
      </c>
      <c r="ED129" s="36" t="str">
        <f t="shared" si="73"/>
        <v>Convertible Note</v>
      </c>
      <c r="EE129" s="193">
        <f>COUNTIF($ED$2:$ED$92, ED129)/(COUNTIF($ED$2:$ED$92, "&lt;&gt;""") - COUNTIF($ED$2:$ED$92, ""))</f>
        <v>0.13333333333333333</v>
      </c>
      <c r="EF129" s="36" t="str">
        <f t="shared" si="74"/>
        <v>Early</v>
      </c>
      <c r="EG129" s="207"/>
      <c r="EH129" s="194" t="e">
        <f t="shared" ca="1" si="75"/>
        <v>#NAME?</v>
      </c>
      <c r="EI129" s="194" t="e">
        <f t="shared" ca="1" si="76"/>
        <v>#NAME?</v>
      </c>
      <c r="EJ129" s="209" t="e">
        <f t="shared" ca="1" si="77"/>
        <v>#NAME?</v>
      </c>
      <c r="EK129" s="208" t="e">
        <f t="shared" ca="1" si="193"/>
        <v>#NAME?</v>
      </c>
      <c r="EL129" s="36" t="str">
        <f t="shared" si="79"/>
        <v>Yes</v>
      </c>
      <c r="EM129" s="207"/>
      <c r="EN129" s="192">
        <f t="shared" si="194"/>
        <v>1.1904761904761905</v>
      </c>
      <c r="EO129" s="192">
        <f t="shared" si="195"/>
        <v>1</v>
      </c>
      <c r="EP129" s="209">
        <f t="shared" si="82"/>
        <v>2.1904761904761907</v>
      </c>
      <c r="EQ129" s="210">
        <f t="shared" si="196"/>
        <v>1.1495327102803741</v>
      </c>
      <c r="ER129" s="36" t="e">
        <f t="shared" ca="1" si="84"/>
        <v>#NAME?</v>
      </c>
      <c r="ES129" s="40">
        <f ca="1">COUNTIF($ER$2:$ER$92, ER129)/(COUNTIF($ER$2:$ER$92, "&lt;&gt;""") - COUNTIF($ER$2:$ER$92, ""))</f>
        <v>1</v>
      </c>
      <c r="ET129" s="36">
        <f t="shared" si="85"/>
        <v>2</v>
      </c>
      <c r="EU129" s="40">
        <f>COUNTIF($ET$2:$ET$92, ET129)/(COUNTIF($ET$2:$ET$92, "&lt;&gt;""") - COUNTIF($ET$2:$ET$92, ""))</f>
        <v>0.45555555555555555</v>
      </c>
      <c r="EV129" s="36">
        <f t="shared" si="86"/>
        <v>5</v>
      </c>
      <c r="EW129" s="40">
        <f>COUNTIF($EV$2:$EV$92, EV129)/(COUNTIF($EV$2:$EV$92, "&lt;&gt;""") - COUNTIF($EV$2:$EV$92, ""))</f>
        <v>0.13333333333333333</v>
      </c>
      <c r="EX129" s="36" t="str">
        <f t="shared" si="87"/>
        <v>Yes</v>
      </c>
      <c r="EY129" s="40">
        <f>COUNTIF($EX$2:$EX$92, EX129)/(COUNTIF($EX$2:$EX$92, "&lt;&gt;""") - COUNTIF($EX$2:$EX$92, ""))</f>
        <v>0.27777777777777779</v>
      </c>
      <c r="EZ129" s="36" t="str">
        <f t="shared" ref="EZ129:FB129" si="252">BM129</f>
        <v>No</v>
      </c>
      <c r="FA129" s="36" t="str">
        <f t="shared" si="252"/>
        <v>Yes</v>
      </c>
      <c r="FB129" s="36" t="str">
        <f t="shared" si="252"/>
        <v>No</v>
      </c>
      <c r="FC129" s="207"/>
      <c r="FD129" s="36" t="str">
        <f t="shared" si="89"/>
        <v>Recurring</v>
      </c>
      <c r="FE129" s="40">
        <f>COUNTIF($FD$2:$FD$92, FD129)/(COUNTIF($FD$2:$FD$92, "&lt;&gt;""") - COUNTIF($FD$2:$FD$92, ""))</f>
        <v>0.4</v>
      </c>
      <c r="FF129" s="36" t="str">
        <f t="shared" si="90"/>
        <v>B2C</v>
      </c>
      <c r="FG129" s="40">
        <f>COUNTIF($FF$2:$FF$92, FF129)/(COUNTIF($FF$2:$FF$92, "&lt;&gt;""") - COUNTIF($FF$2:$FF$92, ""))</f>
        <v>0.41111111111111109</v>
      </c>
      <c r="FH129" s="36" t="str">
        <f t="shared" si="91"/>
        <v>Low</v>
      </c>
      <c r="FI129" s="40">
        <f>COUNTIF($FH$2:$FH$92, FH129)/(COUNTIF($FH$2:$FH$92, "&lt;&gt;""") - COUNTIF($FH$2:$FH$92, ""))</f>
        <v>0.46666666666666667</v>
      </c>
      <c r="FJ129" s="36" t="str">
        <f t="shared" si="92"/>
        <v>High</v>
      </c>
      <c r="FK129" s="40">
        <f>COUNTIF($FJ$2:$FJ$92, FJ129)/(COUNTIF($FJ$2:$FJ$92, "&lt;&gt;""") - COUNTIF($FJ$2:$FJ$92, ""))</f>
        <v>0.58888888888888891</v>
      </c>
      <c r="FL129" s="207"/>
      <c r="FM129" s="192">
        <f t="shared" si="93"/>
        <v>5</v>
      </c>
      <c r="FN129" s="192" t="e">
        <f t="shared" ca="1" si="94"/>
        <v>#NAME?</v>
      </c>
      <c r="FO129" s="192" t="e">
        <f t="shared" ca="1" si="95"/>
        <v>#NAME?</v>
      </c>
      <c r="FP129" s="192" t="e">
        <f t="shared" ca="1" si="96"/>
        <v>#NAME?</v>
      </c>
      <c r="FQ129" s="209" t="e">
        <f t="shared" ca="1" si="97"/>
        <v>#NAME?</v>
      </c>
      <c r="FR129" s="208" t="e">
        <f t="shared" ca="1" si="198"/>
        <v>#NAME?</v>
      </c>
      <c r="FS129" s="36" t="str">
        <f t="shared" si="99"/>
        <v>Pre-Profit</v>
      </c>
      <c r="FT129" s="196">
        <f>COUNTIF($FS$2:$FS$92, FS129)/(COUNTIF($FS$2:$FS$92, "&lt;&gt;""") - COUNTIF($FZ$2:$FZ$92, ""))</f>
        <v>0.51111111111111107</v>
      </c>
      <c r="FU129" s="207"/>
      <c r="FV129" s="192">
        <f t="shared" si="100"/>
        <v>3</v>
      </c>
      <c r="FW129" s="197" t="e">
        <f t="shared" ca="1" si="101"/>
        <v>#NAME?</v>
      </c>
      <c r="FX129" s="209" t="e">
        <f t="shared" ca="1" si="102"/>
        <v>#NAME?</v>
      </c>
      <c r="FY129" s="211" t="e">
        <f t="shared" ca="1" si="199"/>
        <v>#NAME?</v>
      </c>
      <c r="FZ129" s="36" t="str">
        <f t="shared" si="104"/>
        <v>No</v>
      </c>
      <c r="GA129" s="196">
        <f>COUNTIF($FZ$2:$FZ$92, FZ129)/(COUNTIF($FZ$2:$FZ$92, "&lt;&gt;""") - COUNTIF($FZ$2:$FZ$92, ""))</f>
        <v>0.76666666666666672</v>
      </c>
      <c r="GB129" s="196" t="str">
        <f t="shared" si="105"/>
        <v>Low</v>
      </c>
      <c r="GC129" s="196">
        <f>COUNTIF($GB$2:$GB$92, GB129)/(COUNTIF($GB$2:$GB$92, "&lt;&gt;""") - COUNTIF($GB$2:$GB$92, ""))</f>
        <v>0.55555555555555558</v>
      </c>
      <c r="GD129" s="196" t="str">
        <f t="shared" si="106"/>
        <v>High</v>
      </c>
      <c r="GE129" s="196">
        <f>COUNTIF($GD$2:$GD$92, GD129)/(COUNTIF($GD$2:$GD$92, "&lt;&gt;""") - COUNTIF($GD$2:$GD$92, ""))</f>
        <v>0.8</v>
      </c>
      <c r="GF129" s="207"/>
      <c r="GG129" s="36"/>
      <c r="GH129" s="209" t="e">
        <f t="shared" ca="1" si="107"/>
        <v>#NAME?</v>
      </c>
      <c r="GI129" s="212" t="e">
        <f t="shared" ca="1" si="200"/>
        <v>#NAME?</v>
      </c>
    </row>
    <row r="130" spans="1:191" ht="15.75" customHeight="1">
      <c r="A130" s="171"/>
      <c r="B130" s="171" t="s">
        <v>355</v>
      </c>
      <c r="C130" s="16">
        <v>1707572</v>
      </c>
      <c r="D130" s="233" t="s">
        <v>1253</v>
      </c>
      <c r="E130" s="234">
        <v>43836.487500000003</v>
      </c>
      <c r="F130" s="16" t="s">
        <v>344</v>
      </c>
      <c r="G130" s="235" t="s">
        <v>1254</v>
      </c>
      <c r="H130" s="235" t="s">
        <v>1255</v>
      </c>
      <c r="I130" s="241">
        <v>43818</v>
      </c>
      <c r="J130" s="233" t="s">
        <v>1253</v>
      </c>
      <c r="K130" s="233" t="s">
        <v>1256</v>
      </c>
      <c r="M130" s="35" t="s">
        <v>293</v>
      </c>
      <c r="N130" s="16" t="s">
        <v>287</v>
      </c>
      <c r="O130" s="16" t="s">
        <v>30</v>
      </c>
      <c r="P130" s="16" t="s">
        <v>174</v>
      </c>
      <c r="Q130" s="16" t="s">
        <v>35</v>
      </c>
      <c r="S130" s="16" t="s">
        <v>269</v>
      </c>
      <c r="T130" s="237"/>
      <c r="U130" s="213"/>
      <c r="V130" s="54"/>
      <c r="W130" s="54">
        <v>10000000</v>
      </c>
      <c r="X130" s="226">
        <v>0.2</v>
      </c>
      <c r="Y130" s="55">
        <f t="shared" si="158"/>
        <v>8000000</v>
      </c>
      <c r="Z130" s="274">
        <f t="shared" si="159"/>
        <v>8000000</v>
      </c>
      <c r="AA130" s="183" t="e">
        <f t="shared" ca="1" si="160"/>
        <v>#NAME?</v>
      </c>
      <c r="AB130" s="16" t="s">
        <v>178</v>
      </c>
      <c r="AC130" s="16" t="s">
        <v>179</v>
      </c>
      <c r="AD130" s="16" t="s">
        <v>180</v>
      </c>
      <c r="AE130" s="16" t="s">
        <v>227</v>
      </c>
      <c r="AF130" s="16" t="s">
        <v>39</v>
      </c>
      <c r="AG130" s="16" t="s">
        <v>181</v>
      </c>
      <c r="AH130" s="16" t="s">
        <v>190</v>
      </c>
      <c r="AI130" s="54"/>
      <c r="AJ130" s="278">
        <v>100000000000</v>
      </c>
      <c r="AK130" s="224" t="e">
        <f t="shared" ca="1" si="161"/>
        <v>#NAME?</v>
      </c>
      <c r="AL130" s="278">
        <v>200000000</v>
      </c>
      <c r="AM130" s="224" t="e">
        <f t="shared" ca="1" si="162"/>
        <v>#NAME?</v>
      </c>
      <c r="AN130" s="278">
        <v>0.03</v>
      </c>
      <c r="AO130" s="185" t="e">
        <f t="shared" ca="1" si="63"/>
        <v>#NAME?</v>
      </c>
      <c r="AP130" s="185" t="s">
        <v>192</v>
      </c>
      <c r="AQ130" s="16" t="s">
        <v>39</v>
      </c>
      <c r="AR130" s="16" t="s">
        <v>181</v>
      </c>
      <c r="AS130" s="16" t="s">
        <v>182</v>
      </c>
      <c r="AT130" s="159" t="s">
        <v>181</v>
      </c>
      <c r="AU130" s="159" t="s">
        <v>39</v>
      </c>
      <c r="AV130" s="16" t="s">
        <v>190</v>
      </c>
      <c r="AW130" s="16" t="s">
        <v>190</v>
      </c>
      <c r="AX130" s="16" t="s">
        <v>227</v>
      </c>
      <c r="AY130" s="16" t="s">
        <v>227</v>
      </c>
      <c r="AZ130" s="54">
        <v>9301</v>
      </c>
      <c r="BA130" s="55" t="e">
        <f t="shared" ca="1" si="163"/>
        <v>#NAME?</v>
      </c>
      <c r="BB130" s="278">
        <v>13464</v>
      </c>
      <c r="BC130" s="278">
        <v>675789</v>
      </c>
      <c r="BD130" s="62" t="e">
        <f t="shared" ca="1" si="164"/>
        <v>#NAME?</v>
      </c>
      <c r="BE130" s="277">
        <f t="shared" si="165"/>
        <v>1.9923378450966204E-2</v>
      </c>
      <c r="BF130" s="62" t="e">
        <f t="shared" ca="1" si="166"/>
        <v>#NAME?</v>
      </c>
      <c r="BG130" s="16" t="s">
        <v>202</v>
      </c>
      <c r="BI130" s="16" t="s">
        <v>190</v>
      </c>
      <c r="BJ130" s="16">
        <v>0</v>
      </c>
      <c r="BK130" s="278">
        <v>2</v>
      </c>
      <c r="BL130" s="16" t="s">
        <v>190</v>
      </c>
      <c r="BM130" s="16" t="s">
        <v>190</v>
      </c>
      <c r="BN130" s="16" t="s">
        <v>227</v>
      </c>
      <c r="BO130" s="16" t="s">
        <v>190</v>
      </c>
      <c r="BP130" s="16">
        <v>4</v>
      </c>
      <c r="BQ130" s="16">
        <v>4</v>
      </c>
      <c r="BR130" s="16">
        <v>0</v>
      </c>
      <c r="BS130" s="16">
        <v>0</v>
      </c>
      <c r="BT130" s="205"/>
      <c r="BU130" s="16">
        <v>20</v>
      </c>
      <c r="BV130" s="16">
        <v>0</v>
      </c>
      <c r="BW130" s="16">
        <v>52</v>
      </c>
      <c r="BX130" s="16" t="s">
        <v>227</v>
      </c>
      <c r="BY130" s="205"/>
      <c r="BZ130" s="16">
        <v>20</v>
      </c>
      <c r="CA130" s="16">
        <v>0</v>
      </c>
      <c r="CB130" s="16">
        <v>48</v>
      </c>
      <c r="CC130" s="16" t="s">
        <v>227</v>
      </c>
      <c r="CD130" s="205"/>
      <c r="CI130" s="205"/>
      <c r="CN130" s="205"/>
      <c r="CS130" s="205"/>
      <c r="CX130" s="205"/>
      <c r="DC130" s="205"/>
      <c r="DH130" s="205"/>
      <c r="DM130" s="205"/>
      <c r="DN130" s="205"/>
      <c r="DO130" s="205"/>
      <c r="DQ130" s="206"/>
      <c r="DR130" s="188">
        <f t="shared" si="64"/>
        <v>20</v>
      </c>
      <c r="DS130" s="188"/>
      <c r="DT130" s="189">
        <f t="shared" si="65"/>
        <v>0</v>
      </c>
      <c r="DU130" s="189"/>
      <c r="DV130" s="188">
        <f t="shared" si="66"/>
        <v>50</v>
      </c>
      <c r="DW130" s="183" t="e">
        <f t="shared" ca="1" si="67"/>
        <v>#NAME?</v>
      </c>
      <c r="DX130" s="207"/>
      <c r="DY130" s="190" t="e">
        <f t="shared" ca="1" si="68"/>
        <v>#NAME?</v>
      </c>
      <c r="DZ130" s="191">
        <f t="shared" si="190"/>
        <v>3.1052631578947367</v>
      </c>
      <c r="EA130" s="191" t="str">
        <f t="shared" si="191"/>
        <v/>
      </c>
      <c r="EB130" s="191" t="str">
        <f t="shared" si="192"/>
        <v/>
      </c>
      <c r="EC130" s="208" t="e">
        <f t="shared" ca="1" si="72"/>
        <v>#NAME?</v>
      </c>
      <c r="ED130" s="36" t="str">
        <f t="shared" si="73"/>
        <v>SAFE</v>
      </c>
      <c r="EE130" s="193">
        <f>COUNTIF($ED$2:$ED$92, ED130)/(COUNTIF($ED$2:$ED$92, "&lt;&gt;""") - COUNTIF($ED$2:$ED$92, ""))</f>
        <v>0.37777777777777777</v>
      </c>
      <c r="EF130" s="36" t="str">
        <f t="shared" si="74"/>
        <v>Early</v>
      </c>
      <c r="EG130" s="207"/>
      <c r="EH130" s="194" t="e">
        <f t="shared" ca="1" si="75"/>
        <v>#NAME?</v>
      </c>
      <c r="EI130" s="194" t="e">
        <f t="shared" ca="1" si="76"/>
        <v>#NAME?</v>
      </c>
      <c r="EJ130" s="209" t="e">
        <f t="shared" ca="1" si="77"/>
        <v>#NAME?</v>
      </c>
      <c r="EK130" s="208" t="e">
        <f t="shared" ca="1" si="193"/>
        <v>#NAME?</v>
      </c>
      <c r="EL130" s="36" t="str">
        <f t="shared" si="79"/>
        <v>No</v>
      </c>
      <c r="EM130" s="207"/>
      <c r="EN130" s="192">
        <f t="shared" si="194"/>
        <v>2.9047619047619047</v>
      </c>
      <c r="EO130" s="192">
        <f t="shared" si="195"/>
        <v>1</v>
      </c>
      <c r="EP130" s="209">
        <f t="shared" si="82"/>
        <v>3.9047619047619047</v>
      </c>
      <c r="EQ130" s="210">
        <f t="shared" si="196"/>
        <v>2.4953271028037385</v>
      </c>
      <c r="ER130" s="36" t="e">
        <f t="shared" ca="1" si="84"/>
        <v>#NAME?</v>
      </c>
      <c r="ES130" s="40">
        <f ca="1">COUNTIF($ER$2:$ER$92, ER130)/(COUNTIF($ER$2:$ER$92, "&lt;&gt;""") - COUNTIF($ER$2:$ER$92, ""))</f>
        <v>1</v>
      </c>
      <c r="ET130" s="36">
        <f t="shared" si="85"/>
        <v>2</v>
      </c>
      <c r="EU130" s="40">
        <f>COUNTIF($ET$2:$ET$92, ET130)/(COUNTIF($ET$2:$ET$92, "&lt;&gt;""") - COUNTIF($ET$2:$ET$92, ""))</f>
        <v>0.45555555555555555</v>
      </c>
      <c r="EV130" s="36">
        <f t="shared" si="86"/>
        <v>4</v>
      </c>
      <c r="EW130" s="40">
        <f>COUNTIF($EV$2:$EV$92, EV130)/(COUNTIF($EV$2:$EV$92, "&lt;&gt;""") - COUNTIF($EV$2:$EV$92, ""))</f>
        <v>0.12222222222222222</v>
      </c>
      <c r="EX130" s="36" t="str">
        <f t="shared" si="87"/>
        <v>No</v>
      </c>
      <c r="EY130" s="40">
        <f>COUNTIF($EX$2:$EX$92, EX130)/(COUNTIF($EX$2:$EX$92, "&lt;&gt;""") - COUNTIF($EX$2:$EX$92, ""))</f>
        <v>0.72222222222222221</v>
      </c>
      <c r="EZ130" s="36" t="str">
        <f t="shared" ref="EZ130:FB130" si="253">BM130</f>
        <v>No</v>
      </c>
      <c r="FA130" s="36" t="str">
        <f t="shared" si="253"/>
        <v>Yes</v>
      </c>
      <c r="FB130" s="36" t="str">
        <f t="shared" si="253"/>
        <v>No</v>
      </c>
      <c r="FC130" s="207"/>
      <c r="FD130" s="36" t="str">
        <f t="shared" si="89"/>
        <v>Recurring</v>
      </c>
      <c r="FE130" s="40">
        <f>COUNTIF($FD$2:$FD$92, FD130)/(COUNTIF($FD$2:$FD$92, "&lt;&gt;""") - COUNTIF($FD$2:$FD$92, ""))</f>
        <v>0.4</v>
      </c>
      <c r="FF130" s="36" t="str">
        <f t="shared" si="90"/>
        <v>B2C</v>
      </c>
      <c r="FG130" s="40">
        <f>COUNTIF($FF$2:$FF$92, FF130)/(COUNTIF($FF$2:$FF$92, "&lt;&gt;""") - COUNTIF($FF$2:$FF$92, ""))</f>
        <v>0.41111111111111109</v>
      </c>
      <c r="FH130" s="36" t="str">
        <f t="shared" si="91"/>
        <v>High</v>
      </c>
      <c r="FI130" s="40">
        <f>COUNTIF($FH$2:$FH$92, FH130)/(COUNTIF($FH$2:$FH$92, "&lt;&gt;""") - COUNTIF($FH$2:$FH$92, ""))</f>
        <v>0.53333333333333333</v>
      </c>
      <c r="FJ130" s="36" t="str">
        <f t="shared" si="92"/>
        <v>Low</v>
      </c>
      <c r="FK130" s="40">
        <f>COUNTIF($FJ$2:$FJ$92, FJ130)/(COUNTIF($FJ$2:$FJ$92, "&lt;&gt;""") - COUNTIF($FJ$2:$FJ$92, ""))</f>
        <v>0.41111111111111109</v>
      </c>
      <c r="FL130" s="207"/>
      <c r="FM130" s="192">
        <f t="shared" si="93"/>
        <v>5</v>
      </c>
      <c r="FN130" s="192" t="e">
        <f t="shared" ca="1" si="94"/>
        <v>#NAME?</v>
      </c>
      <c r="FO130" s="192" t="e">
        <f t="shared" ca="1" si="95"/>
        <v>#NAME?</v>
      </c>
      <c r="FP130" s="192" t="e">
        <f t="shared" ca="1" si="96"/>
        <v>#NAME?</v>
      </c>
      <c r="FQ130" s="209" t="e">
        <f t="shared" ca="1" si="97"/>
        <v>#NAME?</v>
      </c>
      <c r="FR130" s="208" t="e">
        <f t="shared" ca="1" si="198"/>
        <v>#NAME?</v>
      </c>
      <c r="FS130" s="36" t="str">
        <f t="shared" si="99"/>
        <v>Pre-Profit</v>
      </c>
      <c r="FT130" s="196">
        <f>COUNTIF($FS$2:$FS$92, FS130)/(COUNTIF($FS$2:$FS$92, "&lt;&gt;""") - COUNTIF($FZ$2:$FZ$92, ""))</f>
        <v>0.51111111111111107</v>
      </c>
      <c r="FU130" s="207"/>
      <c r="FV130" s="192">
        <f t="shared" si="100"/>
        <v>3</v>
      </c>
      <c r="FW130" s="197" t="e">
        <f t="shared" ca="1" si="101"/>
        <v>#NAME?</v>
      </c>
      <c r="FX130" s="209" t="e">
        <f t="shared" ca="1" si="102"/>
        <v>#NAME?</v>
      </c>
      <c r="FY130" s="211" t="e">
        <f t="shared" ca="1" si="199"/>
        <v>#NAME?</v>
      </c>
      <c r="FZ130" s="36" t="str">
        <f t="shared" si="104"/>
        <v>No</v>
      </c>
      <c r="GA130" s="196">
        <f>COUNTIF($FZ$2:$FZ$92, FZ130)/(COUNTIF($FZ$2:$FZ$92, "&lt;&gt;""") - COUNTIF($FZ$2:$FZ$92, ""))</f>
        <v>0.76666666666666672</v>
      </c>
      <c r="GB130" s="196" t="str">
        <f t="shared" si="105"/>
        <v>Low</v>
      </c>
      <c r="GC130" s="196">
        <f>COUNTIF($GB$2:$GB$92, GB130)/(COUNTIF($GB$2:$GB$92, "&lt;&gt;""") - COUNTIF($GB$2:$GB$92, ""))</f>
        <v>0.55555555555555558</v>
      </c>
      <c r="GD130" s="196" t="str">
        <f t="shared" si="106"/>
        <v>High</v>
      </c>
      <c r="GE130" s="196">
        <f>COUNTIF($GD$2:$GD$92, GD130)/(COUNTIF($GD$2:$GD$92, "&lt;&gt;""") - COUNTIF($GD$2:$GD$92, ""))</f>
        <v>0.8</v>
      </c>
      <c r="GF130" s="207"/>
      <c r="GG130" s="36"/>
      <c r="GH130" s="209" t="e">
        <f t="shared" ca="1" si="107"/>
        <v>#NAME?</v>
      </c>
      <c r="GI130" s="212" t="e">
        <f t="shared" ca="1" si="200"/>
        <v>#NAME?</v>
      </c>
    </row>
    <row r="131" spans="1:191" ht="15.75" customHeight="1">
      <c r="A131" s="171"/>
      <c r="B131" s="171" t="s">
        <v>355</v>
      </c>
      <c r="C131" s="16">
        <v>1783627</v>
      </c>
      <c r="D131" s="233" t="s">
        <v>1257</v>
      </c>
      <c r="E131" s="234">
        <v>43836.503472222219</v>
      </c>
      <c r="F131" s="16" t="s">
        <v>344</v>
      </c>
      <c r="G131" s="235" t="s">
        <v>1258</v>
      </c>
      <c r="H131" s="235" t="s">
        <v>1259</v>
      </c>
      <c r="I131" s="241">
        <v>43728</v>
      </c>
      <c r="J131" s="233" t="s">
        <v>1260</v>
      </c>
      <c r="K131" s="233" t="s">
        <v>1257</v>
      </c>
      <c r="M131" s="35" t="s">
        <v>293</v>
      </c>
      <c r="N131" s="16" t="s">
        <v>336</v>
      </c>
      <c r="O131" s="16" t="s">
        <v>30</v>
      </c>
      <c r="P131" s="16" t="s">
        <v>174</v>
      </c>
      <c r="Q131" s="16" t="s">
        <v>35</v>
      </c>
      <c r="S131" s="16" t="s">
        <v>232</v>
      </c>
      <c r="T131" s="237"/>
      <c r="U131" s="213"/>
      <c r="V131" s="54">
        <v>2000000</v>
      </c>
      <c r="W131" s="54"/>
      <c r="X131" s="226"/>
      <c r="Y131" s="55" t="str">
        <f t="shared" si="158"/>
        <v/>
      </c>
      <c r="Z131" s="274">
        <f t="shared" si="159"/>
        <v>2000000</v>
      </c>
      <c r="AA131" s="183" t="e">
        <f t="shared" ca="1" si="160"/>
        <v>#NAME?</v>
      </c>
      <c r="AB131" s="16" t="s">
        <v>36</v>
      </c>
      <c r="AC131" s="16" t="s">
        <v>179</v>
      </c>
      <c r="AD131" s="16" t="s">
        <v>38</v>
      </c>
      <c r="AE131" s="16" t="s">
        <v>190</v>
      </c>
      <c r="AF131" s="16" t="s">
        <v>181</v>
      </c>
      <c r="AG131" s="16" t="s">
        <v>39</v>
      </c>
      <c r="AH131" s="16" t="s">
        <v>190</v>
      </c>
      <c r="AI131" s="54"/>
      <c r="AJ131" s="278">
        <v>7000000000</v>
      </c>
      <c r="AK131" s="224" t="e">
        <f t="shared" ca="1" si="161"/>
        <v>#NAME?</v>
      </c>
      <c r="AL131" s="278">
        <v>100000000</v>
      </c>
      <c r="AM131" s="224" t="e">
        <f t="shared" ca="1" si="162"/>
        <v>#NAME?</v>
      </c>
      <c r="AN131" s="278">
        <v>0.3</v>
      </c>
      <c r="AO131" s="185" t="e">
        <f t="shared" ca="1" si="63"/>
        <v>#NAME?</v>
      </c>
      <c r="AP131" s="185" t="s">
        <v>252</v>
      </c>
      <c r="AQ131" s="16" t="s">
        <v>181</v>
      </c>
      <c r="AR131" s="16" t="s">
        <v>181</v>
      </c>
      <c r="AS131" s="16" t="s">
        <v>42</v>
      </c>
      <c r="AT131" s="159" t="s">
        <v>181</v>
      </c>
      <c r="AU131" s="159" t="s">
        <v>39</v>
      </c>
      <c r="AV131" s="16" t="s">
        <v>190</v>
      </c>
      <c r="AW131" s="16" t="s">
        <v>190</v>
      </c>
      <c r="AX131" s="16" t="s">
        <v>227</v>
      </c>
      <c r="AY131" s="16" t="s">
        <v>227</v>
      </c>
      <c r="AZ131" s="54">
        <v>510377</v>
      </c>
      <c r="BA131" s="55" t="e">
        <f t="shared" ca="1" si="163"/>
        <v>#NAME?</v>
      </c>
      <c r="BB131" s="278">
        <v>0</v>
      </c>
      <c r="BC131" s="278">
        <v>131876</v>
      </c>
      <c r="BD131" s="62" t="e">
        <f t="shared" ca="1" si="164"/>
        <v>#NAME?</v>
      </c>
      <c r="BE131" s="277">
        <f t="shared" si="165"/>
        <v>1</v>
      </c>
      <c r="BF131" s="62" t="e">
        <f t="shared" ca="1" si="166"/>
        <v>#NAME?</v>
      </c>
      <c r="BG131" s="16" t="s">
        <v>219</v>
      </c>
      <c r="BI131" s="16" t="s">
        <v>190</v>
      </c>
      <c r="BJ131" s="16">
        <v>0</v>
      </c>
      <c r="BK131" s="278">
        <v>1</v>
      </c>
      <c r="BL131" s="16" t="s">
        <v>190</v>
      </c>
      <c r="BM131" s="16" t="s">
        <v>227</v>
      </c>
      <c r="BN131" s="16" t="s">
        <v>190</v>
      </c>
      <c r="BO131" s="16" t="s">
        <v>190</v>
      </c>
      <c r="BP131" s="16">
        <v>1</v>
      </c>
      <c r="BQ131" s="16">
        <v>1</v>
      </c>
      <c r="BR131" s="16">
        <v>0</v>
      </c>
      <c r="BS131" s="16">
        <v>0</v>
      </c>
      <c r="BT131" s="205"/>
      <c r="BU131" s="16">
        <v>0</v>
      </c>
      <c r="BV131" s="16">
        <v>0</v>
      </c>
      <c r="BW131" s="16">
        <v>57</v>
      </c>
      <c r="BX131" s="16" t="s">
        <v>190</v>
      </c>
      <c r="BY131" s="205"/>
      <c r="CD131" s="205"/>
      <c r="CI131" s="205"/>
      <c r="CN131" s="205"/>
      <c r="CS131" s="205"/>
      <c r="CX131" s="205"/>
      <c r="DC131" s="205"/>
      <c r="DH131" s="205"/>
      <c r="DM131" s="205"/>
      <c r="DN131" s="205"/>
      <c r="DO131" s="205"/>
      <c r="DQ131" s="206"/>
      <c r="DR131" s="188">
        <f t="shared" si="64"/>
        <v>0</v>
      </c>
      <c r="DS131" s="188"/>
      <c r="DT131" s="189">
        <f t="shared" si="65"/>
        <v>0</v>
      </c>
      <c r="DU131" s="189"/>
      <c r="DV131" s="188">
        <f t="shared" si="66"/>
        <v>57</v>
      </c>
      <c r="DW131" s="183" t="e">
        <f t="shared" ca="1" si="67"/>
        <v>#NAME?</v>
      </c>
      <c r="DX131" s="207"/>
      <c r="DY131" s="190" t="e">
        <f t="shared" ca="1" si="68"/>
        <v>#NAME?</v>
      </c>
      <c r="DZ131" s="191" t="str">
        <f t="shared" si="190"/>
        <v/>
      </c>
      <c r="EA131" s="191" t="str">
        <f t="shared" si="191"/>
        <v/>
      </c>
      <c r="EB131" s="191" t="str">
        <f t="shared" si="192"/>
        <v/>
      </c>
      <c r="EC131" s="208" t="e">
        <f t="shared" ca="1" si="72"/>
        <v>#NAME?</v>
      </c>
      <c r="ED131" s="36" t="str">
        <f t="shared" si="73"/>
        <v>Equity - Preferred</v>
      </c>
      <c r="EE131" s="193">
        <f>COUNTIF($ED$2:$ED$92, ED131)/(COUNTIF($ED$2:$ED$92, "&lt;&gt;""") - COUNTIF($ED$2:$ED$92, ""))</f>
        <v>6.6666666666666666E-2</v>
      </c>
      <c r="EF131" s="36" t="str">
        <f t="shared" si="74"/>
        <v>Early</v>
      </c>
      <c r="EG131" s="207"/>
      <c r="EH131" s="194" t="e">
        <f t="shared" ca="1" si="75"/>
        <v>#NAME?</v>
      </c>
      <c r="EI131" s="194" t="e">
        <f t="shared" ca="1" si="76"/>
        <v>#NAME?</v>
      </c>
      <c r="EJ131" s="209" t="e">
        <f t="shared" ca="1" si="77"/>
        <v>#NAME?</v>
      </c>
      <c r="EK131" s="208" t="e">
        <f t="shared" ca="1" si="193"/>
        <v>#NAME?</v>
      </c>
      <c r="EL131" s="36" t="str">
        <f t="shared" si="79"/>
        <v>No</v>
      </c>
      <c r="EM131" s="207"/>
      <c r="EN131" s="192">
        <f t="shared" si="194"/>
        <v>1</v>
      </c>
      <c r="EO131" s="192">
        <f t="shared" si="195"/>
        <v>1</v>
      </c>
      <c r="EP131" s="209">
        <f t="shared" si="82"/>
        <v>2</v>
      </c>
      <c r="EQ131" s="210">
        <f t="shared" si="196"/>
        <v>1</v>
      </c>
      <c r="ER131" s="36" t="e">
        <f t="shared" ca="1" si="84"/>
        <v>#NAME?</v>
      </c>
      <c r="ES131" s="40">
        <f ca="1">COUNTIF($ER$2:$ER$92, ER131)/(COUNTIF($ER$2:$ER$92, "&lt;&gt;""") - COUNTIF($ER$2:$ER$92, ""))</f>
        <v>1</v>
      </c>
      <c r="ET131" s="36">
        <f t="shared" si="85"/>
        <v>1</v>
      </c>
      <c r="EU131" s="40">
        <f>COUNTIF($ET$2:$ET$92, ET131)/(COUNTIF($ET$2:$ET$92, "&lt;&gt;""") - COUNTIF($ET$2:$ET$92, ""))</f>
        <v>0.45555555555555555</v>
      </c>
      <c r="EV131" s="36">
        <f t="shared" si="86"/>
        <v>1</v>
      </c>
      <c r="EW131" s="40">
        <f>COUNTIF($EV$2:$EV$92, EV131)/(COUNTIF($EV$2:$EV$92, "&lt;&gt;""") - COUNTIF($EV$2:$EV$92, ""))</f>
        <v>7.7777777777777779E-2</v>
      </c>
      <c r="EX131" s="36" t="str">
        <f t="shared" si="87"/>
        <v>No</v>
      </c>
      <c r="EY131" s="40">
        <f>COUNTIF($EX$2:$EX$92, EX131)/(COUNTIF($EX$2:$EX$92, "&lt;&gt;""") - COUNTIF($EX$2:$EX$92, ""))</f>
        <v>0.72222222222222221</v>
      </c>
      <c r="EZ131" s="36" t="str">
        <f t="shared" ref="EZ131:FB131" si="254">BM131</f>
        <v>Yes</v>
      </c>
      <c r="FA131" s="36" t="str">
        <f t="shared" si="254"/>
        <v>No</v>
      </c>
      <c r="FB131" s="36" t="str">
        <f t="shared" si="254"/>
        <v>No</v>
      </c>
      <c r="FC131" s="207"/>
      <c r="FD131" s="36" t="str">
        <f t="shared" si="89"/>
        <v>Transactional</v>
      </c>
      <c r="FE131" s="40">
        <f>COUNTIF($FD$2:$FD$92, FD131)/(COUNTIF($FD$2:$FD$92, "&lt;&gt;""") - COUNTIF($FD$2:$FD$92, ""))</f>
        <v>0.6</v>
      </c>
      <c r="FF131" s="36" t="str">
        <f t="shared" si="90"/>
        <v>B2C</v>
      </c>
      <c r="FG131" s="40">
        <f>COUNTIF($FF$2:$FF$92, FF131)/(COUNTIF($FF$2:$FF$92, "&lt;&gt;""") - COUNTIF($FF$2:$FF$92, ""))</f>
        <v>0.41111111111111109</v>
      </c>
      <c r="FH131" s="36" t="str">
        <f t="shared" si="91"/>
        <v>Low</v>
      </c>
      <c r="FI131" s="40">
        <f>COUNTIF($FH$2:$FH$92, FH131)/(COUNTIF($FH$2:$FH$92, "&lt;&gt;""") - COUNTIF($FH$2:$FH$92, ""))</f>
        <v>0.46666666666666667</v>
      </c>
      <c r="FJ131" s="36" t="str">
        <f t="shared" si="92"/>
        <v>High</v>
      </c>
      <c r="FK131" s="40">
        <f>COUNTIF($FJ$2:$FJ$92, FJ131)/(COUNTIF($FJ$2:$FJ$92, "&lt;&gt;""") - COUNTIF($FJ$2:$FJ$92, ""))</f>
        <v>0.58888888888888891</v>
      </c>
      <c r="FL131" s="207"/>
      <c r="FM131" s="192">
        <f t="shared" si="93"/>
        <v>5</v>
      </c>
      <c r="FN131" s="192" t="e">
        <f t="shared" ca="1" si="94"/>
        <v>#NAME?</v>
      </c>
      <c r="FO131" s="192" t="e">
        <f t="shared" ca="1" si="95"/>
        <v>#NAME?</v>
      </c>
      <c r="FP131" s="192" t="e">
        <f t="shared" ca="1" si="96"/>
        <v>#NAME?</v>
      </c>
      <c r="FQ131" s="209" t="e">
        <f t="shared" ca="1" si="97"/>
        <v>#NAME?</v>
      </c>
      <c r="FR131" s="208" t="e">
        <f t="shared" ca="1" si="198"/>
        <v>#NAME?</v>
      </c>
      <c r="FS131" s="36" t="str">
        <f t="shared" si="99"/>
        <v>Profitable</v>
      </c>
      <c r="FT131" s="196">
        <f>COUNTIF($FS$2:$FS$92, FS131)/(COUNTIF($FS$2:$FS$92, "&lt;&gt;""") - COUNTIF($FZ$2:$FZ$92, ""))</f>
        <v>6.6666666666666666E-2</v>
      </c>
      <c r="FU131" s="207"/>
      <c r="FV131" s="192" t="e">
        <f t="shared" ca="1" si="100"/>
        <v>#NAME?</v>
      </c>
      <c r="FW131" s="197" t="e">
        <f t="shared" ca="1" si="101"/>
        <v>#NAME?</v>
      </c>
      <c r="FX131" s="209" t="e">
        <f t="shared" ca="1" si="102"/>
        <v>#NAME?</v>
      </c>
      <c r="FY131" s="211" t="e">
        <f t="shared" ca="1" si="199"/>
        <v>#NAME?</v>
      </c>
      <c r="FZ131" s="36" t="str">
        <f t="shared" si="104"/>
        <v>No</v>
      </c>
      <c r="GA131" s="196">
        <f>COUNTIF($FZ$2:$FZ$92, FZ131)/(COUNTIF($FZ$2:$FZ$92, "&lt;&gt;""") - COUNTIF($FZ$2:$FZ$92, ""))</f>
        <v>0.76666666666666672</v>
      </c>
      <c r="GB131" s="196" t="str">
        <f t="shared" si="105"/>
        <v>Low</v>
      </c>
      <c r="GC131" s="196">
        <f>COUNTIF($GB$2:$GB$92, GB131)/(COUNTIF($GB$2:$GB$92, "&lt;&gt;""") - COUNTIF($GB$2:$GB$92, ""))</f>
        <v>0.55555555555555558</v>
      </c>
      <c r="GD131" s="196" t="str">
        <f t="shared" si="106"/>
        <v>High</v>
      </c>
      <c r="GE131" s="196">
        <f>COUNTIF($GD$2:$GD$92, GD131)/(COUNTIF($GD$2:$GD$92, "&lt;&gt;""") - COUNTIF($GD$2:$GD$92, ""))</f>
        <v>0.8</v>
      </c>
      <c r="GF131" s="207"/>
      <c r="GG131" s="36"/>
      <c r="GH131" s="209" t="e">
        <f t="shared" ca="1" si="107"/>
        <v>#NAME?</v>
      </c>
      <c r="GI131" s="212" t="e">
        <f t="shared" ca="1" si="200"/>
        <v>#NAME?</v>
      </c>
    </row>
    <row r="132" spans="1:191" ht="15.75" customHeight="1">
      <c r="A132" s="171"/>
      <c r="B132" s="171" t="s">
        <v>355</v>
      </c>
      <c r="C132" s="16">
        <v>1763898</v>
      </c>
      <c r="D132" s="233" t="s">
        <v>1261</v>
      </c>
      <c r="E132" s="234">
        <v>43837.495138888888</v>
      </c>
      <c r="F132" s="16" t="s">
        <v>325</v>
      </c>
      <c r="G132" s="235" t="s">
        <v>1262</v>
      </c>
      <c r="H132" s="235" t="s">
        <v>1263</v>
      </c>
      <c r="I132" s="241">
        <v>43539</v>
      </c>
      <c r="J132" s="233" t="s">
        <v>1264</v>
      </c>
      <c r="K132" s="233" t="s">
        <v>1261</v>
      </c>
      <c r="M132" s="29" t="s">
        <v>253</v>
      </c>
      <c r="N132" s="16" t="s">
        <v>244</v>
      </c>
      <c r="O132" s="16" t="s">
        <v>30</v>
      </c>
      <c r="P132" s="16" t="s">
        <v>31</v>
      </c>
      <c r="Q132" s="16" t="s">
        <v>35</v>
      </c>
      <c r="S132" s="16" t="s">
        <v>34</v>
      </c>
      <c r="T132" s="237"/>
      <c r="U132" s="213"/>
      <c r="V132" s="54"/>
      <c r="W132" s="54">
        <v>580000</v>
      </c>
      <c r="X132" s="226">
        <v>0</v>
      </c>
      <c r="Y132" s="55">
        <f t="shared" si="158"/>
        <v>580000</v>
      </c>
      <c r="Z132" s="274">
        <f t="shared" si="159"/>
        <v>580000</v>
      </c>
      <c r="AA132" s="183" t="e">
        <f t="shared" ca="1" si="160"/>
        <v>#NAME?</v>
      </c>
      <c r="AB132" s="16" t="s">
        <v>36</v>
      </c>
      <c r="AC132" s="16" t="s">
        <v>179</v>
      </c>
      <c r="AD132" s="16" t="s">
        <v>38</v>
      </c>
      <c r="AE132" s="16" t="s">
        <v>190</v>
      </c>
      <c r="AF132" s="16" t="s">
        <v>39</v>
      </c>
      <c r="AG132" s="16" t="s">
        <v>181</v>
      </c>
      <c r="AH132" s="16" t="s">
        <v>190</v>
      </c>
      <c r="AI132" s="54"/>
      <c r="AJ132" s="278">
        <v>7500000000</v>
      </c>
      <c r="AK132" s="224" t="e">
        <f t="shared" ca="1" si="161"/>
        <v>#NAME?</v>
      </c>
      <c r="AL132" s="278">
        <v>10000000</v>
      </c>
      <c r="AM132" s="224" t="e">
        <f t="shared" ca="1" si="162"/>
        <v>#NAME?</v>
      </c>
      <c r="AN132" s="278">
        <v>0.09</v>
      </c>
      <c r="AO132" s="185" t="e">
        <f t="shared" ca="1" si="63"/>
        <v>#NAME?</v>
      </c>
      <c r="AP132" s="185" t="s">
        <v>264</v>
      </c>
      <c r="AQ132" s="16" t="s">
        <v>181</v>
      </c>
      <c r="AR132" s="16" t="s">
        <v>181</v>
      </c>
      <c r="AS132" s="16" t="s">
        <v>201</v>
      </c>
      <c r="AT132" s="159" t="s">
        <v>181</v>
      </c>
      <c r="AU132" s="159" t="s">
        <v>39</v>
      </c>
      <c r="AV132" s="16" t="s">
        <v>190</v>
      </c>
      <c r="AW132" s="16" t="s">
        <v>190</v>
      </c>
      <c r="AX132" s="16" t="s">
        <v>190</v>
      </c>
      <c r="AY132" s="16" t="s">
        <v>190</v>
      </c>
      <c r="AZ132" s="54">
        <v>0</v>
      </c>
      <c r="BA132" s="55" t="e">
        <f t="shared" ca="1" si="163"/>
        <v>#NAME?</v>
      </c>
      <c r="BB132" s="278">
        <v>0</v>
      </c>
      <c r="BC132" s="278">
        <v>0</v>
      </c>
      <c r="BD132" s="62" t="e">
        <f t="shared" ca="1" si="164"/>
        <v>#NAME?</v>
      </c>
      <c r="BE132" s="277">
        <f t="shared" si="165"/>
        <v>1</v>
      </c>
      <c r="BF132" s="62" t="e">
        <f t="shared" ca="1" si="166"/>
        <v>#NAME?</v>
      </c>
      <c r="BG132" s="16" t="s">
        <v>43</v>
      </c>
      <c r="BI132" s="16" t="s">
        <v>190</v>
      </c>
      <c r="BJ132" s="16">
        <v>0</v>
      </c>
      <c r="BK132" s="278">
        <v>1</v>
      </c>
      <c r="BL132" s="16" t="s">
        <v>190</v>
      </c>
      <c r="BM132" s="16" t="s">
        <v>190</v>
      </c>
      <c r="BN132" s="16" t="s">
        <v>227</v>
      </c>
      <c r="BO132" s="16" t="s">
        <v>190</v>
      </c>
      <c r="BP132" s="16">
        <v>1</v>
      </c>
      <c r="BQ132" s="16">
        <v>1</v>
      </c>
      <c r="BR132" s="16">
        <v>0</v>
      </c>
      <c r="BS132" s="16">
        <v>0</v>
      </c>
      <c r="BT132" s="205"/>
      <c r="BU132" s="16">
        <v>0</v>
      </c>
      <c r="BV132" s="16">
        <v>0</v>
      </c>
      <c r="BW132" s="16">
        <v>30</v>
      </c>
      <c r="BX132" s="16" t="s">
        <v>190</v>
      </c>
      <c r="BY132" s="205"/>
      <c r="CD132" s="205"/>
      <c r="CI132" s="205"/>
      <c r="CN132" s="205"/>
      <c r="CS132" s="205"/>
      <c r="CX132" s="205"/>
      <c r="DC132" s="205"/>
      <c r="DH132" s="205"/>
      <c r="DM132" s="205"/>
      <c r="DN132" s="205"/>
      <c r="DO132" s="205"/>
      <c r="DQ132" s="206"/>
      <c r="DR132" s="188">
        <f t="shared" si="64"/>
        <v>0</v>
      </c>
      <c r="DS132" s="188"/>
      <c r="DT132" s="189">
        <f t="shared" si="65"/>
        <v>0</v>
      </c>
      <c r="DU132" s="189"/>
      <c r="DV132" s="188">
        <f t="shared" si="66"/>
        <v>30</v>
      </c>
      <c r="DW132" s="183" t="e">
        <f t="shared" ca="1" si="67"/>
        <v>#NAME?</v>
      </c>
      <c r="DX132" s="207"/>
      <c r="DY132" s="190" t="e">
        <f t="shared" ca="1" si="68"/>
        <v>#NAME?</v>
      </c>
      <c r="DZ132" s="191">
        <f t="shared" si="190"/>
        <v>1</v>
      </c>
      <c r="EA132" s="191" t="str">
        <f t="shared" si="191"/>
        <v/>
      </c>
      <c r="EB132" s="191" t="str">
        <f t="shared" si="192"/>
        <v/>
      </c>
      <c r="EC132" s="208" t="e">
        <f t="shared" ca="1" si="72"/>
        <v>#NAME?</v>
      </c>
      <c r="ED132" s="36" t="str">
        <f t="shared" si="73"/>
        <v>CAFES</v>
      </c>
      <c r="EE132" s="193">
        <f>COUNTIF($ED$2:$ED$92, ED132)/(COUNTIF($ED$2:$ED$92, "&lt;&gt;""") - COUNTIF($ED$2:$ED$92, ""))</f>
        <v>0.1</v>
      </c>
      <c r="EF132" s="36" t="str">
        <f t="shared" si="74"/>
        <v>Early</v>
      </c>
      <c r="EG132" s="207"/>
      <c r="EH132" s="194" t="e">
        <f t="shared" ca="1" si="75"/>
        <v>#NAME?</v>
      </c>
      <c r="EI132" s="194" t="e">
        <f t="shared" ca="1" si="76"/>
        <v>#NAME?</v>
      </c>
      <c r="EJ132" s="209" t="e">
        <f t="shared" ca="1" si="77"/>
        <v>#NAME?</v>
      </c>
      <c r="EK132" s="208" t="e">
        <f t="shared" ca="1" si="193"/>
        <v>#NAME?</v>
      </c>
      <c r="EL132" s="36" t="str">
        <f t="shared" si="79"/>
        <v>No</v>
      </c>
      <c r="EM132" s="207"/>
      <c r="EN132" s="192">
        <f t="shared" si="194"/>
        <v>1</v>
      </c>
      <c r="EO132" s="192">
        <f t="shared" si="195"/>
        <v>1</v>
      </c>
      <c r="EP132" s="209">
        <f t="shared" si="82"/>
        <v>2</v>
      </c>
      <c r="EQ132" s="210">
        <f t="shared" si="196"/>
        <v>1</v>
      </c>
      <c r="ER132" s="36" t="e">
        <f t="shared" ca="1" si="84"/>
        <v>#NAME?</v>
      </c>
      <c r="ES132" s="40">
        <f ca="1">COUNTIF($ER$2:$ER$92, ER132)/(COUNTIF($ER$2:$ER$92, "&lt;&gt;""") - COUNTIF($ER$2:$ER$92, ""))</f>
        <v>1</v>
      </c>
      <c r="ET132" s="36">
        <f t="shared" si="85"/>
        <v>1</v>
      </c>
      <c r="EU132" s="40">
        <f>COUNTIF($ET$2:$ET$92, ET132)/(COUNTIF($ET$2:$ET$92, "&lt;&gt;""") - COUNTIF($ET$2:$ET$92, ""))</f>
        <v>0.45555555555555555</v>
      </c>
      <c r="EV132" s="36">
        <f t="shared" si="86"/>
        <v>1</v>
      </c>
      <c r="EW132" s="40">
        <f>COUNTIF($EV$2:$EV$92, EV132)/(COUNTIF($EV$2:$EV$92, "&lt;&gt;""") - COUNTIF($EV$2:$EV$92, ""))</f>
        <v>7.7777777777777779E-2</v>
      </c>
      <c r="EX132" s="36" t="str">
        <f t="shared" si="87"/>
        <v>No</v>
      </c>
      <c r="EY132" s="40">
        <f>COUNTIF($EX$2:$EX$92, EX132)/(COUNTIF($EX$2:$EX$92, "&lt;&gt;""") - COUNTIF($EX$2:$EX$92, ""))</f>
        <v>0.72222222222222221</v>
      </c>
      <c r="EZ132" s="36" t="str">
        <f t="shared" ref="EZ132:FB132" si="255">BM132</f>
        <v>No</v>
      </c>
      <c r="FA132" s="36" t="str">
        <f t="shared" si="255"/>
        <v>Yes</v>
      </c>
      <c r="FB132" s="36" t="str">
        <f t="shared" si="255"/>
        <v>No</v>
      </c>
      <c r="FC132" s="207"/>
      <c r="FD132" s="36" t="str">
        <f t="shared" si="89"/>
        <v>Transactional</v>
      </c>
      <c r="FE132" s="40">
        <f>COUNTIF($FD$2:$FD$92, FD132)/(COUNTIF($FD$2:$FD$92, "&lt;&gt;""") - COUNTIF($FD$2:$FD$92, ""))</f>
        <v>0.6</v>
      </c>
      <c r="FF132" s="36" t="str">
        <f t="shared" si="90"/>
        <v>B2C</v>
      </c>
      <c r="FG132" s="40">
        <f>COUNTIF($FF$2:$FF$92, FF132)/(COUNTIF($FF$2:$FF$92, "&lt;&gt;""") - COUNTIF($FF$2:$FF$92, ""))</f>
        <v>0.41111111111111109</v>
      </c>
      <c r="FH132" s="36" t="str">
        <f t="shared" si="91"/>
        <v>High</v>
      </c>
      <c r="FI132" s="40">
        <f>COUNTIF($FH$2:$FH$92, FH132)/(COUNTIF($FH$2:$FH$92, "&lt;&gt;""") - COUNTIF($FH$2:$FH$92, ""))</f>
        <v>0.53333333333333333</v>
      </c>
      <c r="FJ132" s="36" t="str">
        <f t="shared" si="92"/>
        <v>Low</v>
      </c>
      <c r="FK132" s="40">
        <f>COUNTIF($FJ$2:$FJ$92, FJ132)/(COUNTIF($FJ$2:$FJ$92, "&lt;&gt;""") - COUNTIF($FJ$2:$FJ$92, ""))</f>
        <v>0.41111111111111109</v>
      </c>
      <c r="FL132" s="207"/>
      <c r="FM132" s="192">
        <f t="shared" si="93"/>
        <v>1</v>
      </c>
      <c r="FN132" s="192" t="e">
        <f t="shared" ca="1" si="94"/>
        <v>#NAME?</v>
      </c>
      <c r="FO132" s="192" t="e">
        <f t="shared" ca="1" si="95"/>
        <v>#NAME?</v>
      </c>
      <c r="FP132" s="192" t="e">
        <f t="shared" ca="1" si="96"/>
        <v>#NAME?</v>
      </c>
      <c r="FQ132" s="209" t="e">
        <f t="shared" ca="1" si="97"/>
        <v>#NAME?</v>
      </c>
      <c r="FR132" s="208" t="e">
        <f t="shared" ca="1" si="198"/>
        <v>#NAME?</v>
      </c>
      <c r="FS132" s="36" t="str">
        <f t="shared" si="99"/>
        <v>Pre-Product</v>
      </c>
      <c r="FT132" s="196">
        <f>COUNTIF($FS$2:$FS$92, FS132)/(COUNTIF($FS$2:$FS$92, "&lt;&gt;""") - COUNTIF($FZ$2:$FZ$92, ""))</f>
        <v>0.22222222222222221</v>
      </c>
      <c r="FU132" s="207"/>
      <c r="FV132" s="192" t="e">
        <f t="shared" ca="1" si="100"/>
        <v>#NAME?</v>
      </c>
      <c r="FW132" s="197" t="e">
        <f t="shared" ca="1" si="101"/>
        <v>#NAME?</v>
      </c>
      <c r="FX132" s="209" t="e">
        <f t="shared" ca="1" si="102"/>
        <v>#NAME?</v>
      </c>
      <c r="FY132" s="211" t="e">
        <f t="shared" ca="1" si="199"/>
        <v>#NAME?</v>
      </c>
      <c r="FZ132" s="36" t="str">
        <f t="shared" si="104"/>
        <v>No</v>
      </c>
      <c r="GA132" s="196">
        <f>COUNTIF($FZ$2:$FZ$92, FZ132)/(COUNTIF($FZ$2:$FZ$92, "&lt;&gt;""") - COUNTIF($FZ$2:$FZ$92, ""))</f>
        <v>0.76666666666666672</v>
      </c>
      <c r="GB132" s="196" t="str">
        <f t="shared" si="105"/>
        <v>Low</v>
      </c>
      <c r="GC132" s="196">
        <f>COUNTIF($GB$2:$GB$92, GB132)/(COUNTIF($GB$2:$GB$92, "&lt;&gt;""") - COUNTIF($GB$2:$GB$92, ""))</f>
        <v>0.55555555555555558</v>
      </c>
      <c r="GD132" s="196" t="str">
        <f t="shared" si="106"/>
        <v>High</v>
      </c>
      <c r="GE132" s="196">
        <f>COUNTIF($GD$2:$GD$92, GD132)/(COUNTIF($GD$2:$GD$92, "&lt;&gt;""") - COUNTIF($GD$2:$GD$92, ""))</f>
        <v>0.8</v>
      </c>
      <c r="GF132" s="207"/>
      <c r="GG132" s="36"/>
      <c r="GH132" s="209" t="e">
        <f t="shared" ca="1" si="107"/>
        <v>#NAME?</v>
      </c>
      <c r="GI132" s="212" t="e">
        <f t="shared" ca="1" si="200"/>
        <v>#NAME?</v>
      </c>
    </row>
    <row r="133" spans="1:191" ht="15.75" customHeight="1">
      <c r="A133" s="171"/>
      <c r="B133" s="171" t="s">
        <v>355</v>
      </c>
      <c r="C133" s="16">
        <v>1797421</v>
      </c>
      <c r="D133" s="233" t="s">
        <v>1265</v>
      </c>
      <c r="E133" s="234">
        <v>43838.469444444447</v>
      </c>
      <c r="F133" s="16" t="s">
        <v>337</v>
      </c>
      <c r="G133" s="235" t="s">
        <v>1266</v>
      </c>
      <c r="H133" s="235" t="s">
        <v>1267</v>
      </c>
      <c r="I133" s="241">
        <v>43838</v>
      </c>
      <c r="J133" s="233" t="s">
        <v>1268</v>
      </c>
      <c r="K133" s="233" t="s">
        <v>1265</v>
      </c>
      <c r="M133" s="29" t="s">
        <v>747</v>
      </c>
      <c r="N133" s="16" t="s">
        <v>300</v>
      </c>
      <c r="O133" s="16" t="s">
        <v>30</v>
      </c>
      <c r="P133" s="16" t="s">
        <v>31</v>
      </c>
      <c r="Q133" s="16" t="s">
        <v>35</v>
      </c>
      <c r="S133" s="16" t="s">
        <v>216</v>
      </c>
      <c r="T133" s="237"/>
      <c r="U133" s="213"/>
      <c r="V133" s="54">
        <v>16000000</v>
      </c>
      <c r="W133" s="54"/>
      <c r="X133" s="226"/>
      <c r="Y133" s="55" t="str">
        <f t="shared" si="158"/>
        <v/>
      </c>
      <c r="Z133" s="274">
        <f t="shared" si="159"/>
        <v>16000000</v>
      </c>
      <c r="AA133" s="183" t="e">
        <f t="shared" ca="1" si="160"/>
        <v>#NAME?</v>
      </c>
      <c r="AB133" s="16" t="s">
        <v>36</v>
      </c>
      <c r="AC133" s="16" t="s">
        <v>218</v>
      </c>
      <c r="AD133" s="16" t="s">
        <v>38</v>
      </c>
      <c r="AE133" s="16" t="s">
        <v>190</v>
      </c>
      <c r="AF133" s="16" t="s">
        <v>39</v>
      </c>
      <c r="AG133" s="16" t="s">
        <v>39</v>
      </c>
      <c r="AH133" s="16" t="s">
        <v>190</v>
      </c>
      <c r="AI133" s="54"/>
      <c r="AJ133" s="278">
        <v>100000000000</v>
      </c>
      <c r="AK133" s="224" t="e">
        <f t="shared" ca="1" si="161"/>
        <v>#NAME?</v>
      </c>
      <c r="AL133" s="278">
        <v>1000000000</v>
      </c>
      <c r="AM133" s="224" t="e">
        <f t="shared" ca="1" si="162"/>
        <v>#NAME?</v>
      </c>
      <c r="AN133" s="278">
        <v>0.04</v>
      </c>
      <c r="AO133" s="185" t="e">
        <f t="shared" ca="1" si="63"/>
        <v>#NAME?</v>
      </c>
      <c r="AP133" s="185" t="s">
        <v>211</v>
      </c>
      <c r="AQ133" s="16" t="s">
        <v>39</v>
      </c>
      <c r="AR133" s="16" t="s">
        <v>39</v>
      </c>
      <c r="AS133" s="16" t="s">
        <v>182</v>
      </c>
      <c r="AT133" s="159" t="s">
        <v>181</v>
      </c>
      <c r="AU133" s="159" t="s">
        <v>39</v>
      </c>
      <c r="AV133" s="16" t="s">
        <v>190</v>
      </c>
      <c r="AW133" s="16" t="s">
        <v>227</v>
      </c>
      <c r="AX133" s="16" t="s">
        <v>227</v>
      </c>
      <c r="AY133" s="16" t="s">
        <v>227</v>
      </c>
      <c r="AZ133" s="54">
        <v>2388</v>
      </c>
      <c r="BA133" s="55" t="e">
        <f t="shared" ca="1" si="163"/>
        <v>#NAME?</v>
      </c>
      <c r="BB133" s="278">
        <v>27978</v>
      </c>
      <c r="BC133" s="278">
        <v>0</v>
      </c>
      <c r="BD133" s="62" t="e">
        <f t="shared" ca="1" si="164"/>
        <v>#NAME?</v>
      </c>
      <c r="BE133" s="277">
        <f t="shared" si="165"/>
        <v>1</v>
      </c>
      <c r="BF133" s="62" t="e">
        <f t="shared" ca="1" si="166"/>
        <v>#NAME?</v>
      </c>
      <c r="BG133" s="16" t="s">
        <v>202</v>
      </c>
      <c r="BI133" s="16" t="s">
        <v>190</v>
      </c>
      <c r="BJ133" s="16">
        <v>0</v>
      </c>
      <c r="BK133" s="278">
        <v>1</v>
      </c>
      <c r="BL133" s="16" t="s">
        <v>190</v>
      </c>
      <c r="BM133" s="16" t="s">
        <v>190</v>
      </c>
      <c r="BN133" s="16" t="s">
        <v>190</v>
      </c>
      <c r="BO133" s="16" t="s">
        <v>190</v>
      </c>
      <c r="BP133" s="16">
        <v>2</v>
      </c>
      <c r="BQ133" s="16">
        <v>8</v>
      </c>
      <c r="BR133" s="16">
        <v>0</v>
      </c>
      <c r="BS133" s="16">
        <v>0</v>
      </c>
      <c r="BT133" s="205"/>
      <c r="BU133" s="16">
        <v>15</v>
      </c>
      <c r="BV133" s="16">
        <v>0</v>
      </c>
      <c r="BW133" s="16">
        <v>53</v>
      </c>
      <c r="BX133" s="16" t="s">
        <v>190</v>
      </c>
      <c r="BY133" s="205"/>
      <c r="CD133" s="205"/>
      <c r="CI133" s="205"/>
      <c r="CN133" s="205"/>
      <c r="CS133" s="205"/>
      <c r="CX133" s="205"/>
      <c r="DC133" s="205"/>
      <c r="DH133" s="205"/>
      <c r="DM133" s="205"/>
      <c r="DN133" s="205"/>
      <c r="DO133" s="205"/>
      <c r="DQ133" s="206"/>
      <c r="DR133" s="188">
        <f t="shared" si="64"/>
        <v>15</v>
      </c>
      <c r="DS133" s="188"/>
      <c r="DT133" s="189">
        <f t="shared" si="65"/>
        <v>0</v>
      </c>
      <c r="DU133" s="189"/>
      <c r="DV133" s="188">
        <f t="shared" si="66"/>
        <v>53</v>
      </c>
      <c r="DW133" s="183" t="e">
        <f t="shared" ca="1" si="67"/>
        <v>#NAME?</v>
      </c>
      <c r="DX133" s="207"/>
      <c r="DY133" s="190" t="e">
        <f t="shared" ca="1" si="68"/>
        <v>#NAME?</v>
      </c>
      <c r="DZ133" s="191" t="str">
        <f t="shared" si="190"/>
        <v/>
      </c>
      <c r="EA133" s="191" t="str">
        <f t="shared" si="191"/>
        <v/>
      </c>
      <c r="EB133" s="191" t="str">
        <f t="shared" si="192"/>
        <v/>
      </c>
      <c r="EC133" s="208" t="e">
        <f t="shared" ca="1" si="72"/>
        <v>#NAME?</v>
      </c>
      <c r="ED133" s="36" t="str">
        <f t="shared" si="73"/>
        <v>Equity - Common</v>
      </c>
      <c r="EE133" s="193">
        <f>COUNTIF($ED$2:$ED$92, ED133)/(COUNTIF($ED$2:$ED$92, "&lt;&gt;""") - COUNTIF($ED$2:$ED$92, ""))</f>
        <v>0.32222222222222224</v>
      </c>
      <c r="EF133" s="36" t="str">
        <f t="shared" si="74"/>
        <v>Early</v>
      </c>
      <c r="EG133" s="207"/>
      <c r="EH133" s="194" t="e">
        <f t="shared" ca="1" si="75"/>
        <v>#NAME?</v>
      </c>
      <c r="EI133" s="194" t="e">
        <f t="shared" ca="1" si="76"/>
        <v>#NAME?</v>
      </c>
      <c r="EJ133" s="209" t="e">
        <f t="shared" ca="1" si="77"/>
        <v>#NAME?</v>
      </c>
      <c r="EK133" s="208" t="e">
        <f t="shared" ca="1" si="193"/>
        <v>#NAME?</v>
      </c>
      <c r="EL133" s="36" t="str">
        <f t="shared" si="79"/>
        <v>No</v>
      </c>
      <c r="EM133" s="207"/>
      <c r="EN133" s="192">
        <f t="shared" si="194"/>
        <v>2.4285714285714288</v>
      </c>
      <c r="EO133" s="192">
        <f t="shared" si="195"/>
        <v>1</v>
      </c>
      <c r="EP133" s="209">
        <f t="shared" si="82"/>
        <v>3.4285714285714288</v>
      </c>
      <c r="EQ133" s="210">
        <f t="shared" si="196"/>
        <v>2.1214953271028039</v>
      </c>
      <c r="ER133" s="36" t="e">
        <f t="shared" ca="1" si="84"/>
        <v>#NAME?</v>
      </c>
      <c r="ES133" s="40">
        <f ca="1">COUNTIF($ER$2:$ER$92, ER133)/(COUNTIF($ER$2:$ER$92, "&lt;&gt;""") - COUNTIF($ER$2:$ER$92, ""))</f>
        <v>1</v>
      </c>
      <c r="ET133" s="36">
        <f t="shared" si="85"/>
        <v>1</v>
      </c>
      <c r="EU133" s="40">
        <f>COUNTIF($ET$2:$ET$92, ET133)/(COUNTIF($ET$2:$ET$92, "&lt;&gt;""") - COUNTIF($ET$2:$ET$92, ""))</f>
        <v>0.45555555555555555</v>
      </c>
      <c r="EV133" s="36">
        <f t="shared" si="86"/>
        <v>8</v>
      </c>
      <c r="EW133" s="40">
        <f>COUNTIF($EV$2:$EV$92, EV133)/(COUNTIF($EV$2:$EV$92, "&lt;&gt;""") - COUNTIF($EV$2:$EV$92, ""))</f>
        <v>5.5555555555555552E-2</v>
      </c>
      <c r="EX133" s="36" t="str">
        <f t="shared" si="87"/>
        <v>No</v>
      </c>
      <c r="EY133" s="40">
        <f>COUNTIF($EX$2:$EX$92, EX133)/(COUNTIF($EX$2:$EX$92, "&lt;&gt;""") - COUNTIF($EX$2:$EX$92, ""))</f>
        <v>0.72222222222222221</v>
      </c>
      <c r="EZ133" s="36" t="str">
        <f t="shared" ref="EZ133:FB133" si="256">BM133</f>
        <v>No</v>
      </c>
      <c r="FA133" s="36" t="str">
        <f t="shared" si="256"/>
        <v>No</v>
      </c>
      <c r="FB133" s="36" t="str">
        <f t="shared" si="256"/>
        <v>No</v>
      </c>
      <c r="FC133" s="207"/>
      <c r="FD133" s="36" t="str">
        <f t="shared" si="89"/>
        <v>Transactional</v>
      </c>
      <c r="FE133" s="40">
        <f>COUNTIF($FD$2:$FD$92, FD133)/(COUNTIF($FD$2:$FD$92, "&lt;&gt;""") - COUNTIF($FD$2:$FD$92, ""))</f>
        <v>0.6</v>
      </c>
      <c r="FF133" s="36" t="str">
        <f t="shared" si="90"/>
        <v>B2B/B2C</v>
      </c>
      <c r="FG133" s="40">
        <f>COUNTIF($FF$2:$FF$92, FF133)/(COUNTIF($FF$2:$FF$92, "&lt;&gt;""") - COUNTIF($FF$2:$FF$92, ""))</f>
        <v>0.27777777777777779</v>
      </c>
      <c r="FH133" s="36" t="str">
        <f t="shared" si="91"/>
        <v>High</v>
      </c>
      <c r="FI133" s="40">
        <f>COUNTIF($FH$2:$FH$92, FH133)/(COUNTIF($FH$2:$FH$92, "&lt;&gt;""") - COUNTIF($FH$2:$FH$92, ""))</f>
        <v>0.53333333333333333</v>
      </c>
      <c r="FJ133" s="36" t="str">
        <f t="shared" si="92"/>
        <v>High</v>
      </c>
      <c r="FK133" s="40">
        <f>COUNTIF($FJ$2:$FJ$92, FJ133)/(COUNTIF($FJ$2:$FJ$92, "&lt;&gt;""") - COUNTIF($FJ$2:$FJ$92, ""))</f>
        <v>0.58888888888888891</v>
      </c>
      <c r="FL133" s="207"/>
      <c r="FM133" s="192">
        <f t="shared" si="93"/>
        <v>5</v>
      </c>
      <c r="FN133" s="192" t="e">
        <f t="shared" ca="1" si="94"/>
        <v>#NAME?</v>
      </c>
      <c r="FO133" s="192" t="e">
        <f t="shared" ca="1" si="95"/>
        <v>#NAME?</v>
      </c>
      <c r="FP133" s="192" t="e">
        <f t="shared" ca="1" si="96"/>
        <v>#NAME?</v>
      </c>
      <c r="FQ133" s="209" t="e">
        <f t="shared" ca="1" si="97"/>
        <v>#NAME?</v>
      </c>
      <c r="FR133" s="208" t="e">
        <f t="shared" ca="1" si="198"/>
        <v>#NAME?</v>
      </c>
      <c r="FS133" s="36" t="str">
        <f t="shared" si="99"/>
        <v>Pre-Profit</v>
      </c>
      <c r="FT133" s="196">
        <f>COUNTIF($FS$2:$FS$92, FS133)/(COUNTIF($FS$2:$FS$92, "&lt;&gt;""") - COUNTIF($FZ$2:$FZ$92, ""))</f>
        <v>0.51111111111111107</v>
      </c>
      <c r="FU133" s="207"/>
      <c r="FV133" s="192" t="e">
        <f t="shared" ca="1" si="100"/>
        <v>#NAME?</v>
      </c>
      <c r="FW133" s="197" t="e">
        <f t="shared" ca="1" si="101"/>
        <v>#NAME?</v>
      </c>
      <c r="FX133" s="209" t="e">
        <f t="shared" ca="1" si="102"/>
        <v>#NAME?</v>
      </c>
      <c r="FY133" s="211" t="e">
        <f t="shared" ca="1" si="199"/>
        <v>#NAME?</v>
      </c>
      <c r="FZ133" s="36" t="str">
        <f t="shared" si="104"/>
        <v>Yes</v>
      </c>
      <c r="GA133" s="196">
        <f>COUNTIF($FZ$2:$FZ$92, FZ133)/(COUNTIF($FZ$2:$FZ$92, "&lt;&gt;""") - COUNTIF($FZ$2:$FZ$92, ""))</f>
        <v>0.23333333333333334</v>
      </c>
      <c r="GB133" s="196" t="str">
        <f t="shared" si="105"/>
        <v>Low</v>
      </c>
      <c r="GC133" s="196">
        <f>COUNTIF($GB$2:$GB$92, GB133)/(COUNTIF($GB$2:$GB$92, "&lt;&gt;""") - COUNTIF($GB$2:$GB$92, ""))</f>
        <v>0.55555555555555558</v>
      </c>
      <c r="GD133" s="196" t="str">
        <f t="shared" si="106"/>
        <v>High</v>
      </c>
      <c r="GE133" s="196">
        <f>COUNTIF($GD$2:$GD$92, GD133)/(COUNTIF($GD$2:$GD$92, "&lt;&gt;""") - COUNTIF($GD$2:$GD$92, ""))</f>
        <v>0.8</v>
      </c>
      <c r="GF133" s="207"/>
      <c r="GG133" s="36"/>
      <c r="GH133" s="209" t="e">
        <f t="shared" ca="1" si="107"/>
        <v>#NAME?</v>
      </c>
      <c r="GI133" s="212" t="e">
        <f t="shared" ca="1" si="200"/>
        <v>#NAME?</v>
      </c>
    </row>
    <row r="134" spans="1:191" ht="15.75" customHeight="1">
      <c r="A134" s="171"/>
      <c r="B134" s="171" t="s">
        <v>355</v>
      </c>
      <c r="C134" s="16">
        <v>1716822</v>
      </c>
      <c r="D134" s="233" t="s">
        <v>1269</v>
      </c>
      <c r="E134" s="234">
        <v>43839.488194444442</v>
      </c>
      <c r="F134" s="16" t="s">
        <v>329</v>
      </c>
      <c r="G134" s="235" t="s">
        <v>1270</v>
      </c>
      <c r="H134" s="235" t="s">
        <v>1271</v>
      </c>
      <c r="I134" s="241">
        <v>43840</v>
      </c>
      <c r="J134" s="233" t="s">
        <v>1272</v>
      </c>
      <c r="K134" s="233" t="s">
        <v>1269</v>
      </c>
      <c r="M134" s="16" t="s">
        <v>229</v>
      </c>
      <c r="N134" s="16" t="s">
        <v>315</v>
      </c>
      <c r="O134" s="16" t="s">
        <v>30</v>
      </c>
      <c r="P134" s="16" t="s">
        <v>174</v>
      </c>
      <c r="Q134" s="16" t="s">
        <v>35</v>
      </c>
      <c r="S134" s="16" t="s">
        <v>269</v>
      </c>
      <c r="T134" s="237"/>
      <c r="U134" s="213"/>
      <c r="V134" s="54"/>
      <c r="W134" s="54">
        <v>10000000</v>
      </c>
      <c r="X134" s="226">
        <v>0</v>
      </c>
      <c r="Y134" s="55">
        <f t="shared" si="158"/>
        <v>10000000</v>
      </c>
      <c r="Z134" s="274">
        <f t="shared" si="159"/>
        <v>10000000</v>
      </c>
      <c r="AA134" s="183" t="e">
        <f t="shared" ca="1" si="160"/>
        <v>#NAME?</v>
      </c>
      <c r="AB134" s="16" t="s">
        <v>36</v>
      </c>
      <c r="AC134" s="16" t="s">
        <v>218</v>
      </c>
      <c r="AD134" s="16" t="s">
        <v>180</v>
      </c>
      <c r="AE134" s="16" t="s">
        <v>227</v>
      </c>
      <c r="AF134" s="16" t="s">
        <v>181</v>
      </c>
      <c r="AG134" s="16" t="s">
        <v>181</v>
      </c>
      <c r="AH134" s="16" t="s">
        <v>227</v>
      </c>
      <c r="AI134" s="54"/>
      <c r="AJ134" s="278">
        <v>160000000000</v>
      </c>
      <c r="AK134" s="224" t="e">
        <f t="shared" ca="1" si="161"/>
        <v>#NAME?</v>
      </c>
      <c r="AL134" s="278">
        <v>1000000000</v>
      </c>
      <c r="AM134" s="224" t="e">
        <f t="shared" ca="1" si="162"/>
        <v>#NAME?</v>
      </c>
      <c r="AN134" s="278">
        <v>0.1</v>
      </c>
      <c r="AO134" s="185" t="e">
        <f t="shared" ca="1" si="63"/>
        <v>#NAME?</v>
      </c>
      <c r="AP134" s="185" t="s">
        <v>264</v>
      </c>
      <c r="AQ134" s="16" t="s">
        <v>39</v>
      </c>
      <c r="AR134" s="16" t="s">
        <v>39</v>
      </c>
      <c r="AS134" s="16" t="s">
        <v>182</v>
      </c>
      <c r="AT134" s="159" t="s">
        <v>181</v>
      </c>
      <c r="AU134" s="159" t="s">
        <v>181</v>
      </c>
      <c r="AV134" s="16" t="s">
        <v>227</v>
      </c>
      <c r="AW134" s="16" t="s">
        <v>190</v>
      </c>
      <c r="AX134" s="16" t="s">
        <v>227</v>
      </c>
      <c r="AY134" s="16" t="s">
        <v>227</v>
      </c>
      <c r="AZ134" s="54">
        <v>86992</v>
      </c>
      <c r="BA134" s="55" t="e">
        <f t="shared" ca="1" si="163"/>
        <v>#NAME?</v>
      </c>
      <c r="BB134" s="278">
        <v>35537</v>
      </c>
      <c r="BC134" s="278">
        <v>1400000</v>
      </c>
      <c r="BD134" s="62" t="e">
        <f t="shared" ca="1" si="164"/>
        <v>#NAME?</v>
      </c>
      <c r="BE134" s="277">
        <f t="shared" si="165"/>
        <v>2.5383571428571429E-2</v>
      </c>
      <c r="BF134" s="62" t="e">
        <f t="shared" ca="1" si="166"/>
        <v>#NAME?</v>
      </c>
      <c r="BG134" s="16" t="s">
        <v>202</v>
      </c>
      <c r="BI134" s="16" t="s">
        <v>227</v>
      </c>
      <c r="BJ134" s="16">
        <v>3</v>
      </c>
      <c r="BK134" s="278">
        <v>1</v>
      </c>
      <c r="BL134" s="16" t="s">
        <v>190</v>
      </c>
      <c r="BM134" s="16" t="s">
        <v>190</v>
      </c>
      <c r="BN134" s="16" t="s">
        <v>190</v>
      </c>
      <c r="BO134" s="16" t="s">
        <v>190</v>
      </c>
      <c r="BP134" s="16">
        <v>1</v>
      </c>
      <c r="BQ134" s="16">
        <v>8</v>
      </c>
      <c r="BR134" s="16">
        <v>0</v>
      </c>
      <c r="BS134" s="16">
        <v>1</v>
      </c>
      <c r="BT134" s="205"/>
      <c r="BU134" s="16">
        <v>20</v>
      </c>
      <c r="BV134" s="16">
        <v>1</v>
      </c>
      <c r="BW134" s="16">
        <v>66</v>
      </c>
      <c r="BX134" s="16" t="s">
        <v>190</v>
      </c>
      <c r="BY134" s="205"/>
      <c r="CD134" s="205"/>
      <c r="CI134" s="205"/>
      <c r="CN134" s="205"/>
      <c r="CS134" s="205"/>
      <c r="CX134" s="205"/>
      <c r="DC134" s="205"/>
      <c r="DH134" s="205"/>
      <c r="DM134" s="205"/>
      <c r="DN134" s="205"/>
      <c r="DO134" s="205"/>
      <c r="DQ134" s="206"/>
      <c r="DR134" s="188">
        <f t="shared" si="64"/>
        <v>20</v>
      </c>
      <c r="DS134" s="188"/>
      <c r="DT134" s="189">
        <f t="shared" si="65"/>
        <v>1</v>
      </c>
      <c r="DU134" s="189"/>
      <c r="DV134" s="188">
        <f t="shared" si="66"/>
        <v>66</v>
      </c>
      <c r="DW134" s="183" t="e">
        <f t="shared" ca="1" si="67"/>
        <v>#NAME?</v>
      </c>
      <c r="DX134" s="207"/>
      <c r="DY134" s="190" t="e">
        <f t="shared" ca="1" si="68"/>
        <v>#NAME?</v>
      </c>
      <c r="DZ134" s="191">
        <f t="shared" si="190"/>
        <v>1</v>
      </c>
      <c r="EA134" s="191" t="str">
        <f t="shared" si="191"/>
        <v/>
      </c>
      <c r="EB134" s="191" t="str">
        <f t="shared" si="192"/>
        <v/>
      </c>
      <c r="EC134" s="208" t="e">
        <f t="shared" ca="1" si="72"/>
        <v>#NAME?</v>
      </c>
      <c r="ED134" s="36" t="str">
        <f t="shared" si="73"/>
        <v>SAFE</v>
      </c>
      <c r="EE134" s="193">
        <f>COUNTIF($ED$2:$ED$92, ED134)/(COUNTIF($ED$2:$ED$92, "&lt;&gt;""") - COUNTIF($ED$2:$ED$92, ""))</f>
        <v>0.37777777777777777</v>
      </c>
      <c r="EF134" s="36" t="str">
        <f t="shared" si="74"/>
        <v>Early</v>
      </c>
      <c r="EG134" s="207"/>
      <c r="EH134" s="194" t="e">
        <f t="shared" ca="1" si="75"/>
        <v>#NAME?</v>
      </c>
      <c r="EI134" s="194" t="e">
        <f t="shared" ca="1" si="76"/>
        <v>#NAME?</v>
      </c>
      <c r="EJ134" s="209" t="e">
        <f t="shared" ca="1" si="77"/>
        <v>#NAME?</v>
      </c>
      <c r="EK134" s="208" t="e">
        <f t="shared" ca="1" si="193"/>
        <v>#NAME?</v>
      </c>
      <c r="EL134" s="36" t="str">
        <f t="shared" si="79"/>
        <v>Yes</v>
      </c>
      <c r="EM134" s="207"/>
      <c r="EN134" s="192">
        <f t="shared" si="194"/>
        <v>2.9047619047619047</v>
      </c>
      <c r="EO134" s="192">
        <f t="shared" si="195"/>
        <v>2</v>
      </c>
      <c r="EP134" s="209">
        <f t="shared" si="82"/>
        <v>4.9047619047619051</v>
      </c>
      <c r="EQ134" s="210">
        <f t="shared" si="196"/>
        <v>3.2803738317757012</v>
      </c>
      <c r="ER134" s="36" t="e">
        <f t="shared" ca="1" si="84"/>
        <v>#NAME?</v>
      </c>
      <c r="ES134" s="40">
        <f ca="1">COUNTIF($ER$2:$ER$92, ER134)/(COUNTIF($ER$2:$ER$92, "&lt;&gt;""") - COUNTIF($ER$2:$ER$92, ""))</f>
        <v>1</v>
      </c>
      <c r="ET134" s="36">
        <f t="shared" si="85"/>
        <v>1</v>
      </c>
      <c r="EU134" s="40">
        <f>COUNTIF($ET$2:$ET$92, ET134)/(COUNTIF($ET$2:$ET$92, "&lt;&gt;""") - COUNTIF($ET$2:$ET$92, ""))</f>
        <v>0.45555555555555555</v>
      </c>
      <c r="EV134" s="36">
        <f t="shared" si="86"/>
        <v>8</v>
      </c>
      <c r="EW134" s="40">
        <f>COUNTIF($EV$2:$EV$92, EV134)/(COUNTIF($EV$2:$EV$92, "&lt;&gt;""") - COUNTIF($EV$2:$EV$92, ""))</f>
        <v>5.5555555555555552E-2</v>
      </c>
      <c r="EX134" s="36" t="str">
        <f t="shared" si="87"/>
        <v>No</v>
      </c>
      <c r="EY134" s="40">
        <f>COUNTIF($EX$2:$EX$92, EX134)/(COUNTIF($EX$2:$EX$92, "&lt;&gt;""") - COUNTIF($EX$2:$EX$92, ""))</f>
        <v>0.72222222222222221</v>
      </c>
      <c r="EZ134" s="36" t="str">
        <f t="shared" ref="EZ134:FB134" si="257">BM134</f>
        <v>No</v>
      </c>
      <c r="FA134" s="36" t="str">
        <f t="shared" si="257"/>
        <v>No</v>
      </c>
      <c r="FB134" s="36" t="str">
        <f t="shared" si="257"/>
        <v>No</v>
      </c>
      <c r="FC134" s="207"/>
      <c r="FD134" s="36" t="str">
        <f t="shared" si="89"/>
        <v>Transactional</v>
      </c>
      <c r="FE134" s="40">
        <f>COUNTIF($FD$2:$FD$92, FD134)/(COUNTIF($FD$2:$FD$92, "&lt;&gt;""") - COUNTIF($FD$2:$FD$92, ""))</f>
        <v>0.6</v>
      </c>
      <c r="FF134" s="36" t="str">
        <f t="shared" si="90"/>
        <v>B2B/B2C</v>
      </c>
      <c r="FG134" s="40">
        <f>COUNTIF($FF$2:$FF$92, FF134)/(COUNTIF($FF$2:$FF$92, "&lt;&gt;""") - COUNTIF($FF$2:$FF$92, ""))</f>
        <v>0.27777777777777779</v>
      </c>
      <c r="FH134" s="36" t="str">
        <f t="shared" si="91"/>
        <v>Low</v>
      </c>
      <c r="FI134" s="40">
        <f>COUNTIF($FH$2:$FH$92, FH134)/(COUNTIF($FH$2:$FH$92, "&lt;&gt;""") - COUNTIF($FH$2:$FH$92, ""))</f>
        <v>0.46666666666666667</v>
      </c>
      <c r="FJ134" s="36" t="str">
        <f t="shared" si="92"/>
        <v>Low</v>
      </c>
      <c r="FK134" s="40">
        <f>COUNTIF($FJ$2:$FJ$92, FJ134)/(COUNTIF($FJ$2:$FJ$92, "&lt;&gt;""") - COUNTIF($FJ$2:$FJ$92, ""))</f>
        <v>0.41111111111111109</v>
      </c>
      <c r="FL134" s="207"/>
      <c r="FM134" s="192">
        <f t="shared" si="93"/>
        <v>5</v>
      </c>
      <c r="FN134" s="192" t="e">
        <f t="shared" ca="1" si="94"/>
        <v>#NAME?</v>
      </c>
      <c r="FO134" s="192" t="e">
        <f t="shared" ca="1" si="95"/>
        <v>#NAME?</v>
      </c>
      <c r="FP134" s="192" t="e">
        <f t="shared" ca="1" si="96"/>
        <v>#NAME?</v>
      </c>
      <c r="FQ134" s="209" t="e">
        <f t="shared" ca="1" si="97"/>
        <v>#NAME?</v>
      </c>
      <c r="FR134" s="208" t="e">
        <f t="shared" ca="1" si="198"/>
        <v>#NAME?</v>
      </c>
      <c r="FS134" s="36" t="str">
        <f t="shared" si="99"/>
        <v>Pre-Profit</v>
      </c>
      <c r="FT134" s="196">
        <f>COUNTIF($FS$2:$FS$92, FS134)/(COUNTIF($FS$2:$FS$92, "&lt;&gt;""") - COUNTIF($FZ$2:$FZ$92, ""))</f>
        <v>0.51111111111111107</v>
      </c>
      <c r="FU134" s="207"/>
      <c r="FV134" s="192" t="e">
        <f t="shared" ca="1" si="100"/>
        <v>#NAME?</v>
      </c>
      <c r="FW134" s="197" t="e">
        <f t="shared" ca="1" si="101"/>
        <v>#NAME?</v>
      </c>
      <c r="FX134" s="209" t="e">
        <f t="shared" ca="1" si="102"/>
        <v>#NAME?</v>
      </c>
      <c r="FY134" s="211" t="e">
        <f t="shared" ca="1" si="199"/>
        <v>#NAME?</v>
      </c>
      <c r="FZ134" s="36" t="str">
        <f t="shared" si="104"/>
        <v>No</v>
      </c>
      <c r="GA134" s="196">
        <f>COUNTIF($FZ$2:$FZ$92, FZ134)/(COUNTIF($FZ$2:$FZ$92, "&lt;&gt;""") - COUNTIF($FZ$2:$FZ$92, ""))</f>
        <v>0.76666666666666672</v>
      </c>
      <c r="GB134" s="196" t="str">
        <f t="shared" si="105"/>
        <v>Low</v>
      </c>
      <c r="GC134" s="196">
        <f>COUNTIF($GB$2:$GB$92, GB134)/(COUNTIF($GB$2:$GB$92, "&lt;&gt;""") - COUNTIF($GB$2:$GB$92, ""))</f>
        <v>0.55555555555555558</v>
      </c>
      <c r="GD134" s="196" t="str">
        <f t="shared" si="106"/>
        <v>Low</v>
      </c>
      <c r="GE134" s="196">
        <f>COUNTIF($GD$2:$GD$92, GD134)/(COUNTIF($GD$2:$GD$92, "&lt;&gt;""") - COUNTIF($GD$2:$GD$92, ""))</f>
        <v>0.18888888888888888</v>
      </c>
      <c r="GF134" s="207"/>
      <c r="GG134" s="36"/>
      <c r="GH134" s="209" t="e">
        <f t="shared" ca="1" si="107"/>
        <v>#NAME?</v>
      </c>
      <c r="GI134" s="212" t="e">
        <f t="shared" ca="1" si="200"/>
        <v>#NAME?</v>
      </c>
    </row>
    <row r="135" spans="1:191" ht="15.75" customHeight="1">
      <c r="A135" s="171"/>
      <c r="B135" s="171" t="s">
        <v>355</v>
      </c>
      <c r="C135" s="16">
        <v>1791548</v>
      </c>
      <c r="D135" s="233" t="s">
        <v>1273</v>
      </c>
      <c r="E135" s="234">
        <v>43839.490277777775</v>
      </c>
      <c r="F135" s="16" t="s">
        <v>329</v>
      </c>
      <c r="G135" s="235" t="s">
        <v>1274</v>
      </c>
      <c r="H135" s="235" t="s">
        <v>1275</v>
      </c>
      <c r="I135" s="241">
        <v>43839</v>
      </c>
      <c r="J135" s="233" t="s">
        <v>1276</v>
      </c>
      <c r="K135" s="233" t="s">
        <v>1273</v>
      </c>
      <c r="M135" s="29" t="s">
        <v>747</v>
      </c>
      <c r="N135" s="16" t="s">
        <v>168</v>
      </c>
      <c r="O135" s="16" t="s">
        <v>30</v>
      </c>
      <c r="P135" s="16" t="s">
        <v>174</v>
      </c>
      <c r="Q135" s="16" t="s">
        <v>35</v>
      </c>
      <c r="S135" s="16" t="s">
        <v>269</v>
      </c>
      <c r="T135" s="237"/>
      <c r="U135" s="213"/>
      <c r="V135" s="54"/>
      <c r="W135" s="54">
        <v>8000000</v>
      </c>
      <c r="X135" s="226">
        <v>0.15</v>
      </c>
      <c r="Y135" s="55">
        <f t="shared" si="158"/>
        <v>6800000</v>
      </c>
      <c r="Z135" s="274">
        <f t="shared" si="159"/>
        <v>6800000</v>
      </c>
      <c r="AA135" s="183" t="e">
        <f t="shared" ca="1" si="160"/>
        <v>#NAME?</v>
      </c>
      <c r="AB135" s="16" t="s">
        <v>178</v>
      </c>
      <c r="AC135" s="16" t="s">
        <v>179</v>
      </c>
      <c r="AD135" s="16" t="s">
        <v>38</v>
      </c>
      <c r="AE135" s="16" t="s">
        <v>190</v>
      </c>
      <c r="AF135" s="16" t="s">
        <v>181</v>
      </c>
      <c r="AG135" s="16" t="s">
        <v>39</v>
      </c>
      <c r="AH135" s="16" t="s">
        <v>190</v>
      </c>
      <c r="AI135" s="54"/>
      <c r="AJ135" s="278">
        <v>50000000000</v>
      </c>
      <c r="AK135" s="224" t="e">
        <f t="shared" ca="1" si="161"/>
        <v>#NAME?</v>
      </c>
      <c r="AL135" s="278">
        <v>1000000000</v>
      </c>
      <c r="AM135" s="224" t="e">
        <f t="shared" ca="1" si="162"/>
        <v>#NAME?</v>
      </c>
      <c r="AN135" s="278">
        <v>0.03</v>
      </c>
      <c r="AO135" s="185" t="e">
        <f t="shared" ca="1" si="63"/>
        <v>#NAME?</v>
      </c>
      <c r="AP135" s="185" t="s">
        <v>264</v>
      </c>
      <c r="AQ135" s="16" t="s">
        <v>181</v>
      </c>
      <c r="AR135" s="16" t="s">
        <v>181</v>
      </c>
      <c r="AS135" s="16" t="s">
        <v>42</v>
      </c>
      <c r="AT135" s="159" t="s">
        <v>181</v>
      </c>
      <c r="AU135" s="159" t="s">
        <v>39</v>
      </c>
      <c r="AV135" s="16" t="s">
        <v>190</v>
      </c>
      <c r="AW135" s="16" t="s">
        <v>190</v>
      </c>
      <c r="AX135" s="16" t="s">
        <v>227</v>
      </c>
      <c r="AY135" s="16" t="s">
        <v>227</v>
      </c>
      <c r="AZ135" s="54">
        <v>906604</v>
      </c>
      <c r="BA135" s="55" t="e">
        <f t="shared" ca="1" si="163"/>
        <v>#NAME?</v>
      </c>
      <c r="BB135" s="278">
        <v>19642</v>
      </c>
      <c r="BC135" s="278">
        <v>0</v>
      </c>
      <c r="BD135" s="62" t="e">
        <f t="shared" ca="1" si="164"/>
        <v>#NAME?</v>
      </c>
      <c r="BE135" s="277">
        <f t="shared" si="165"/>
        <v>1</v>
      </c>
      <c r="BF135" s="62" t="e">
        <f t="shared" ca="1" si="166"/>
        <v>#NAME?</v>
      </c>
      <c r="BG135" s="16" t="s">
        <v>202</v>
      </c>
      <c r="BI135" s="16" t="s">
        <v>227</v>
      </c>
      <c r="BJ135" s="16">
        <v>1</v>
      </c>
      <c r="BK135" s="278">
        <v>2</v>
      </c>
      <c r="BL135" s="16" t="s">
        <v>227</v>
      </c>
      <c r="BM135" s="16" t="s">
        <v>227</v>
      </c>
      <c r="BN135" s="16" t="s">
        <v>227</v>
      </c>
      <c r="BO135" s="16" t="s">
        <v>190</v>
      </c>
      <c r="BP135" s="16">
        <v>1</v>
      </c>
      <c r="BQ135" s="16">
        <v>24</v>
      </c>
      <c r="BR135" s="16">
        <v>2</v>
      </c>
      <c r="BS135" s="16">
        <v>0</v>
      </c>
      <c r="BT135" s="205"/>
      <c r="BU135" s="16">
        <v>0</v>
      </c>
      <c r="BV135" s="16">
        <v>0</v>
      </c>
      <c r="BW135" s="16">
        <v>30</v>
      </c>
      <c r="BX135" s="16" t="s">
        <v>190</v>
      </c>
      <c r="BY135" s="205"/>
      <c r="BZ135" s="16">
        <v>0</v>
      </c>
      <c r="CA135" s="16">
        <v>0</v>
      </c>
      <c r="CB135" s="16">
        <v>30</v>
      </c>
      <c r="CC135" s="16" t="s">
        <v>190</v>
      </c>
      <c r="CD135" s="205"/>
      <c r="CI135" s="205"/>
      <c r="CN135" s="205"/>
      <c r="CS135" s="205"/>
      <c r="CX135" s="205"/>
      <c r="DC135" s="205"/>
      <c r="DH135" s="205"/>
      <c r="DM135" s="205"/>
      <c r="DN135" s="205"/>
      <c r="DO135" s="205"/>
      <c r="DQ135" s="206"/>
      <c r="DR135" s="188">
        <f t="shared" si="64"/>
        <v>0</v>
      </c>
      <c r="DS135" s="188"/>
      <c r="DT135" s="189">
        <f t="shared" si="65"/>
        <v>0</v>
      </c>
      <c r="DU135" s="189"/>
      <c r="DV135" s="188">
        <f t="shared" si="66"/>
        <v>30</v>
      </c>
      <c r="DW135" s="183" t="e">
        <f t="shared" ca="1" si="67"/>
        <v>#NAME?</v>
      </c>
      <c r="DX135" s="207"/>
      <c r="DY135" s="190" t="e">
        <f t="shared" ca="1" si="68"/>
        <v>#NAME?</v>
      </c>
      <c r="DZ135" s="191">
        <f t="shared" si="190"/>
        <v>2.5789473684210527</v>
      </c>
      <c r="EA135" s="191" t="str">
        <f t="shared" si="191"/>
        <v/>
      </c>
      <c r="EB135" s="191" t="str">
        <f t="shared" si="192"/>
        <v/>
      </c>
      <c r="EC135" s="208" t="e">
        <f t="shared" ca="1" si="72"/>
        <v>#NAME?</v>
      </c>
      <c r="ED135" s="36" t="str">
        <f t="shared" si="73"/>
        <v>SAFE</v>
      </c>
      <c r="EE135" s="193">
        <f>COUNTIF($ED$2:$ED$92, ED135)/(COUNTIF($ED$2:$ED$92, "&lt;&gt;""") - COUNTIF($ED$2:$ED$92, ""))</f>
        <v>0.37777777777777777</v>
      </c>
      <c r="EF135" s="36" t="str">
        <f t="shared" si="74"/>
        <v>Early</v>
      </c>
      <c r="EG135" s="207"/>
      <c r="EH135" s="194" t="e">
        <f t="shared" ca="1" si="75"/>
        <v>#NAME?</v>
      </c>
      <c r="EI135" s="194" t="e">
        <f t="shared" ca="1" si="76"/>
        <v>#NAME?</v>
      </c>
      <c r="EJ135" s="209" t="e">
        <f t="shared" ca="1" si="77"/>
        <v>#NAME?</v>
      </c>
      <c r="EK135" s="208" t="e">
        <f t="shared" ca="1" si="193"/>
        <v>#NAME?</v>
      </c>
      <c r="EL135" s="36" t="str">
        <f t="shared" si="79"/>
        <v>No</v>
      </c>
      <c r="EM135" s="207"/>
      <c r="EN135" s="192">
        <f t="shared" si="194"/>
        <v>1</v>
      </c>
      <c r="EO135" s="192">
        <f t="shared" si="195"/>
        <v>1</v>
      </c>
      <c r="EP135" s="209">
        <f t="shared" si="82"/>
        <v>2</v>
      </c>
      <c r="EQ135" s="210">
        <f t="shared" si="196"/>
        <v>1</v>
      </c>
      <c r="ER135" s="36" t="e">
        <f t="shared" ca="1" si="84"/>
        <v>#NAME?</v>
      </c>
      <c r="ES135" s="40">
        <f ca="1">COUNTIF($ER$2:$ER$92, ER135)/(COUNTIF($ER$2:$ER$92, "&lt;&gt;""") - COUNTIF($ER$2:$ER$92, ""))</f>
        <v>1</v>
      </c>
      <c r="ET135" s="36">
        <f t="shared" si="85"/>
        <v>2</v>
      </c>
      <c r="EU135" s="40">
        <f>COUNTIF($ET$2:$ET$92, ET135)/(COUNTIF($ET$2:$ET$92, "&lt;&gt;""") - COUNTIF($ET$2:$ET$92, ""))</f>
        <v>0.45555555555555555</v>
      </c>
      <c r="EV135" s="36">
        <f t="shared" si="86"/>
        <v>24</v>
      </c>
      <c r="EW135" s="40">
        <f>COUNTIF($EV$2:$EV$92, EV135)/(COUNTIF($EV$2:$EV$92, "&lt;&gt;""") - COUNTIF($EV$2:$EV$92, ""))</f>
        <v>0</v>
      </c>
      <c r="EX135" s="36" t="str">
        <f t="shared" si="87"/>
        <v>Yes</v>
      </c>
      <c r="EY135" s="40">
        <f>COUNTIF($EX$2:$EX$92, EX135)/(COUNTIF($EX$2:$EX$92, "&lt;&gt;""") - COUNTIF($EX$2:$EX$92, ""))</f>
        <v>0.27777777777777779</v>
      </c>
      <c r="EZ135" s="36" t="str">
        <f t="shared" ref="EZ135:FB135" si="258">BM135</f>
        <v>Yes</v>
      </c>
      <c r="FA135" s="36" t="str">
        <f t="shared" si="258"/>
        <v>Yes</v>
      </c>
      <c r="FB135" s="36" t="str">
        <f t="shared" si="258"/>
        <v>No</v>
      </c>
      <c r="FC135" s="207"/>
      <c r="FD135" s="36" t="str">
        <f t="shared" si="89"/>
        <v>Recurring</v>
      </c>
      <c r="FE135" s="40">
        <f>COUNTIF($FD$2:$FD$92, FD135)/(COUNTIF($FD$2:$FD$92, "&lt;&gt;""") - COUNTIF($FD$2:$FD$92, ""))</f>
        <v>0.4</v>
      </c>
      <c r="FF135" s="36" t="str">
        <f t="shared" si="90"/>
        <v>B2C</v>
      </c>
      <c r="FG135" s="40">
        <f>COUNTIF($FF$2:$FF$92, FF135)/(COUNTIF($FF$2:$FF$92, "&lt;&gt;""") - COUNTIF($FF$2:$FF$92, ""))</f>
        <v>0.41111111111111109</v>
      </c>
      <c r="FH135" s="36" t="str">
        <f t="shared" si="91"/>
        <v>Low</v>
      </c>
      <c r="FI135" s="40">
        <f>COUNTIF($FH$2:$FH$92, FH135)/(COUNTIF($FH$2:$FH$92, "&lt;&gt;""") - COUNTIF($FH$2:$FH$92, ""))</f>
        <v>0.46666666666666667</v>
      </c>
      <c r="FJ135" s="36" t="str">
        <f t="shared" si="92"/>
        <v>High</v>
      </c>
      <c r="FK135" s="40">
        <f>COUNTIF($FJ$2:$FJ$92, FJ135)/(COUNTIF($FJ$2:$FJ$92, "&lt;&gt;""") - COUNTIF($FJ$2:$FJ$92, ""))</f>
        <v>0.58888888888888891</v>
      </c>
      <c r="FL135" s="207"/>
      <c r="FM135" s="192">
        <f t="shared" si="93"/>
        <v>5</v>
      </c>
      <c r="FN135" s="192" t="e">
        <f t="shared" ca="1" si="94"/>
        <v>#NAME?</v>
      </c>
      <c r="FO135" s="192" t="e">
        <f t="shared" ca="1" si="95"/>
        <v>#NAME?</v>
      </c>
      <c r="FP135" s="192" t="e">
        <f t="shared" ca="1" si="96"/>
        <v>#NAME?</v>
      </c>
      <c r="FQ135" s="209" t="e">
        <f t="shared" ca="1" si="97"/>
        <v>#NAME?</v>
      </c>
      <c r="FR135" s="208" t="e">
        <f t="shared" ca="1" si="198"/>
        <v>#NAME?</v>
      </c>
      <c r="FS135" s="36" t="str">
        <f t="shared" si="99"/>
        <v>Pre-Profit</v>
      </c>
      <c r="FT135" s="196">
        <f>COUNTIF($FS$2:$FS$92, FS135)/(COUNTIF($FS$2:$FS$92, "&lt;&gt;""") - COUNTIF($FZ$2:$FZ$92, ""))</f>
        <v>0.51111111111111107</v>
      </c>
      <c r="FU135" s="207"/>
      <c r="FV135" s="192" t="e">
        <f t="shared" ca="1" si="100"/>
        <v>#NAME?</v>
      </c>
      <c r="FW135" s="197" t="e">
        <f t="shared" ca="1" si="101"/>
        <v>#NAME?</v>
      </c>
      <c r="FX135" s="209" t="e">
        <f t="shared" ca="1" si="102"/>
        <v>#NAME?</v>
      </c>
      <c r="FY135" s="211" t="e">
        <f t="shared" ca="1" si="199"/>
        <v>#NAME?</v>
      </c>
      <c r="FZ135" s="36" t="str">
        <f t="shared" si="104"/>
        <v>No</v>
      </c>
      <c r="GA135" s="196">
        <f>COUNTIF($FZ$2:$FZ$92, FZ135)/(COUNTIF($FZ$2:$FZ$92, "&lt;&gt;""") - COUNTIF($FZ$2:$FZ$92, ""))</f>
        <v>0.76666666666666672</v>
      </c>
      <c r="GB135" s="196" t="str">
        <f t="shared" si="105"/>
        <v>Low</v>
      </c>
      <c r="GC135" s="196">
        <f>COUNTIF($GB$2:$GB$92, GB135)/(COUNTIF($GB$2:$GB$92, "&lt;&gt;""") - COUNTIF($GB$2:$GB$92, ""))</f>
        <v>0.55555555555555558</v>
      </c>
      <c r="GD135" s="196" t="str">
        <f t="shared" si="106"/>
        <v>High</v>
      </c>
      <c r="GE135" s="196">
        <f>COUNTIF($GD$2:$GD$92, GD135)/(COUNTIF($GD$2:$GD$92, "&lt;&gt;""") - COUNTIF($GD$2:$GD$92, ""))</f>
        <v>0.8</v>
      </c>
      <c r="GF135" s="207"/>
      <c r="GG135" s="36"/>
      <c r="GH135" s="209" t="e">
        <f t="shared" ca="1" si="107"/>
        <v>#NAME?</v>
      </c>
      <c r="GI135" s="212" t="e">
        <f t="shared" ca="1" si="200"/>
        <v>#NAME?</v>
      </c>
    </row>
    <row r="136" spans="1:191" ht="15.75" customHeight="1">
      <c r="A136" s="171"/>
      <c r="B136" s="171" t="s">
        <v>355</v>
      </c>
      <c r="C136" s="16">
        <v>1793576</v>
      </c>
      <c r="D136" s="233" t="s">
        <v>1277</v>
      </c>
      <c r="E136" s="234">
        <v>43840.501388888886</v>
      </c>
      <c r="F136" s="16" t="s">
        <v>316</v>
      </c>
      <c r="G136" s="235" t="s">
        <v>1278</v>
      </c>
      <c r="H136" s="235" t="s">
        <v>1279</v>
      </c>
      <c r="I136" s="241">
        <v>43839</v>
      </c>
      <c r="J136" s="233" t="s">
        <v>1280</v>
      </c>
      <c r="K136" s="233" t="s">
        <v>1277</v>
      </c>
      <c r="M136" s="16" t="s">
        <v>929</v>
      </c>
      <c r="N136" s="16" t="s">
        <v>213</v>
      </c>
      <c r="O136" s="16" t="s">
        <v>30</v>
      </c>
      <c r="P136" s="16" t="s">
        <v>31</v>
      </c>
      <c r="Q136" s="16" t="s">
        <v>35</v>
      </c>
      <c r="S136" s="16" t="s">
        <v>216</v>
      </c>
      <c r="T136" s="237"/>
      <c r="U136" s="213"/>
      <c r="V136" s="54">
        <v>3745000</v>
      </c>
      <c r="X136" s="226"/>
      <c r="Y136" s="55" t="str">
        <f t="shared" si="158"/>
        <v/>
      </c>
      <c r="Z136" s="274">
        <f t="shared" si="159"/>
        <v>3745000</v>
      </c>
      <c r="AA136" s="183" t="e">
        <f t="shared" ca="1" si="160"/>
        <v>#NAME?</v>
      </c>
      <c r="AB136" s="16" t="s">
        <v>36</v>
      </c>
      <c r="AC136" s="16" t="s">
        <v>179</v>
      </c>
      <c r="AD136" s="16" t="s">
        <v>38</v>
      </c>
      <c r="AE136" s="16" t="s">
        <v>190</v>
      </c>
      <c r="AF136" s="16" t="s">
        <v>181</v>
      </c>
      <c r="AG136" s="16" t="s">
        <v>39</v>
      </c>
      <c r="AH136" s="16" t="s">
        <v>190</v>
      </c>
      <c r="AI136" s="54"/>
      <c r="AJ136" s="278">
        <v>120000000000</v>
      </c>
      <c r="AK136" s="224" t="e">
        <f t="shared" ca="1" si="161"/>
        <v>#NAME?</v>
      </c>
      <c r="AL136" s="278">
        <v>5000000000</v>
      </c>
      <c r="AM136" s="224" t="e">
        <f t="shared" ca="1" si="162"/>
        <v>#NAME?</v>
      </c>
      <c r="AN136" s="278">
        <v>0.2</v>
      </c>
      <c r="AO136" s="185" t="e">
        <f t="shared" ca="1" si="63"/>
        <v>#NAME?</v>
      </c>
      <c r="AP136" s="185" t="s">
        <v>211</v>
      </c>
      <c r="AQ136" s="16" t="s">
        <v>39</v>
      </c>
      <c r="AR136" s="16" t="s">
        <v>181</v>
      </c>
      <c r="AS136" s="16" t="s">
        <v>42</v>
      </c>
      <c r="AT136" s="159" t="s">
        <v>39</v>
      </c>
      <c r="AU136" s="159" t="s">
        <v>181</v>
      </c>
      <c r="AV136" s="16" t="s">
        <v>190</v>
      </c>
      <c r="AW136" s="16" t="s">
        <v>190</v>
      </c>
      <c r="AX136" s="16" t="s">
        <v>190</v>
      </c>
      <c r="AY136" s="16" t="s">
        <v>190</v>
      </c>
      <c r="AZ136" s="54">
        <v>0</v>
      </c>
      <c r="BA136" s="55" t="e">
        <f t="shared" ca="1" si="163"/>
        <v>#NAME?</v>
      </c>
      <c r="BB136" s="278">
        <v>438</v>
      </c>
      <c r="BC136" s="278">
        <v>0</v>
      </c>
      <c r="BD136" s="62" t="e">
        <f t="shared" ca="1" si="164"/>
        <v>#NAME?</v>
      </c>
      <c r="BE136" s="277">
        <f t="shared" si="165"/>
        <v>1</v>
      </c>
      <c r="BF136" s="62" t="e">
        <f t="shared" ca="1" si="166"/>
        <v>#NAME?</v>
      </c>
      <c r="BG136" s="16" t="s">
        <v>183</v>
      </c>
      <c r="BI136" s="16" t="s">
        <v>190</v>
      </c>
      <c r="BJ136" s="16">
        <v>0</v>
      </c>
      <c r="BK136" s="278">
        <v>3</v>
      </c>
      <c r="BL136" s="16" t="s">
        <v>190</v>
      </c>
      <c r="BM136" s="16" t="s">
        <v>227</v>
      </c>
      <c r="BN136" s="16" t="s">
        <v>190</v>
      </c>
      <c r="BO136" s="16" t="s">
        <v>190</v>
      </c>
      <c r="BP136" s="16">
        <v>3</v>
      </c>
      <c r="BQ136" s="16">
        <v>1</v>
      </c>
      <c r="BR136" s="16">
        <v>1</v>
      </c>
      <c r="BS136" s="16">
        <v>0</v>
      </c>
      <c r="BT136" s="205"/>
      <c r="BU136" s="16">
        <v>30</v>
      </c>
      <c r="BV136" s="16">
        <v>0</v>
      </c>
      <c r="BW136" s="16">
        <v>55</v>
      </c>
      <c r="BX136" s="16" t="s">
        <v>190</v>
      </c>
      <c r="BY136" s="205"/>
      <c r="BZ136" s="16">
        <v>20</v>
      </c>
      <c r="CA136" s="16">
        <v>0</v>
      </c>
      <c r="CB136" s="16">
        <v>55</v>
      </c>
      <c r="CC136" s="16" t="s">
        <v>190</v>
      </c>
      <c r="CD136" s="205"/>
      <c r="CE136" s="16">
        <v>10</v>
      </c>
      <c r="CF136" s="16">
        <v>0</v>
      </c>
      <c r="CG136" s="16">
        <v>50</v>
      </c>
      <c r="CH136" s="16" t="s">
        <v>190</v>
      </c>
      <c r="CI136" s="205"/>
      <c r="CN136" s="205"/>
      <c r="CS136" s="205"/>
      <c r="CX136" s="205"/>
      <c r="DC136" s="205"/>
      <c r="DH136" s="205"/>
      <c r="DM136" s="205"/>
      <c r="DN136" s="205"/>
      <c r="DO136" s="205"/>
      <c r="DQ136" s="206"/>
      <c r="DR136" s="188">
        <f t="shared" si="64"/>
        <v>20</v>
      </c>
      <c r="DS136" s="188"/>
      <c r="DT136" s="189">
        <f t="shared" si="65"/>
        <v>0</v>
      </c>
      <c r="DU136" s="189"/>
      <c r="DV136" s="188">
        <f t="shared" si="66"/>
        <v>53.333333333333336</v>
      </c>
      <c r="DW136" s="183" t="e">
        <f t="shared" ca="1" si="67"/>
        <v>#NAME?</v>
      </c>
      <c r="DX136" s="207"/>
      <c r="DY136" s="190" t="e">
        <f t="shared" ca="1" si="68"/>
        <v>#NAME?</v>
      </c>
      <c r="DZ136" s="191" t="str">
        <f t="shared" si="190"/>
        <v/>
      </c>
      <c r="EA136" s="191" t="str">
        <f t="shared" si="191"/>
        <v/>
      </c>
      <c r="EB136" s="191" t="str">
        <f t="shared" si="192"/>
        <v/>
      </c>
      <c r="EC136" s="208" t="e">
        <f t="shared" ca="1" si="72"/>
        <v>#NAME?</v>
      </c>
      <c r="ED136" s="36" t="str">
        <f t="shared" si="73"/>
        <v>Equity - Common</v>
      </c>
      <c r="EE136" s="193">
        <f>COUNTIF($ED$2:$ED$92, ED136)/(COUNTIF($ED$2:$ED$92, "&lt;&gt;""") - COUNTIF($ED$2:$ED$92, ""))</f>
        <v>0.32222222222222224</v>
      </c>
      <c r="EF136" s="36" t="str">
        <f t="shared" si="74"/>
        <v>Early</v>
      </c>
      <c r="EG136" s="207"/>
      <c r="EH136" s="194" t="e">
        <f t="shared" ca="1" si="75"/>
        <v>#NAME?</v>
      </c>
      <c r="EI136" s="194" t="e">
        <f t="shared" ca="1" si="76"/>
        <v>#NAME?</v>
      </c>
      <c r="EJ136" s="209" t="e">
        <f t="shared" ca="1" si="77"/>
        <v>#NAME?</v>
      </c>
      <c r="EK136" s="208" t="e">
        <f t="shared" ca="1" si="193"/>
        <v>#NAME?</v>
      </c>
      <c r="EL136" s="36" t="str">
        <f t="shared" si="79"/>
        <v>No</v>
      </c>
      <c r="EM136" s="207"/>
      <c r="EN136" s="192">
        <f t="shared" si="194"/>
        <v>2.9047619047619047</v>
      </c>
      <c r="EO136" s="192">
        <f t="shared" si="195"/>
        <v>1</v>
      </c>
      <c r="EP136" s="209">
        <f t="shared" si="82"/>
        <v>3.9047619047619047</v>
      </c>
      <c r="EQ136" s="210">
        <f t="shared" si="196"/>
        <v>2.4953271028037385</v>
      </c>
      <c r="ER136" s="36" t="e">
        <f t="shared" ca="1" si="84"/>
        <v>#NAME?</v>
      </c>
      <c r="ES136" s="40">
        <f ca="1">COUNTIF($ER$2:$ER$92, ER136)/(COUNTIF($ER$2:$ER$92, "&lt;&gt;""") - COUNTIF($ER$2:$ER$92, ""))</f>
        <v>1</v>
      </c>
      <c r="ET136" s="36">
        <f t="shared" si="85"/>
        <v>3</v>
      </c>
      <c r="EU136" s="40">
        <f>COUNTIF($ET$2:$ET$92, ET136)/(COUNTIF($ET$2:$ET$92, "&lt;&gt;""") - COUNTIF($ET$2:$ET$92, ""))</f>
        <v>4.4444444444444446E-2</v>
      </c>
      <c r="EV136" s="36">
        <f t="shared" si="86"/>
        <v>1</v>
      </c>
      <c r="EW136" s="40">
        <f>COUNTIF($EV$2:$EV$92, EV136)/(COUNTIF($EV$2:$EV$92, "&lt;&gt;""") - COUNTIF($EV$2:$EV$92, ""))</f>
        <v>7.7777777777777779E-2</v>
      </c>
      <c r="EX136" s="36" t="str">
        <f t="shared" si="87"/>
        <v>No</v>
      </c>
      <c r="EY136" s="40">
        <f>COUNTIF($EX$2:$EX$92, EX136)/(COUNTIF($EX$2:$EX$92, "&lt;&gt;""") - COUNTIF($EX$2:$EX$92, ""))</f>
        <v>0.72222222222222221</v>
      </c>
      <c r="EZ136" s="36" t="str">
        <f t="shared" ref="EZ136:FB136" si="259">BM136</f>
        <v>Yes</v>
      </c>
      <c r="FA136" s="36" t="str">
        <f t="shared" si="259"/>
        <v>No</v>
      </c>
      <c r="FB136" s="36" t="str">
        <f t="shared" si="259"/>
        <v>No</v>
      </c>
      <c r="FC136" s="207"/>
      <c r="FD136" s="36" t="str">
        <f t="shared" si="89"/>
        <v>Transactional</v>
      </c>
      <c r="FE136" s="40">
        <f>COUNTIF($FD$2:$FD$92, FD136)/(COUNTIF($FD$2:$FD$92, "&lt;&gt;""") - COUNTIF($FD$2:$FD$92, ""))</f>
        <v>0.6</v>
      </c>
      <c r="FF136" s="36" t="str">
        <f t="shared" si="90"/>
        <v>B2C</v>
      </c>
      <c r="FG136" s="40">
        <f>COUNTIF($FF$2:$FF$92, FF136)/(COUNTIF($FF$2:$FF$92, "&lt;&gt;""") - COUNTIF($FF$2:$FF$92, ""))</f>
        <v>0.41111111111111109</v>
      </c>
      <c r="FH136" s="36" t="str">
        <f t="shared" si="91"/>
        <v>Low</v>
      </c>
      <c r="FI136" s="40">
        <f>COUNTIF($FH$2:$FH$92, FH136)/(COUNTIF($FH$2:$FH$92, "&lt;&gt;""") - COUNTIF($FH$2:$FH$92, ""))</f>
        <v>0.46666666666666667</v>
      </c>
      <c r="FJ136" s="36" t="str">
        <f t="shared" si="92"/>
        <v>High</v>
      </c>
      <c r="FK136" s="40">
        <f>COUNTIF($FJ$2:$FJ$92, FJ136)/(COUNTIF($FJ$2:$FJ$92, "&lt;&gt;""") - COUNTIF($FJ$2:$FJ$92, ""))</f>
        <v>0.58888888888888891</v>
      </c>
      <c r="FL136" s="207"/>
      <c r="FM136" s="192">
        <f t="shared" si="93"/>
        <v>1</v>
      </c>
      <c r="FN136" s="192" t="e">
        <f t="shared" ca="1" si="94"/>
        <v>#NAME?</v>
      </c>
      <c r="FO136" s="192" t="e">
        <f t="shared" ca="1" si="95"/>
        <v>#NAME?</v>
      </c>
      <c r="FP136" s="192" t="e">
        <f t="shared" ca="1" si="96"/>
        <v>#NAME?</v>
      </c>
      <c r="FQ136" s="209" t="e">
        <f t="shared" ca="1" si="97"/>
        <v>#NAME?</v>
      </c>
      <c r="FR136" s="208" t="e">
        <f t="shared" ca="1" si="198"/>
        <v>#NAME?</v>
      </c>
      <c r="FS136" s="36" t="str">
        <f t="shared" si="99"/>
        <v>Pre-Revenue</v>
      </c>
      <c r="FT136" s="196">
        <f>COUNTIF($FS$2:$FS$92, FS136)/(COUNTIF($FS$2:$FS$92, "&lt;&gt;""") - COUNTIF($FZ$2:$FZ$92, ""))</f>
        <v>0.2</v>
      </c>
      <c r="FU136" s="207"/>
      <c r="FV136" s="192">
        <f t="shared" si="100"/>
        <v>3</v>
      </c>
      <c r="FW136" s="197" t="e">
        <f t="shared" ca="1" si="101"/>
        <v>#NAME?</v>
      </c>
      <c r="FX136" s="209" t="e">
        <f t="shared" ca="1" si="102"/>
        <v>#NAME?</v>
      </c>
      <c r="FY136" s="211" t="e">
        <f t="shared" ca="1" si="199"/>
        <v>#NAME?</v>
      </c>
      <c r="FZ136" s="36" t="str">
        <f t="shared" si="104"/>
        <v>No</v>
      </c>
      <c r="GA136" s="196">
        <f>COUNTIF($FZ$2:$FZ$92, FZ136)/(COUNTIF($FZ$2:$FZ$92, "&lt;&gt;""") - COUNTIF($FZ$2:$FZ$92, ""))</f>
        <v>0.76666666666666672</v>
      </c>
      <c r="GB136" s="196" t="str">
        <f t="shared" si="105"/>
        <v>High</v>
      </c>
      <c r="GC136" s="196">
        <f>COUNTIF($GB$2:$GB$92, GB136)/(COUNTIF($GB$2:$GB$92, "&lt;&gt;""") - COUNTIF($GB$2:$GB$92, ""))</f>
        <v>0.43333333333333335</v>
      </c>
      <c r="GD136" s="196" t="str">
        <f t="shared" si="106"/>
        <v>Low</v>
      </c>
      <c r="GE136" s="196">
        <f>COUNTIF($GD$2:$GD$92, GD136)/(COUNTIF($GD$2:$GD$92, "&lt;&gt;""") - COUNTIF($GD$2:$GD$92, ""))</f>
        <v>0.18888888888888888</v>
      </c>
      <c r="GF136" s="207"/>
      <c r="GG136" s="36"/>
      <c r="GH136" s="209" t="e">
        <f t="shared" ca="1" si="107"/>
        <v>#NAME?</v>
      </c>
      <c r="GI136" s="212" t="e">
        <f t="shared" ca="1" si="200"/>
        <v>#NAME?</v>
      </c>
    </row>
    <row r="137" spans="1:191" ht="15.75" customHeight="1">
      <c r="A137" s="171"/>
      <c r="B137" s="171" t="s">
        <v>355</v>
      </c>
      <c r="C137" s="16">
        <v>1478263</v>
      </c>
      <c r="D137" s="233" t="s">
        <v>1281</v>
      </c>
      <c r="E137" s="234">
        <v>43840.507638888892</v>
      </c>
      <c r="F137" s="16" t="s">
        <v>337</v>
      </c>
      <c r="G137" s="235" t="s">
        <v>1282</v>
      </c>
      <c r="H137" s="235" t="s">
        <v>1283</v>
      </c>
      <c r="I137" s="241">
        <v>43839</v>
      </c>
      <c r="J137" s="233" t="s">
        <v>1284</v>
      </c>
      <c r="K137" s="233" t="s">
        <v>1281</v>
      </c>
      <c r="M137" s="29" t="s">
        <v>747</v>
      </c>
      <c r="N137" s="16" t="s">
        <v>300</v>
      </c>
      <c r="O137" s="16" t="s">
        <v>173</v>
      </c>
      <c r="P137" s="16" t="s">
        <v>245</v>
      </c>
      <c r="Q137" s="16" t="s">
        <v>35</v>
      </c>
      <c r="S137" s="16" t="s">
        <v>232</v>
      </c>
      <c r="T137" s="237"/>
      <c r="U137" s="213"/>
      <c r="V137" s="54">
        <v>34108515</v>
      </c>
      <c r="W137" s="54"/>
      <c r="X137" s="226"/>
      <c r="Y137" s="55" t="str">
        <f t="shared" si="158"/>
        <v/>
      </c>
      <c r="Z137" s="274">
        <f t="shared" si="159"/>
        <v>34108515</v>
      </c>
      <c r="AA137" s="183" t="e">
        <f t="shared" ca="1" si="160"/>
        <v>#NAME?</v>
      </c>
      <c r="AB137" s="16" t="s">
        <v>36</v>
      </c>
      <c r="AC137" s="16" t="s">
        <v>218</v>
      </c>
      <c r="AD137" s="16" t="s">
        <v>38</v>
      </c>
      <c r="AE137" s="16" t="s">
        <v>190</v>
      </c>
      <c r="AF137" s="16" t="s">
        <v>181</v>
      </c>
      <c r="AG137" s="16" t="s">
        <v>39</v>
      </c>
      <c r="AH137" s="16" t="s">
        <v>190</v>
      </c>
      <c r="AI137" s="54"/>
      <c r="AJ137" s="278">
        <v>10000000000</v>
      </c>
      <c r="AK137" s="224" t="e">
        <f t="shared" ca="1" si="161"/>
        <v>#NAME?</v>
      </c>
      <c r="AL137" s="278">
        <v>1000000000</v>
      </c>
      <c r="AM137" s="224" t="e">
        <f t="shared" ca="1" si="162"/>
        <v>#NAME?</v>
      </c>
      <c r="AN137" s="278">
        <v>0.06</v>
      </c>
      <c r="AO137" s="185" t="e">
        <f t="shared" ca="1" si="63"/>
        <v>#NAME?</v>
      </c>
      <c r="AP137" s="185" t="s">
        <v>252</v>
      </c>
      <c r="AQ137" s="16" t="s">
        <v>39</v>
      </c>
      <c r="AR137" s="16" t="s">
        <v>181</v>
      </c>
      <c r="AS137" s="16" t="s">
        <v>182</v>
      </c>
      <c r="AT137" s="159" t="s">
        <v>181</v>
      </c>
      <c r="AU137" s="159" t="s">
        <v>39</v>
      </c>
      <c r="AV137" s="16" t="s">
        <v>190</v>
      </c>
      <c r="AW137" s="16" t="s">
        <v>227</v>
      </c>
      <c r="AX137" s="16" t="s">
        <v>227</v>
      </c>
      <c r="AY137" s="16" t="s">
        <v>227</v>
      </c>
      <c r="AZ137" s="54">
        <v>4642737</v>
      </c>
      <c r="BA137" s="55" t="e">
        <f t="shared" ca="1" si="163"/>
        <v>#NAME?</v>
      </c>
      <c r="BB137" s="278">
        <v>59817</v>
      </c>
      <c r="BC137" s="278">
        <v>9000000</v>
      </c>
      <c r="BD137" s="62" t="e">
        <f t="shared" ca="1" si="164"/>
        <v>#NAME?</v>
      </c>
      <c r="BE137" s="277">
        <f t="shared" si="165"/>
        <v>6.6463333333333331E-3</v>
      </c>
      <c r="BF137" s="62" t="e">
        <f t="shared" ca="1" si="166"/>
        <v>#NAME?</v>
      </c>
      <c r="BG137" s="16" t="s">
        <v>202</v>
      </c>
      <c r="BI137" s="16" t="s">
        <v>190</v>
      </c>
      <c r="BJ137" s="16">
        <v>0</v>
      </c>
      <c r="BK137" s="278">
        <v>2</v>
      </c>
      <c r="BL137" s="16" t="s">
        <v>190</v>
      </c>
      <c r="BM137" s="16" t="s">
        <v>190</v>
      </c>
      <c r="BN137" s="16" t="s">
        <v>190</v>
      </c>
      <c r="BO137" s="16" t="s">
        <v>190</v>
      </c>
      <c r="BP137" s="16">
        <v>3</v>
      </c>
      <c r="BQ137" s="16">
        <v>11</v>
      </c>
      <c r="BR137" s="16">
        <v>0</v>
      </c>
      <c r="BS137" s="16">
        <v>0</v>
      </c>
      <c r="BT137" s="205"/>
      <c r="BU137" s="16">
        <v>5</v>
      </c>
      <c r="BV137" s="16">
        <v>0</v>
      </c>
      <c r="BW137" s="16">
        <v>50</v>
      </c>
      <c r="BX137" s="16" t="s">
        <v>227</v>
      </c>
      <c r="BY137" s="205"/>
      <c r="BZ137" s="16">
        <v>15</v>
      </c>
      <c r="CA137" s="16">
        <v>0</v>
      </c>
      <c r="CB137" s="16">
        <v>50</v>
      </c>
      <c r="CC137" s="16" t="s">
        <v>190</v>
      </c>
      <c r="CD137" s="205"/>
      <c r="CI137" s="205"/>
      <c r="CN137" s="205"/>
      <c r="CS137" s="205"/>
      <c r="CX137" s="205"/>
      <c r="DC137" s="205"/>
      <c r="DH137" s="205"/>
      <c r="DM137" s="205"/>
      <c r="DN137" s="205"/>
      <c r="DO137" s="205"/>
      <c r="DQ137" s="206"/>
      <c r="DR137" s="188">
        <f t="shared" si="64"/>
        <v>10</v>
      </c>
      <c r="DS137" s="188"/>
      <c r="DT137" s="189">
        <f t="shared" si="65"/>
        <v>0</v>
      </c>
      <c r="DU137" s="189"/>
      <c r="DV137" s="188">
        <f t="shared" si="66"/>
        <v>50</v>
      </c>
      <c r="DW137" s="183" t="e">
        <f t="shared" ca="1" si="67"/>
        <v>#NAME?</v>
      </c>
      <c r="DX137" s="207"/>
      <c r="DY137" s="190" t="e">
        <f t="shared" ca="1" si="68"/>
        <v>#NAME?</v>
      </c>
      <c r="DZ137" s="191" t="str">
        <f t="shared" si="190"/>
        <v/>
      </c>
      <c r="EA137" s="191" t="str">
        <f t="shared" si="191"/>
        <v/>
      </c>
      <c r="EB137" s="191" t="str">
        <f t="shared" si="192"/>
        <v/>
      </c>
      <c r="EC137" s="208" t="e">
        <f t="shared" ca="1" si="72"/>
        <v>#NAME?</v>
      </c>
      <c r="ED137" s="36" t="str">
        <f t="shared" si="73"/>
        <v>Equity - Preferred</v>
      </c>
      <c r="EE137" s="193">
        <f>COUNTIF($ED$2:$ED$92, ED137)/(COUNTIF($ED$2:$ED$92, "&lt;&gt;""") - COUNTIF($ED$2:$ED$92, ""))</f>
        <v>6.6666666666666666E-2</v>
      </c>
      <c r="EF137" s="36" t="str">
        <f t="shared" si="74"/>
        <v>Growth</v>
      </c>
      <c r="EG137" s="207"/>
      <c r="EH137" s="194" t="e">
        <f t="shared" ca="1" si="75"/>
        <v>#NAME?</v>
      </c>
      <c r="EI137" s="194" t="e">
        <f t="shared" ca="1" si="76"/>
        <v>#NAME?</v>
      </c>
      <c r="EJ137" s="209" t="e">
        <f t="shared" ca="1" si="77"/>
        <v>#NAME?</v>
      </c>
      <c r="EK137" s="208" t="e">
        <f t="shared" ca="1" si="193"/>
        <v>#NAME?</v>
      </c>
      <c r="EL137" s="36" t="str">
        <f t="shared" si="79"/>
        <v>No</v>
      </c>
      <c r="EM137" s="207"/>
      <c r="EN137" s="192">
        <f t="shared" si="194"/>
        <v>1.9523809523809523</v>
      </c>
      <c r="EO137" s="192">
        <f t="shared" si="195"/>
        <v>1</v>
      </c>
      <c r="EP137" s="209">
        <f t="shared" si="82"/>
        <v>2.9523809523809526</v>
      </c>
      <c r="EQ137" s="210">
        <f t="shared" si="196"/>
        <v>1.7476635514018692</v>
      </c>
      <c r="ER137" s="36" t="e">
        <f t="shared" ca="1" si="84"/>
        <v>#NAME?</v>
      </c>
      <c r="ES137" s="40">
        <f ca="1">COUNTIF($ER$2:$ER$92, ER137)/(COUNTIF($ER$2:$ER$92, "&lt;&gt;""") - COUNTIF($ER$2:$ER$92, ""))</f>
        <v>1</v>
      </c>
      <c r="ET137" s="36">
        <f t="shared" si="85"/>
        <v>2</v>
      </c>
      <c r="EU137" s="40">
        <f>COUNTIF($ET$2:$ET$92, ET137)/(COUNTIF($ET$2:$ET$92, "&lt;&gt;""") - COUNTIF($ET$2:$ET$92, ""))</f>
        <v>0.45555555555555555</v>
      </c>
      <c r="EV137" s="36">
        <f t="shared" si="86"/>
        <v>11</v>
      </c>
      <c r="EW137" s="40">
        <f>COUNTIF($EV$2:$EV$92, EV137)/(COUNTIF($EV$2:$EV$92, "&lt;&gt;""") - COUNTIF($EV$2:$EV$92, ""))</f>
        <v>3.3333333333333333E-2</v>
      </c>
      <c r="EX137" s="36" t="str">
        <f t="shared" si="87"/>
        <v>No</v>
      </c>
      <c r="EY137" s="40">
        <f>COUNTIF($EX$2:$EX$92, EX137)/(COUNTIF($EX$2:$EX$92, "&lt;&gt;""") - COUNTIF($EX$2:$EX$92, ""))</f>
        <v>0.72222222222222221</v>
      </c>
      <c r="EZ137" s="36" t="str">
        <f t="shared" ref="EZ137:FB137" si="260">BM137</f>
        <v>No</v>
      </c>
      <c r="FA137" s="36" t="str">
        <f t="shared" si="260"/>
        <v>No</v>
      </c>
      <c r="FB137" s="36" t="str">
        <f t="shared" si="260"/>
        <v>No</v>
      </c>
      <c r="FC137" s="207"/>
      <c r="FD137" s="36" t="str">
        <f t="shared" si="89"/>
        <v>Transactional</v>
      </c>
      <c r="FE137" s="40">
        <f>COUNTIF($FD$2:$FD$92, FD137)/(COUNTIF($FD$2:$FD$92, "&lt;&gt;""") - COUNTIF($FD$2:$FD$92, ""))</f>
        <v>0.6</v>
      </c>
      <c r="FF137" s="36" t="str">
        <f t="shared" si="90"/>
        <v>B2B/B2C</v>
      </c>
      <c r="FG137" s="40">
        <f>COUNTIF($FF$2:$FF$92, FF137)/(COUNTIF($FF$2:$FF$92, "&lt;&gt;""") - COUNTIF($FF$2:$FF$92, ""))</f>
        <v>0.27777777777777779</v>
      </c>
      <c r="FH137" s="36" t="str">
        <f t="shared" si="91"/>
        <v>Low</v>
      </c>
      <c r="FI137" s="40">
        <f>COUNTIF($FH$2:$FH$92, FH137)/(COUNTIF($FH$2:$FH$92, "&lt;&gt;""") - COUNTIF($FH$2:$FH$92, ""))</f>
        <v>0.46666666666666667</v>
      </c>
      <c r="FJ137" s="36" t="str">
        <f t="shared" si="92"/>
        <v>High</v>
      </c>
      <c r="FK137" s="40">
        <f>COUNTIF($FJ$2:$FJ$92, FJ137)/(COUNTIF($FJ$2:$FJ$92, "&lt;&gt;""") - COUNTIF($FJ$2:$FJ$92, ""))</f>
        <v>0.58888888888888891</v>
      </c>
      <c r="FL137" s="207"/>
      <c r="FM137" s="192">
        <f t="shared" si="93"/>
        <v>5</v>
      </c>
      <c r="FN137" s="192" t="e">
        <f t="shared" ca="1" si="94"/>
        <v>#NAME?</v>
      </c>
      <c r="FO137" s="192" t="e">
        <f t="shared" ca="1" si="95"/>
        <v>#NAME?</v>
      </c>
      <c r="FP137" s="192" t="e">
        <f t="shared" ca="1" si="96"/>
        <v>#NAME?</v>
      </c>
      <c r="FQ137" s="209" t="e">
        <f t="shared" ca="1" si="97"/>
        <v>#NAME?</v>
      </c>
      <c r="FR137" s="208" t="e">
        <f t="shared" ca="1" si="198"/>
        <v>#NAME?</v>
      </c>
      <c r="FS137" s="36" t="str">
        <f t="shared" si="99"/>
        <v>Pre-Profit</v>
      </c>
      <c r="FT137" s="196">
        <f>COUNTIF($FS$2:$FS$92, FS137)/(COUNTIF($FS$2:$FS$92, "&lt;&gt;""") - COUNTIF($FZ$2:$FZ$92, ""))</f>
        <v>0.51111111111111107</v>
      </c>
      <c r="FU137" s="207"/>
      <c r="FV137" s="192">
        <f t="shared" si="100"/>
        <v>3</v>
      </c>
      <c r="FW137" s="197" t="e">
        <f t="shared" ca="1" si="101"/>
        <v>#NAME?</v>
      </c>
      <c r="FX137" s="209" t="e">
        <f t="shared" ca="1" si="102"/>
        <v>#NAME?</v>
      </c>
      <c r="FY137" s="211" t="e">
        <f t="shared" ca="1" si="199"/>
        <v>#NAME?</v>
      </c>
      <c r="FZ137" s="36" t="str">
        <f t="shared" si="104"/>
        <v>Yes</v>
      </c>
      <c r="GA137" s="196">
        <f>COUNTIF($FZ$2:$FZ$92, FZ137)/(COUNTIF($FZ$2:$FZ$92, "&lt;&gt;""") - COUNTIF($FZ$2:$FZ$92, ""))</f>
        <v>0.23333333333333334</v>
      </c>
      <c r="GB137" s="196" t="str">
        <f t="shared" si="105"/>
        <v>Low</v>
      </c>
      <c r="GC137" s="196">
        <f>COUNTIF($GB$2:$GB$92, GB137)/(COUNTIF($GB$2:$GB$92, "&lt;&gt;""") - COUNTIF($GB$2:$GB$92, ""))</f>
        <v>0.55555555555555558</v>
      </c>
      <c r="GD137" s="196" t="str">
        <f t="shared" si="106"/>
        <v>High</v>
      </c>
      <c r="GE137" s="196">
        <f>COUNTIF($GD$2:$GD$92, GD137)/(COUNTIF($GD$2:$GD$92, "&lt;&gt;""") - COUNTIF($GD$2:$GD$92, ""))</f>
        <v>0.8</v>
      </c>
      <c r="GF137" s="207"/>
      <c r="GG137" s="36"/>
      <c r="GH137" s="209" t="e">
        <f t="shared" ca="1" si="107"/>
        <v>#NAME?</v>
      </c>
      <c r="GI137" s="212" t="e">
        <f t="shared" ca="1" si="200"/>
        <v>#NAME?</v>
      </c>
    </row>
    <row r="138" spans="1:191" ht="15.75" customHeight="1">
      <c r="A138" s="171"/>
      <c r="B138" s="171" t="s">
        <v>355</v>
      </c>
      <c r="C138" s="16">
        <v>1796619</v>
      </c>
      <c r="D138" s="233" t="s">
        <v>1285</v>
      </c>
      <c r="E138" s="234">
        <v>43875.499305555553</v>
      </c>
      <c r="F138" s="16" t="s">
        <v>316</v>
      </c>
      <c r="G138" s="235" t="s">
        <v>1286</v>
      </c>
      <c r="H138" s="235" t="s">
        <v>1287</v>
      </c>
      <c r="I138" s="241">
        <v>43875</v>
      </c>
      <c r="J138" s="233" t="s">
        <v>1288</v>
      </c>
      <c r="K138" s="233" t="s">
        <v>1285</v>
      </c>
      <c r="M138" s="29" t="s">
        <v>253</v>
      </c>
      <c r="N138" s="16" t="s">
        <v>168</v>
      </c>
      <c r="O138" s="16" t="s">
        <v>30</v>
      </c>
      <c r="P138" s="16" t="s">
        <v>31</v>
      </c>
      <c r="Q138" s="16" t="s">
        <v>35</v>
      </c>
      <c r="S138" s="16" t="s">
        <v>216</v>
      </c>
      <c r="T138" s="237"/>
      <c r="U138" s="213"/>
      <c r="V138" s="54">
        <v>2800000</v>
      </c>
      <c r="X138" s="226"/>
      <c r="Y138" s="55" t="str">
        <f t="shared" si="158"/>
        <v/>
      </c>
      <c r="Z138" s="274">
        <f t="shared" si="159"/>
        <v>2800000</v>
      </c>
      <c r="AA138" s="183" t="e">
        <f t="shared" ca="1" si="160"/>
        <v>#NAME?</v>
      </c>
      <c r="AB138" s="16" t="s">
        <v>178</v>
      </c>
      <c r="AC138" s="16" t="s">
        <v>179</v>
      </c>
      <c r="AD138" s="16" t="s">
        <v>38</v>
      </c>
      <c r="AE138" s="16" t="s">
        <v>190</v>
      </c>
      <c r="AF138" s="16" t="s">
        <v>181</v>
      </c>
      <c r="AG138" s="16" t="s">
        <v>181</v>
      </c>
      <c r="AH138" s="16" t="s">
        <v>190</v>
      </c>
      <c r="AI138" s="54"/>
      <c r="AJ138" s="278">
        <v>2000000000</v>
      </c>
      <c r="AK138" s="224" t="e">
        <f t="shared" ca="1" si="161"/>
        <v>#NAME?</v>
      </c>
      <c r="AL138" s="278">
        <v>1000000000</v>
      </c>
      <c r="AM138" s="224" t="e">
        <f t="shared" ca="1" si="162"/>
        <v>#NAME?</v>
      </c>
      <c r="AN138" s="278">
        <v>0.05</v>
      </c>
      <c r="AO138" s="185" t="e">
        <f t="shared" ca="1" si="63"/>
        <v>#NAME?</v>
      </c>
      <c r="AP138" s="185" t="s">
        <v>169</v>
      </c>
      <c r="AQ138" s="16" t="s">
        <v>39</v>
      </c>
      <c r="AR138" s="16" t="s">
        <v>181</v>
      </c>
      <c r="AS138" s="16" t="s">
        <v>182</v>
      </c>
      <c r="AT138" s="159" t="s">
        <v>181</v>
      </c>
      <c r="AU138" s="159" t="s">
        <v>39</v>
      </c>
      <c r="AV138" s="16" t="s">
        <v>190</v>
      </c>
      <c r="AW138" s="16" t="s">
        <v>190</v>
      </c>
      <c r="AX138" s="16" t="s">
        <v>227</v>
      </c>
      <c r="AY138" s="16" t="s">
        <v>227</v>
      </c>
      <c r="AZ138" s="54">
        <v>110</v>
      </c>
      <c r="BA138" s="55" t="e">
        <f t="shared" ca="1" si="163"/>
        <v>#NAME?</v>
      </c>
      <c r="BB138" s="278">
        <v>9090</v>
      </c>
      <c r="BC138" s="278">
        <v>0</v>
      </c>
      <c r="BD138" s="62" t="e">
        <f t="shared" ca="1" si="164"/>
        <v>#NAME?</v>
      </c>
      <c r="BE138" s="277">
        <f t="shared" si="165"/>
        <v>1</v>
      </c>
      <c r="BF138" s="62" t="e">
        <f t="shared" ca="1" si="166"/>
        <v>#NAME?</v>
      </c>
      <c r="BG138" s="16" t="s">
        <v>202</v>
      </c>
      <c r="BI138" s="16" t="s">
        <v>227</v>
      </c>
      <c r="BJ138" s="16">
        <v>1</v>
      </c>
      <c r="BK138" s="278">
        <v>3</v>
      </c>
      <c r="BL138" s="16" t="s">
        <v>190</v>
      </c>
      <c r="BM138" s="16" t="s">
        <v>190</v>
      </c>
      <c r="BN138" s="16" t="s">
        <v>190</v>
      </c>
      <c r="BO138" s="16" t="s">
        <v>190</v>
      </c>
      <c r="BP138" s="16">
        <v>2</v>
      </c>
      <c r="BQ138" s="16">
        <v>2</v>
      </c>
      <c r="BR138" s="16">
        <v>0</v>
      </c>
      <c r="BS138" s="16">
        <v>0</v>
      </c>
      <c r="BT138" s="205"/>
      <c r="BU138" s="16">
        <v>0</v>
      </c>
      <c r="BV138" s="16">
        <v>0</v>
      </c>
      <c r="BW138" s="16">
        <v>50</v>
      </c>
      <c r="BX138" s="16" t="s">
        <v>190</v>
      </c>
      <c r="BY138" s="205"/>
      <c r="BZ138" s="16">
        <v>0</v>
      </c>
      <c r="CA138" s="16">
        <v>0</v>
      </c>
      <c r="CB138" s="16">
        <v>50</v>
      </c>
      <c r="CC138" s="16" t="s">
        <v>190</v>
      </c>
      <c r="CD138" s="205"/>
      <c r="CE138" s="16">
        <v>0</v>
      </c>
      <c r="CF138" s="16">
        <v>0</v>
      </c>
      <c r="CG138" s="16">
        <v>50</v>
      </c>
      <c r="CH138" s="16" t="s">
        <v>190</v>
      </c>
      <c r="CI138" s="205"/>
      <c r="CN138" s="205"/>
      <c r="CS138" s="205"/>
      <c r="CX138" s="205"/>
      <c r="DC138" s="205"/>
      <c r="DH138" s="205"/>
      <c r="DM138" s="205"/>
      <c r="DN138" s="205"/>
      <c r="DO138" s="205"/>
      <c r="DQ138" s="206"/>
      <c r="DR138" s="188">
        <f t="shared" si="64"/>
        <v>0</v>
      </c>
      <c r="DS138" s="188"/>
      <c r="DT138" s="189">
        <f t="shared" si="65"/>
        <v>0</v>
      </c>
      <c r="DU138" s="189"/>
      <c r="DV138" s="188">
        <f t="shared" si="66"/>
        <v>50</v>
      </c>
      <c r="DW138" s="183" t="e">
        <f t="shared" ca="1" si="67"/>
        <v>#NAME?</v>
      </c>
      <c r="DX138" s="207"/>
      <c r="DY138" s="190" t="e">
        <f t="shared" ca="1" si="68"/>
        <v>#NAME?</v>
      </c>
      <c r="DZ138" s="191" t="str">
        <f t="shared" si="190"/>
        <v/>
      </c>
      <c r="EA138" s="191" t="str">
        <f t="shared" si="191"/>
        <v/>
      </c>
      <c r="EB138" s="191" t="str">
        <f t="shared" si="192"/>
        <v/>
      </c>
      <c r="EC138" s="208" t="e">
        <f t="shared" ca="1" si="72"/>
        <v>#NAME?</v>
      </c>
      <c r="ED138" s="36" t="str">
        <f t="shared" si="73"/>
        <v>Equity - Common</v>
      </c>
      <c r="EE138" s="193">
        <f>COUNTIF($ED$2:$ED$92, ED138)/(COUNTIF($ED$2:$ED$92, "&lt;&gt;""") - COUNTIF($ED$2:$ED$92, ""))</f>
        <v>0.32222222222222224</v>
      </c>
      <c r="EF138" s="36" t="str">
        <f t="shared" si="74"/>
        <v>Early</v>
      </c>
      <c r="EG138" s="207"/>
      <c r="EH138" s="194" t="e">
        <f t="shared" ca="1" si="75"/>
        <v>#NAME?</v>
      </c>
      <c r="EI138" s="194" t="e">
        <f t="shared" ca="1" si="76"/>
        <v>#NAME?</v>
      </c>
      <c r="EJ138" s="209" t="e">
        <f t="shared" ca="1" si="77"/>
        <v>#NAME?</v>
      </c>
      <c r="EK138" s="208" t="e">
        <f t="shared" ca="1" si="193"/>
        <v>#NAME?</v>
      </c>
      <c r="EL138" s="36" t="str">
        <f t="shared" si="79"/>
        <v>No</v>
      </c>
      <c r="EM138" s="207"/>
      <c r="EN138" s="192">
        <f t="shared" si="194"/>
        <v>1</v>
      </c>
      <c r="EO138" s="192">
        <f t="shared" si="195"/>
        <v>1</v>
      </c>
      <c r="EP138" s="209">
        <f t="shared" si="82"/>
        <v>2</v>
      </c>
      <c r="EQ138" s="210">
        <f t="shared" si="196"/>
        <v>1</v>
      </c>
      <c r="ER138" s="36" t="e">
        <f t="shared" ca="1" si="84"/>
        <v>#NAME?</v>
      </c>
      <c r="ES138" s="40">
        <f ca="1">COUNTIF($ER$2:$ER$92, ER138)/(COUNTIF($ER$2:$ER$92, "&lt;&gt;""") - COUNTIF($ER$2:$ER$92, ""))</f>
        <v>1</v>
      </c>
      <c r="ET138" s="36">
        <f t="shared" si="85"/>
        <v>3</v>
      </c>
      <c r="EU138" s="40">
        <f>COUNTIF($ET$2:$ET$92, ET138)/(COUNTIF($ET$2:$ET$92, "&lt;&gt;""") - COUNTIF($ET$2:$ET$92, ""))</f>
        <v>4.4444444444444446E-2</v>
      </c>
      <c r="EV138" s="36">
        <f t="shared" si="86"/>
        <v>2</v>
      </c>
      <c r="EW138" s="40">
        <f>COUNTIF($EV$2:$EV$92, EV138)/(COUNTIF($EV$2:$EV$92, "&lt;&gt;""") - COUNTIF($EV$2:$EV$92, ""))</f>
        <v>0.15555555555555556</v>
      </c>
      <c r="EX138" s="36" t="str">
        <f t="shared" si="87"/>
        <v>No</v>
      </c>
      <c r="EY138" s="40">
        <f>COUNTIF($EX$2:$EX$92, EX138)/(COUNTIF($EX$2:$EX$92, "&lt;&gt;""") - COUNTIF($EX$2:$EX$92, ""))</f>
        <v>0.72222222222222221</v>
      </c>
      <c r="EZ138" s="36" t="str">
        <f t="shared" ref="EZ138:FB138" si="261">BM138</f>
        <v>No</v>
      </c>
      <c r="FA138" s="36" t="str">
        <f t="shared" si="261"/>
        <v>No</v>
      </c>
      <c r="FB138" s="36" t="str">
        <f t="shared" si="261"/>
        <v>No</v>
      </c>
      <c r="FC138" s="207"/>
      <c r="FD138" s="36" t="str">
        <f t="shared" si="89"/>
        <v>Recurring</v>
      </c>
      <c r="FE138" s="40">
        <f>COUNTIF($FD$2:$FD$92, FD138)/(COUNTIF($FD$2:$FD$92, "&lt;&gt;""") - COUNTIF($FD$2:$FD$92, ""))</f>
        <v>0.4</v>
      </c>
      <c r="FF138" s="36" t="str">
        <f t="shared" si="90"/>
        <v>B2C</v>
      </c>
      <c r="FG138" s="40">
        <f>COUNTIF($FF$2:$FF$92, FF138)/(COUNTIF($FF$2:$FF$92, "&lt;&gt;""") - COUNTIF($FF$2:$FF$92, ""))</f>
        <v>0.41111111111111109</v>
      </c>
      <c r="FH138" s="36" t="str">
        <f t="shared" si="91"/>
        <v>Low</v>
      </c>
      <c r="FI138" s="40">
        <f>COUNTIF($FH$2:$FH$92, FH138)/(COUNTIF($FH$2:$FH$92, "&lt;&gt;""") - COUNTIF($FH$2:$FH$92, ""))</f>
        <v>0.46666666666666667</v>
      </c>
      <c r="FJ138" s="36" t="str">
        <f t="shared" si="92"/>
        <v>Low</v>
      </c>
      <c r="FK138" s="40">
        <f>COUNTIF($FJ$2:$FJ$92, FJ138)/(COUNTIF($FJ$2:$FJ$92, "&lt;&gt;""") - COUNTIF($FJ$2:$FJ$92, ""))</f>
        <v>0.41111111111111109</v>
      </c>
      <c r="FL138" s="207"/>
      <c r="FM138" s="192">
        <f t="shared" si="93"/>
        <v>5</v>
      </c>
      <c r="FN138" s="192" t="e">
        <f t="shared" ca="1" si="94"/>
        <v>#NAME?</v>
      </c>
      <c r="FO138" s="192" t="e">
        <f t="shared" ca="1" si="95"/>
        <v>#NAME?</v>
      </c>
      <c r="FP138" s="192" t="e">
        <f t="shared" ca="1" si="96"/>
        <v>#NAME?</v>
      </c>
      <c r="FQ138" s="209" t="e">
        <f t="shared" ca="1" si="97"/>
        <v>#NAME?</v>
      </c>
      <c r="FR138" s="208" t="e">
        <f t="shared" ca="1" si="198"/>
        <v>#NAME?</v>
      </c>
      <c r="FS138" s="36" t="str">
        <f t="shared" si="99"/>
        <v>Pre-Profit</v>
      </c>
      <c r="FT138" s="196">
        <f>COUNTIF($FS$2:$FS$92, FS138)/(COUNTIF($FS$2:$FS$92, "&lt;&gt;""") - COUNTIF($FZ$2:$FZ$92, ""))</f>
        <v>0.51111111111111107</v>
      </c>
      <c r="FU138" s="207"/>
      <c r="FV138" s="192">
        <f t="shared" si="100"/>
        <v>3</v>
      </c>
      <c r="FW138" s="197" t="e">
        <f t="shared" ca="1" si="101"/>
        <v>#NAME?</v>
      </c>
      <c r="FX138" s="209" t="e">
        <f t="shared" ca="1" si="102"/>
        <v>#NAME?</v>
      </c>
      <c r="FY138" s="211" t="e">
        <f t="shared" ca="1" si="199"/>
        <v>#NAME?</v>
      </c>
      <c r="FZ138" s="36" t="str">
        <f t="shared" si="104"/>
        <v>No</v>
      </c>
      <c r="GA138" s="196">
        <f>COUNTIF($FZ$2:$FZ$92, FZ138)/(COUNTIF($FZ$2:$FZ$92, "&lt;&gt;""") - COUNTIF($FZ$2:$FZ$92, ""))</f>
        <v>0.76666666666666672</v>
      </c>
      <c r="GB138" s="196" t="str">
        <f t="shared" si="105"/>
        <v>Low</v>
      </c>
      <c r="GC138" s="196">
        <f>COUNTIF($GB$2:$GB$92, GB138)/(COUNTIF($GB$2:$GB$92, "&lt;&gt;""") - COUNTIF($GB$2:$GB$92, ""))</f>
        <v>0.55555555555555558</v>
      </c>
      <c r="GD138" s="196" t="str">
        <f t="shared" si="106"/>
        <v>High</v>
      </c>
      <c r="GE138" s="196">
        <f>COUNTIF($GD$2:$GD$92, GD138)/(COUNTIF($GD$2:$GD$92, "&lt;&gt;""") - COUNTIF($GD$2:$GD$92, ""))</f>
        <v>0.8</v>
      </c>
      <c r="GF138" s="207"/>
      <c r="GG138" s="36"/>
      <c r="GH138" s="209" t="e">
        <f t="shared" ca="1" si="107"/>
        <v>#NAME?</v>
      </c>
      <c r="GI138" s="212" t="e">
        <f t="shared" ca="1" si="200"/>
        <v>#NAME?</v>
      </c>
    </row>
    <row r="139" spans="1:191" ht="15.75" customHeight="1">
      <c r="A139" s="171"/>
      <c r="B139" s="171" t="s">
        <v>355</v>
      </c>
      <c r="C139" s="16">
        <v>1554477</v>
      </c>
      <c r="D139" s="233" t="s">
        <v>1289</v>
      </c>
      <c r="E139" s="234">
        <v>43875.507638888892</v>
      </c>
      <c r="F139" s="16" t="s">
        <v>329</v>
      </c>
      <c r="G139" s="235" t="s">
        <v>1290</v>
      </c>
      <c r="H139" s="235" t="s">
        <v>1291</v>
      </c>
      <c r="I139" s="241">
        <v>43873</v>
      </c>
      <c r="J139" s="233" t="s">
        <v>1292</v>
      </c>
      <c r="K139" s="233" t="s">
        <v>1289</v>
      </c>
      <c r="M139" s="16" t="s">
        <v>323</v>
      </c>
      <c r="N139" s="16" t="s">
        <v>168</v>
      </c>
      <c r="O139" s="16" t="s">
        <v>30</v>
      </c>
      <c r="P139" s="16" t="s">
        <v>174</v>
      </c>
      <c r="Q139" s="16" t="s">
        <v>35</v>
      </c>
      <c r="S139" s="16" t="s">
        <v>269</v>
      </c>
      <c r="T139" s="237"/>
      <c r="U139" s="213"/>
      <c r="V139" s="54"/>
      <c r="W139" s="54">
        <v>7500000</v>
      </c>
      <c r="X139" s="226">
        <v>0.1</v>
      </c>
      <c r="Y139" s="55">
        <f t="shared" si="158"/>
        <v>6750000</v>
      </c>
      <c r="Z139" s="274">
        <f t="shared" si="159"/>
        <v>6750000</v>
      </c>
      <c r="AA139" s="183" t="e">
        <f t="shared" ca="1" si="160"/>
        <v>#NAME?</v>
      </c>
      <c r="AB139" s="16" t="s">
        <v>178</v>
      </c>
      <c r="AC139" s="16" t="s">
        <v>179</v>
      </c>
      <c r="AD139" s="16" t="s">
        <v>38</v>
      </c>
      <c r="AE139" s="16" t="s">
        <v>190</v>
      </c>
      <c r="AF139" s="16" t="s">
        <v>181</v>
      </c>
      <c r="AG139" s="16" t="s">
        <v>39</v>
      </c>
      <c r="AH139" s="16" t="s">
        <v>190</v>
      </c>
      <c r="AI139" s="54"/>
      <c r="AJ139" s="278">
        <v>70000000000</v>
      </c>
      <c r="AK139" s="224" t="e">
        <f t="shared" ca="1" si="161"/>
        <v>#NAME?</v>
      </c>
      <c r="AL139" s="278">
        <v>15000000000</v>
      </c>
      <c r="AM139" s="224" t="e">
        <f t="shared" ca="1" si="162"/>
        <v>#NAME?</v>
      </c>
      <c r="AN139" s="278">
        <v>0.04</v>
      </c>
      <c r="AO139" s="185" t="e">
        <f t="shared" ca="1" si="63"/>
        <v>#NAME?</v>
      </c>
      <c r="AP139" s="185" t="s">
        <v>211</v>
      </c>
      <c r="AQ139" s="16" t="s">
        <v>181</v>
      </c>
      <c r="AR139" s="16" t="s">
        <v>181</v>
      </c>
      <c r="AS139" s="16" t="s">
        <v>42</v>
      </c>
      <c r="AT139" s="159" t="s">
        <v>39</v>
      </c>
      <c r="AU139" s="159" t="s">
        <v>39</v>
      </c>
      <c r="AV139" s="16" t="s">
        <v>190</v>
      </c>
      <c r="AW139" s="16" t="s">
        <v>190</v>
      </c>
      <c r="AX139" s="16" t="s">
        <v>227</v>
      </c>
      <c r="AY139" s="16" t="s">
        <v>227</v>
      </c>
      <c r="AZ139" s="54">
        <v>2667891</v>
      </c>
      <c r="BA139" s="55" t="e">
        <f t="shared" ca="1" si="163"/>
        <v>#NAME?</v>
      </c>
      <c r="BB139" s="278">
        <v>86749</v>
      </c>
      <c r="BC139" s="278">
        <v>3200000</v>
      </c>
      <c r="BD139" s="62" t="e">
        <f t="shared" ca="1" si="164"/>
        <v>#NAME?</v>
      </c>
      <c r="BE139" s="277">
        <f t="shared" si="165"/>
        <v>2.7109062499999999E-2</v>
      </c>
      <c r="BF139" s="62" t="e">
        <f t="shared" ca="1" si="166"/>
        <v>#NAME?</v>
      </c>
      <c r="BG139" s="16" t="s">
        <v>202</v>
      </c>
      <c r="BI139" s="16" t="s">
        <v>227</v>
      </c>
      <c r="BJ139" s="16">
        <v>1</v>
      </c>
      <c r="BK139" s="278">
        <v>2</v>
      </c>
      <c r="BL139" s="16" t="s">
        <v>190</v>
      </c>
      <c r="BM139" s="16" t="s">
        <v>190</v>
      </c>
      <c r="BN139" s="16" t="s">
        <v>227</v>
      </c>
      <c r="BO139" s="16" t="s">
        <v>227</v>
      </c>
      <c r="BP139" s="16">
        <v>3</v>
      </c>
      <c r="BQ139" s="16">
        <v>10</v>
      </c>
      <c r="BR139" s="16">
        <v>0</v>
      </c>
      <c r="BS139" s="16">
        <v>0</v>
      </c>
      <c r="BT139" s="205"/>
      <c r="BU139" s="16">
        <v>10</v>
      </c>
      <c r="BV139" s="16">
        <v>0</v>
      </c>
      <c r="BW139" s="16">
        <v>40</v>
      </c>
      <c r="BX139" s="16" t="s">
        <v>190</v>
      </c>
      <c r="BY139" s="205"/>
      <c r="BZ139" s="16">
        <v>10</v>
      </c>
      <c r="CA139" s="16">
        <v>0</v>
      </c>
      <c r="CB139" s="16">
        <v>44</v>
      </c>
      <c r="CC139" s="16" t="s">
        <v>227</v>
      </c>
      <c r="CD139" s="205"/>
      <c r="CE139" s="16">
        <v>10</v>
      </c>
      <c r="CF139" s="16">
        <v>0</v>
      </c>
      <c r="CG139" s="16">
        <v>40</v>
      </c>
      <c r="CH139" s="16" t="s">
        <v>190</v>
      </c>
      <c r="CI139" s="205"/>
      <c r="CN139" s="205"/>
      <c r="CS139" s="205"/>
      <c r="CX139" s="205"/>
      <c r="DC139" s="205"/>
      <c r="DH139" s="205"/>
      <c r="DM139" s="205"/>
      <c r="DN139" s="205"/>
      <c r="DO139" s="205"/>
      <c r="DQ139" s="206"/>
      <c r="DR139" s="188">
        <f t="shared" si="64"/>
        <v>10</v>
      </c>
      <c r="DS139" s="188"/>
      <c r="DT139" s="189">
        <f t="shared" si="65"/>
        <v>0</v>
      </c>
      <c r="DU139" s="189"/>
      <c r="DV139" s="188">
        <f t="shared" si="66"/>
        <v>41.333333333333336</v>
      </c>
      <c r="DW139" s="183" t="e">
        <f t="shared" ca="1" si="67"/>
        <v>#NAME?</v>
      </c>
      <c r="DX139" s="207"/>
      <c r="DY139" s="190" t="e">
        <f t="shared" ca="1" si="68"/>
        <v>#NAME?</v>
      </c>
      <c r="DZ139" s="191">
        <f t="shared" si="190"/>
        <v>2.0526315789473681</v>
      </c>
      <c r="EA139" s="191" t="str">
        <f t="shared" si="191"/>
        <v/>
      </c>
      <c r="EB139" s="191" t="str">
        <f t="shared" si="192"/>
        <v/>
      </c>
      <c r="EC139" s="208" t="e">
        <f t="shared" ca="1" si="72"/>
        <v>#NAME?</v>
      </c>
      <c r="ED139" s="36" t="str">
        <f t="shared" si="73"/>
        <v>SAFE</v>
      </c>
      <c r="EE139" s="193">
        <f>COUNTIF($ED$2:$ED$92, ED139)/(COUNTIF($ED$2:$ED$92, "&lt;&gt;""") - COUNTIF($ED$2:$ED$92, ""))</f>
        <v>0.37777777777777777</v>
      </c>
      <c r="EF139" s="36" t="str">
        <f t="shared" si="74"/>
        <v>Early</v>
      </c>
      <c r="EG139" s="207"/>
      <c r="EH139" s="194" t="e">
        <f t="shared" ca="1" si="75"/>
        <v>#NAME?</v>
      </c>
      <c r="EI139" s="194" t="e">
        <f t="shared" ca="1" si="76"/>
        <v>#NAME?</v>
      </c>
      <c r="EJ139" s="209" t="e">
        <f t="shared" ca="1" si="77"/>
        <v>#NAME?</v>
      </c>
      <c r="EK139" s="208" t="e">
        <f t="shared" ca="1" si="193"/>
        <v>#NAME?</v>
      </c>
      <c r="EL139" s="36" t="str">
        <f t="shared" si="79"/>
        <v>No</v>
      </c>
      <c r="EM139" s="207"/>
      <c r="EN139" s="192">
        <f t="shared" si="194"/>
        <v>1.9523809523809523</v>
      </c>
      <c r="EO139" s="192">
        <f t="shared" si="195"/>
        <v>1</v>
      </c>
      <c r="EP139" s="209">
        <f t="shared" si="82"/>
        <v>2.9523809523809526</v>
      </c>
      <c r="EQ139" s="210">
        <f t="shared" si="196"/>
        <v>1.7476635514018692</v>
      </c>
      <c r="ER139" s="36" t="e">
        <f t="shared" ca="1" si="84"/>
        <v>#NAME?</v>
      </c>
      <c r="ES139" s="40">
        <f ca="1">COUNTIF($ER$2:$ER$92, ER139)/(COUNTIF($ER$2:$ER$92, "&lt;&gt;""") - COUNTIF($ER$2:$ER$92, ""))</f>
        <v>1</v>
      </c>
      <c r="ET139" s="36">
        <f t="shared" si="85"/>
        <v>2</v>
      </c>
      <c r="EU139" s="40">
        <f>COUNTIF($ET$2:$ET$92, ET139)/(COUNTIF($ET$2:$ET$92, "&lt;&gt;""") - COUNTIF($ET$2:$ET$92, ""))</f>
        <v>0.45555555555555555</v>
      </c>
      <c r="EV139" s="36">
        <f t="shared" si="86"/>
        <v>10</v>
      </c>
      <c r="EW139" s="40">
        <f>COUNTIF($EV$2:$EV$92, EV139)/(COUNTIF($EV$2:$EV$92, "&lt;&gt;""") - COUNTIF($EV$2:$EV$92, ""))</f>
        <v>2.2222222222222223E-2</v>
      </c>
      <c r="EX139" s="36" t="str">
        <f t="shared" si="87"/>
        <v>No</v>
      </c>
      <c r="EY139" s="40">
        <f>COUNTIF($EX$2:$EX$92, EX139)/(COUNTIF($EX$2:$EX$92, "&lt;&gt;""") - COUNTIF($EX$2:$EX$92, ""))</f>
        <v>0.72222222222222221</v>
      </c>
      <c r="EZ139" s="36" t="str">
        <f t="shared" ref="EZ139:FB139" si="262">BM139</f>
        <v>No</v>
      </c>
      <c r="FA139" s="36" t="str">
        <f t="shared" si="262"/>
        <v>Yes</v>
      </c>
      <c r="FB139" s="36" t="str">
        <f t="shared" si="262"/>
        <v>Yes</v>
      </c>
      <c r="FC139" s="207"/>
      <c r="FD139" s="36" t="str">
        <f t="shared" si="89"/>
        <v>Recurring</v>
      </c>
      <c r="FE139" s="40">
        <f>COUNTIF($FD$2:$FD$92, FD139)/(COUNTIF($FD$2:$FD$92, "&lt;&gt;""") - COUNTIF($FD$2:$FD$92, ""))</f>
        <v>0.4</v>
      </c>
      <c r="FF139" s="36" t="str">
        <f t="shared" si="90"/>
        <v>B2C</v>
      </c>
      <c r="FG139" s="40">
        <f>COUNTIF($FF$2:$FF$92, FF139)/(COUNTIF($FF$2:$FF$92, "&lt;&gt;""") - COUNTIF($FF$2:$FF$92, ""))</f>
        <v>0.41111111111111109</v>
      </c>
      <c r="FH139" s="36" t="str">
        <f t="shared" si="91"/>
        <v>Low</v>
      </c>
      <c r="FI139" s="40">
        <f>COUNTIF($FH$2:$FH$92, FH139)/(COUNTIF($FH$2:$FH$92, "&lt;&gt;""") - COUNTIF($FH$2:$FH$92, ""))</f>
        <v>0.46666666666666667</v>
      </c>
      <c r="FJ139" s="36" t="str">
        <f t="shared" si="92"/>
        <v>High</v>
      </c>
      <c r="FK139" s="40">
        <f>COUNTIF($FJ$2:$FJ$92, FJ139)/(COUNTIF($FJ$2:$FJ$92, "&lt;&gt;""") - COUNTIF($FJ$2:$FJ$92, ""))</f>
        <v>0.58888888888888891</v>
      </c>
      <c r="FL139" s="207"/>
      <c r="FM139" s="192">
        <f t="shared" si="93"/>
        <v>5</v>
      </c>
      <c r="FN139" s="192" t="e">
        <f t="shared" ca="1" si="94"/>
        <v>#NAME?</v>
      </c>
      <c r="FO139" s="192" t="e">
        <f t="shared" ca="1" si="95"/>
        <v>#NAME?</v>
      </c>
      <c r="FP139" s="192" t="e">
        <f t="shared" ca="1" si="96"/>
        <v>#NAME?</v>
      </c>
      <c r="FQ139" s="209" t="e">
        <f t="shared" ca="1" si="97"/>
        <v>#NAME?</v>
      </c>
      <c r="FR139" s="208" t="e">
        <f t="shared" ca="1" si="198"/>
        <v>#NAME?</v>
      </c>
      <c r="FS139" s="36" t="str">
        <f t="shared" si="99"/>
        <v>Pre-Profit</v>
      </c>
      <c r="FT139" s="196">
        <f>COUNTIF($FS$2:$FS$92, FS139)/(COUNTIF($FS$2:$FS$92, "&lt;&gt;""") - COUNTIF($FZ$2:$FZ$92, ""))</f>
        <v>0.51111111111111107</v>
      </c>
      <c r="FU139" s="207"/>
      <c r="FV139" s="192" t="e">
        <f t="shared" ca="1" si="100"/>
        <v>#NAME?</v>
      </c>
      <c r="FW139" s="197" t="e">
        <f t="shared" ca="1" si="101"/>
        <v>#NAME?</v>
      </c>
      <c r="FX139" s="209" t="e">
        <f t="shared" ca="1" si="102"/>
        <v>#NAME?</v>
      </c>
      <c r="FY139" s="211" t="e">
        <f t="shared" ca="1" si="199"/>
        <v>#NAME?</v>
      </c>
      <c r="FZ139" s="36" t="str">
        <f t="shared" si="104"/>
        <v>No</v>
      </c>
      <c r="GA139" s="196">
        <f>COUNTIF($FZ$2:$FZ$92, FZ139)/(COUNTIF($FZ$2:$FZ$92, "&lt;&gt;""") - COUNTIF($FZ$2:$FZ$92, ""))</f>
        <v>0.76666666666666672</v>
      </c>
      <c r="GB139" s="196" t="str">
        <f t="shared" si="105"/>
        <v>High</v>
      </c>
      <c r="GC139" s="196">
        <f>COUNTIF($GB$2:$GB$92, GB139)/(COUNTIF($GB$2:$GB$92, "&lt;&gt;""") - COUNTIF($GB$2:$GB$92, ""))</f>
        <v>0.43333333333333335</v>
      </c>
      <c r="GD139" s="196" t="str">
        <f t="shared" si="106"/>
        <v>High</v>
      </c>
      <c r="GE139" s="196">
        <f>COUNTIF($GD$2:$GD$92, GD139)/(COUNTIF($GD$2:$GD$92, "&lt;&gt;""") - COUNTIF($GD$2:$GD$92, ""))</f>
        <v>0.8</v>
      </c>
      <c r="GF139" s="207"/>
      <c r="GG139" s="36"/>
      <c r="GH139" s="209" t="e">
        <f t="shared" ca="1" si="107"/>
        <v>#NAME?</v>
      </c>
      <c r="GI139" s="212" t="e">
        <f t="shared" ca="1" si="200"/>
        <v>#NAME?</v>
      </c>
    </row>
    <row r="140" spans="1:191" ht="15.75" customHeight="1">
      <c r="A140" s="171"/>
      <c r="B140" s="171" t="s">
        <v>355</v>
      </c>
      <c r="C140" s="16">
        <v>1677789</v>
      </c>
      <c r="D140" s="233" t="s">
        <v>1293</v>
      </c>
      <c r="E140" s="234">
        <v>43875.511805555558</v>
      </c>
      <c r="F140" s="16" t="s">
        <v>337</v>
      </c>
      <c r="G140" s="235" t="s">
        <v>1294</v>
      </c>
      <c r="H140" s="235" t="s">
        <v>1295</v>
      </c>
      <c r="I140" s="241">
        <v>43879</v>
      </c>
      <c r="J140" s="233" t="s">
        <v>1296</v>
      </c>
      <c r="K140" s="233" t="s">
        <v>1297</v>
      </c>
      <c r="M140" s="35" t="s">
        <v>293</v>
      </c>
      <c r="N140" s="16" t="s">
        <v>168</v>
      </c>
      <c r="O140" s="16" t="s">
        <v>30</v>
      </c>
      <c r="P140" s="16" t="s">
        <v>174</v>
      </c>
      <c r="Q140" s="16" t="s">
        <v>35</v>
      </c>
      <c r="S140" s="16" t="s">
        <v>216</v>
      </c>
      <c r="T140" s="237"/>
      <c r="U140" s="213"/>
      <c r="V140" s="54">
        <v>5400000</v>
      </c>
      <c r="W140" s="54"/>
      <c r="X140" s="252"/>
      <c r="Y140" s="55" t="str">
        <f t="shared" si="158"/>
        <v/>
      </c>
      <c r="Z140" s="274">
        <f t="shared" si="159"/>
        <v>5400000</v>
      </c>
      <c r="AA140" s="183" t="e">
        <f t="shared" ca="1" si="160"/>
        <v>#NAME?</v>
      </c>
      <c r="AB140" s="16" t="s">
        <v>36</v>
      </c>
      <c r="AC140" s="16" t="s">
        <v>218</v>
      </c>
      <c r="AD140" s="16" t="s">
        <v>38</v>
      </c>
      <c r="AE140" s="16" t="s">
        <v>190</v>
      </c>
      <c r="AF140" s="16" t="s">
        <v>181</v>
      </c>
      <c r="AG140" s="16" t="s">
        <v>181</v>
      </c>
      <c r="AH140" s="16" t="s">
        <v>190</v>
      </c>
      <c r="AI140" s="54"/>
      <c r="AJ140" s="278">
        <v>208000000000</v>
      </c>
      <c r="AK140" s="224" t="e">
        <f t="shared" ca="1" si="161"/>
        <v>#NAME?</v>
      </c>
      <c r="AL140" s="278">
        <v>5000000</v>
      </c>
      <c r="AM140" s="224" t="e">
        <f t="shared" ca="1" si="162"/>
        <v>#NAME?</v>
      </c>
      <c r="AN140" s="278">
        <v>0.08</v>
      </c>
      <c r="AO140" s="185" t="e">
        <f t="shared" ca="1" si="63"/>
        <v>#NAME?</v>
      </c>
      <c r="AP140" s="185" t="s">
        <v>252</v>
      </c>
      <c r="AQ140" s="16" t="s">
        <v>181</v>
      </c>
      <c r="AR140" s="16" t="s">
        <v>181</v>
      </c>
      <c r="AS140" s="16" t="s">
        <v>42</v>
      </c>
      <c r="AT140" s="159" t="s">
        <v>181</v>
      </c>
      <c r="AU140" s="159" t="s">
        <v>39</v>
      </c>
      <c r="AV140" s="16" t="s">
        <v>190</v>
      </c>
      <c r="AW140" s="16" t="s">
        <v>190</v>
      </c>
      <c r="AX140" s="16" t="s">
        <v>227</v>
      </c>
      <c r="AY140" s="16" t="s">
        <v>227</v>
      </c>
      <c r="AZ140" s="54">
        <v>6211</v>
      </c>
      <c r="BA140" s="55" t="e">
        <f t="shared" ca="1" si="163"/>
        <v>#NAME?</v>
      </c>
      <c r="BB140" s="278">
        <v>21223</v>
      </c>
      <c r="BC140" s="278">
        <v>0</v>
      </c>
      <c r="BD140" s="62" t="e">
        <f t="shared" ca="1" si="164"/>
        <v>#NAME?</v>
      </c>
      <c r="BE140" s="277">
        <f t="shared" si="165"/>
        <v>1</v>
      </c>
      <c r="BF140" s="62" t="e">
        <f t="shared" ca="1" si="166"/>
        <v>#NAME?</v>
      </c>
      <c r="BG140" s="16" t="s">
        <v>202</v>
      </c>
      <c r="BI140" s="16" t="s">
        <v>227</v>
      </c>
      <c r="BJ140" s="16">
        <v>0</v>
      </c>
      <c r="BK140" s="278">
        <v>1</v>
      </c>
      <c r="BL140" s="16" t="s">
        <v>190</v>
      </c>
      <c r="BM140" s="16" t="s">
        <v>227</v>
      </c>
      <c r="BN140" s="16" t="s">
        <v>190</v>
      </c>
      <c r="BO140" s="16" t="s">
        <v>190</v>
      </c>
      <c r="BP140" s="16">
        <v>1</v>
      </c>
      <c r="BQ140" s="16">
        <v>1</v>
      </c>
      <c r="BR140" s="16">
        <v>0</v>
      </c>
      <c r="BS140" s="16">
        <v>0</v>
      </c>
      <c r="BT140" s="205"/>
      <c r="BU140" s="16">
        <v>5</v>
      </c>
      <c r="BV140" s="16">
        <v>0</v>
      </c>
      <c r="BW140" s="16">
        <v>60</v>
      </c>
      <c r="BX140" s="16" t="s">
        <v>190</v>
      </c>
      <c r="BY140" s="205"/>
      <c r="CD140" s="205"/>
      <c r="CI140" s="205"/>
      <c r="CN140" s="205"/>
      <c r="CS140" s="205"/>
      <c r="CX140" s="205"/>
      <c r="DC140" s="205"/>
      <c r="DH140" s="205"/>
      <c r="DM140" s="205"/>
      <c r="DN140" s="205"/>
      <c r="DO140" s="205"/>
      <c r="DQ140" s="206"/>
      <c r="DR140" s="188">
        <f t="shared" si="64"/>
        <v>5</v>
      </c>
      <c r="DS140" s="188"/>
      <c r="DT140" s="189">
        <f t="shared" si="65"/>
        <v>0</v>
      </c>
      <c r="DU140" s="189"/>
      <c r="DV140" s="188">
        <f t="shared" si="66"/>
        <v>60</v>
      </c>
      <c r="DW140" s="183" t="e">
        <f t="shared" ca="1" si="67"/>
        <v>#NAME?</v>
      </c>
      <c r="DX140" s="207"/>
      <c r="DY140" s="190" t="e">
        <f t="shared" ca="1" si="68"/>
        <v>#NAME?</v>
      </c>
      <c r="DZ140" s="191" t="str">
        <f t="shared" si="190"/>
        <v/>
      </c>
      <c r="EA140" s="191" t="str">
        <f t="shared" si="191"/>
        <v/>
      </c>
      <c r="EB140" s="191" t="str">
        <f t="shared" si="192"/>
        <v/>
      </c>
      <c r="EC140" s="208" t="e">
        <f t="shared" ca="1" si="72"/>
        <v>#NAME?</v>
      </c>
      <c r="ED140" s="36" t="str">
        <f t="shared" si="73"/>
        <v>Equity - Common</v>
      </c>
      <c r="EE140" s="193">
        <f>COUNTIF($ED$2:$ED$92, ED140)/(COUNTIF($ED$2:$ED$92, "&lt;&gt;""") - COUNTIF($ED$2:$ED$92, ""))</f>
        <v>0.32222222222222224</v>
      </c>
      <c r="EF140" s="36" t="str">
        <f t="shared" si="74"/>
        <v>Early</v>
      </c>
      <c r="EG140" s="207"/>
      <c r="EH140" s="194" t="e">
        <f t="shared" ca="1" si="75"/>
        <v>#NAME?</v>
      </c>
      <c r="EI140" s="194" t="e">
        <f t="shared" ca="1" si="76"/>
        <v>#NAME?</v>
      </c>
      <c r="EJ140" s="209" t="e">
        <f t="shared" ca="1" si="77"/>
        <v>#NAME?</v>
      </c>
      <c r="EK140" s="208" t="e">
        <f t="shared" ca="1" si="193"/>
        <v>#NAME?</v>
      </c>
      <c r="EL140" s="36" t="str">
        <f t="shared" si="79"/>
        <v>No</v>
      </c>
      <c r="EM140" s="207"/>
      <c r="EN140" s="192">
        <f t="shared" si="194"/>
        <v>1.4761904761904763</v>
      </c>
      <c r="EO140" s="192">
        <f t="shared" si="195"/>
        <v>1</v>
      </c>
      <c r="EP140" s="209">
        <f t="shared" si="82"/>
        <v>2.4761904761904763</v>
      </c>
      <c r="EQ140" s="210">
        <f t="shared" si="196"/>
        <v>1.3738317757009346</v>
      </c>
      <c r="ER140" s="36" t="e">
        <f t="shared" ca="1" si="84"/>
        <v>#NAME?</v>
      </c>
      <c r="ES140" s="40">
        <f ca="1">COUNTIF($ER$2:$ER$92, ER140)/(COUNTIF($ER$2:$ER$92, "&lt;&gt;""") - COUNTIF($ER$2:$ER$92, ""))</f>
        <v>1</v>
      </c>
      <c r="ET140" s="36">
        <f t="shared" si="85"/>
        <v>1</v>
      </c>
      <c r="EU140" s="40">
        <f>COUNTIF($ET$2:$ET$92, ET140)/(COUNTIF($ET$2:$ET$92, "&lt;&gt;""") - COUNTIF($ET$2:$ET$92, ""))</f>
        <v>0.45555555555555555</v>
      </c>
      <c r="EV140" s="36">
        <f t="shared" si="86"/>
        <v>1</v>
      </c>
      <c r="EW140" s="40">
        <f>COUNTIF($EV$2:$EV$92, EV140)/(COUNTIF($EV$2:$EV$92, "&lt;&gt;""") - COUNTIF($EV$2:$EV$92, ""))</f>
        <v>7.7777777777777779E-2</v>
      </c>
      <c r="EX140" s="36" t="str">
        <f t="shared" si="87"/>
        <v>No</v>
      </c>
      <c r="EY140" s="40">
        <f>COUNTIF($EX$2:$EX$92, EX140)/(COUNTIF($EX$2:$EX$92, "&lt;&gt;""") - COUNTIF($EX$2:$EX$92, ""))</f>
        <v>0.72222222222222221</v>
      </c>
      <c r="EZ140" s="36" t="str">
        <f t="shared" ref="EZ140:FB140" si="263">BM140</f>
        <v>Yes</v>
      </c>
      <c r="FA140" s="36" t="str">
        <f t="shared" si="263"/>
        <v>No</v>
      </c>
      <c r="FB140" s="36" t="str">
        <f t="shared" si="263"/>
        <v>No</v>
      </c>
      <c r="FC140" s="207"/>
      <c r="FD140" s="36" t="str">
        <f t="shared" si="89"/>
        <v>Transactional</v>
      </c>
      <c r="FE140" s="40">
        <f>COUNTIF($FD$2:$FD$92, FD140)/(COUNTIF($FD$2:$FD$92, "&lt;&gt;""") - COUNTIF($FD$2:$FD$92, ""))</f>
        <v>0.6</v>
      </c>
      <c r="FF140" s="36" t="str">
        <f t="shared" si="90"/>
        <v>B2B/B2C</v>
      </c>
      <c r="FG140" s="40">
        <f>COUNTIF($FF$2:$FF$92, FF140)/(COUNTIF($FF$2:$FF$92, "&lt;&gt;""") - COUNTIF($FF$2:$FF$92, ""))</f>
        <v>0.27777777777777779</v>
      </c>
      <c r="FH140" s="36" t="str">
        <f t="shared" si="91"/>
        <v>Low</v>
      </c>
      <c r="FI140" s="40">
        <f>COUNTIF($FH$2:$FH$92, FH140)/(COUNTIF($FH$2:$FH$92, "&lt;&gt;""") - COUNTIF($FH$2:$FH$92, ""))</f>
        <v>0.46666666666666667</v>
      </c>
      <c r="FJ140" s="36" t="str">
        <f t="shared" si="92"/>
        <v>Low</v>
      </c>
      <c r="FK140" s="40">
        <f>COUNTIF($FJ$2:$FJ$92, FJ140)/(COUNTIF($FJ$2:$FJ$92, "&lt;&gt;""") - COUNTIF($FJ$2:$FJ$92, ""))</f>
        <v>0.41111111111111109</v>
      </c>
      <c r="FL140" s="207"/>
      <c r="FM140" s="192">
        <f t="shared" si="93"/>
        <v>5</v>
      </c>
      <c r="FN140" s="192" t="e">
        <f t="shared" ca="1" si="94"/>
        <v>#NAME?</v>
      </c>
      <c r="FO140" s="192" t="e">
        <f t="shared" ca="1" si="95"/>
        <v>#NAME?</v>
      </c>
      <c r="FP140" s="192" t="e">
        <f t="shared" ca="1" si="96"/>
        <v>#NAME?</v>
      </c>
      <c r="FQ140" s="209" t="e">
        <f t="shared" ca="1" si="97"/>
        <v>#NAME?</v>
      </c>
      <c r="FR140" s="208" t="e">
        <f t="shared" ca="1" si="198"/>
        <v>#NAME?</v>
      </c>
      <c r="FS140" s="36" t="str">
        <f t="shared" si="99"/>
        <v>Pre-Profit</v>
      </c>
      <c r="FT140" s="196">
        <f>COUNTIF($FS$2:$FS$92, FS140)/(COUNTIF($FS$2:$FS$92, "&lt;&gt;""") - COUNTIF($FZ$2:$FZ$92, ""))</f>
        <v>0.51111111111111107</v>
      </c>
      <c r="FU140" s="207"/>
      <c r="FV140" s="192" t="e">
        <f t="shared" ca="1" si="100"/>
        <v>#NAME?</v>
      </c>
      <c r="FW140" s="197" t="e">
        <f t="shared" ca="1" si="101"/>
        <v>#NAME?</v>
      </c>
      <c r="FX140" s="209" t="e">
        <f t="shared" ca="1" si="102"/>
        <v>#NAME?</v>
      </c>
      <c r="FY140" s="211" t="e">
        <f t="shared" ca="1" si="199"/>
        <v>#NAME?</v>
      </c>
      <c r="FZ140" s="36" t="str">
        <f t="shared" si="104"/>
        <v>No</v>
      </c>
      <c r="GA140" s="196">
        <f>COUNTIF($FZ$2:$FZ$92, FZ140)/(COUNTIF($FZ$2:$FZ$92, "&lt;&gt;""") - COUNTIF($FZ$2:$FZ$92, ""))</f>
        <v>0.76666666666666672</v>
      </c>
      <c r="GB140" s="196" t="str">
        <f t="shared" si="105"/>
        <v>Low</v>
      </c>
      <c r="GC140" s="196">
        <f>COUNTIF($GB$2:$GB$92, GB140)/(COUNTIF($GB$2:$GB$92, "&lt;&gt;""") - COUNTIF($GB$2:$GB$92, ""))</f>
        <v>0.55555555555555558</v>
      </c>
      <c r="GD140" s="196" t="str">
        <f t="shared" si="106"/>
        <v>High</v>
      </c>
      <c r="GE140" s="196">
        <f>COUNTIF($GD$2:$GD$92, GD140)/(COUNTIF($GD$2:$GD$92, "&lt;&gt;""") - COUNTIF($GD$2:$GD$92, ""))</f>
        <v>0.8</v>
      </c>
      <c r="GF140" s="207"/>
      <c r="GG140" s="36"/>
      <c r="GH140" s="209" t="e">
        <f t="shared" ca="1" si="107"/>
        <v>#NAME?</v>
      </c>
      <c r="GI140" s="212" t="e">
        <f t="shared" ca="1" si="200"/>
        <v>#NAME?</v>
      </c>
    </row>
    <row r="141" spans="1:191" ht="15.75" customHeight="1">
      <c r="A141" s="171"/>
      <c r="B141" s="171" t="s">
        <v>355</v>
      </c>
      <c r="C141" s="16">
        <v>1788193</v>
      </c>
      <c r="D141" s="233" t="s">
        <v>1298</v>
      </c>
      <c r="E141" s="234">
        <v>43875.515972222223</v>
      </c>
      <c r="F141" s="16" t="s">
        <v>344</v>
      </c>
      <c r="G141" s="235" t="s">
        <v>1299</v>
      </c>
      <c r="H141" s="235" t="s">
        <v>1300</v>
      </c>
      <c r="I141" s="241">
        <v>43859</v>
      </c>
      <c r="J141" s="233" t="s">
        <v>1301</v>
      </c>
      <c r="K141" s="233" t="s">
        <v>1298</v>
      </c>
      <c r="M141" s="35" t="s">
        <v>293</v>
      </c>
      <c r="N141" s="16" t="s">
        <v>168</v>
      </c>
      <c r="O141" s="16" t="s">
        <v>30</v>
      </c>
      <c r="P141" s="16" t="s">
        <v>31</v>
      </c>
      <c r="Q141" s="16" t="s">
        <v>35</v>
      </c>
      <c r="S141" s="16" t="s">
        <v>232</v>
      </c>
      <c r="T141" s="237"/>
      <c r="U141" s="213"/>
      <c r="V141" s="54">
        <v>2000000</v>
      </c>
      <c r="X141" s="226"/>
      <c r="Y141" s="55" t="str">
        <f t="shared" si="158"/>
        <v/>
      </c>
      <c r="Z141" s="274">
        <f t="shared" si="159"/>
        <v>2000000</v>
      </c>
      <c r="AA141" s="183" t="e">
        <f t="shared" ca="1" si="160"/>
        <v>#NAME?</v>
      </c>
      <c r="AB141" s="16" t="s">
        <v>36</v>
      </c>
      <c r="AC141" s="16" t="s">
        <v>179</v>
      </c>
      <c r="AD141" s="16" t="s">
        <v>38</v>
      </c>
      <c r="AE141" s="16" t="s">
        <v>190</v>
      </c>
      <c r="AF141" s="16" t="s">
        <v>181</v>
      </c>
      <c r="AG141" s="16" t="s">
        <v>39</v>
      </c>
      <c r="AH141" s="16" t="s">
        <v>190</v>
      </c>
      <c r="AI141" s="54"/>
      <c r="AJ141" s="278">
        <v>100000000000</v>
      </c>
      <c r="AK141" s="224" t="e">
        <f t="shared" ca="1" si="161"/>
        <v>#NAME?</v>
      </c>
      <c r="AL141" s="278">
        <v>20000000</v>
      </c>
      <c r="AM141" s="224" t="e">
        <f t="shared" ca="1" si="162"/>
        <v>#NAME?</v>
      </c>
      <c r="AN141" s="278">
        <v>0.03</v>
      </c>
      <c r="AO141" s="185" t="e">
        <f t="shared" ca="1" si="63"/>
        <v>#NAME?</v>
      </c>
      <c r="AP141" s="185" t="s">
        <v>252</v>
      </c>
      <c r="AQ141" s="16" t="s">
        <v>181</v>
      </c>
      <c r="AR141" s="16" t="s">
        <v>181</v>
      </c>
      <c r="AS141" s="16" t="s">
        <v>42</v>
      </c>
      <c r="AT141" s="159" t="s">
        <v>181</v>
      </c>
      <c r="AU141" s="159" t="s">
        <v>39</v>
      </c>
      <c r="AV141" s="16" t="s">
        <v>227</v>
      </c>
      <c r="AW141" s="16" t="s">
        <v>190</v>
      </c>
      <c r="AX141" s="16" t="s">
        <v>190</v>
      </c>
      <c r="AY141" s="16" t="s">
        <v>190</v>
      </c>
      <c r="AZ141" s="54">
        <v>0</v>
      </c>
      <c r="BA141" s="55" t="e">
        <f t="shared" ca="1" si="163"/>
        <v>#NAME?</v>
      </c>
      <c r="BB141" s="278">
        <v>0</v>
      </c>
      <c r="BC141" s="278">
        <v>0</v>
      </c>
      <c r="BD141" s="62" t="e">
        <f t="shared" ca="1" si="164"/>
        <v>#NAME?</v>
      </c>
      <c r="BE141" s="277">
        <f t="shared" si="165"/>
        <v>1</v>
      </c>
      <c r="BF141" s="62" t="e">
        <f t="shared" ca="1" si="166"/>
        <v>#NAME?</v>
      </c>
      <c r="BG141" s="16" t="s">
        <v>43</v>
      </c>
      <c r="BI141" s="16" t="s">
        <v>227</v>
      </c>
      <c r="BJ141" s="16">
        <v>0</v>
      </c>
      <c r="BK141" s="278">
        <v>1</v>
      </c>
      <c r="BL141" s="16" t="s">
        <v>190</v>
      </c>
      <c r="BM141" s="16" t="s">
        <v>227</v>
      </c>
      <c r="BN141" s="16" t="s">
        <v>227</v>
      </c>
      <c r="BO141" s="16" t="s">
        <v>190</v>
      </c>
      <c r="BP141" s="16">
        <v>3</v>
      </c>
      <c r="BQ141" s="16">
        <v>1</v>
      </c>
      <c r="BR141" s="16">
        <v>0</v>
      </c>
      <c r="BS141" s="16">
        <v>0</v>
      </c>
      <c r="BT141" s="205"/>
      <c r="BU141" s="16">
        <v>15</v>
      </c>
      <c r="BV141" s="16">
        <v>0</v>
      </c>
      <c r="BW141" s="16">
        <v>47</v>
      </c>
      <c r="BX141" s="16" t="s">
        <v>227</v>
      </c>
      <c r="BY141" s="205"/>
      <c r="CD141" s="205"/>
      <c r="CI141" s="205"/>
      <c r="CN141" s="205"/>
      <c r="CS141" s="205"/>
      <c r="CX141" s="205"/>
      <c r="DC141" s="205"/>
      <c r="DH141" s="205"/>
      <c r="DM141" s="205"/>
      <c r="DN141" s="205"/>
      <c r="DO141" s="205"/>
      <c r="DQ141" s="206"/>
      <c r="DR141" s="188">
        <f t="shared" si="64"/>
        <v>15</v>
      </c>
      <c r="DS141" s="188"/>
      <c r="DT141" s="189">
        <f t="shared" si="65"/>
        <v>0</v>
      </c>
      <c r="DU141" s="189"/>
      <c r="DV141" s="188">
        <f t="shared" si="66"/>
        <v>47</v>
      </c>
      <c r="DW141" s="183" t="e">
        <f t="shared" ca="1" si="67"/>
        <v>#NAME?</v>
      </c>
      <c r="DX141" s="207"/>
      <c r="DY141" s="190" t="e">
        <f t="shared" ca="1" si="68"/>
        <v>#NAME?</v>
      </c>
      <c r="DZ141" s="191" t="str">
        <f t="shared" ref="DZ141:DZ204" si="264">IF(X141 &lt;&gt; "", 1+((X141-MIN(discount_rates))*(4)/(MAX(discount_rates) - MIN(discount_rates))), "")</f>
        <v/>
      </c>
      <c r="EA141" s="191" t="str">
        <f t="shared" ref="EA141:EA204" si="265">IF(S141="Debt", (1+((U141-MIN(interest_rates))*(4)/(MAX(interest_rates) - MIN(interest_rates)))), "")</f>
        <v/>
      </c>
      <c r="EB141" s="191" t="str">
        <f t="shared" ref="EB141:EB204" si="266">IF(OR(S141="Revenue Share", S141="Profit Share"), (1+((T141-MIN(return_mutiples))*(4)/(MAX(return_mutiples) - MIN(return_mutiples)))), "")</f>
        <v/>
      </c>
      <c r="EC141" s="208" t="e">
        <f t="shared" ca="1" si="72"/>
        <v>#NAME?</v>
      </c>
      <c r="ED141" s="36" t="str">
        <f t="shared" si="73"/>
        <v>Equity - Preferred</v>
      </c>
      <c r="EE141" s="193">
        <f>COUNTIF($ED$2:$ED$92, ED141)/(COUNTIF($ED$2:$ED$92, "&lt;&gt;""") - COUNTIF($ED$2:$ED$92, ""))</f>
        <v>6.6666666666666666E-2</v>
      </c>
      <c r="EF141" s="36" t="str">
        <f t="shared" si="74"/>
        <v>Early</v>
      </c>
      <c r="EG141" s="207"/>
      <c r="EH141" s="194" t="e">
        <f t="shared" ca="1" si="75"/>
        <v>#NAME?</v>
      </c>
      <c r="EI141" s="194" t="e">
        <f t="shared" ca="1" si="76"/>
        <v>#NAME?</v>
      </c>
      <c r="EJ141" s="209" t="e">
        <f t="shared" ca="1" si="77"/>
        <v>#NAME?</v>
      </c>
      <c r="EK141" s="208" t="e">
        <f t="shared" ref="EK141:EK204" ca="1" si="267">1+((EJ141-MIN(market_ratings_sums))*(4)/(MAX(market_ratings_sums) - MIN(market_ratings_sums)))</f>
        <v>#NAME?</v>
      </c>
      <c r="EL141" s="36" t="str">
        <f t="shared" si="79"/>
        <v>Yes</v>
      </c>
      <c r="EM141" s="207"/>
      <c r="EN141" s="192">
        <f t="shared" ref="EN141:EN204" si="268">1+((DR141-MIN(industry_experiences))*(4)/(MAX(industry_experiences) - MIN(industry_experiences)))</f>
        <v>2.4285714285714288</v>
      </c>
      <c r="EO141" s="192">
        <f t="shared" ref="EO141:EO204" si="269">1+((DT141-MIN(exits))*(4)/(MAX(exits) - MIN(exits)))</f>
        <v>1</v>
      </c>
      <c r="EP141" s="209">
        <f t="shared" si="82"/>
        <v>3.4285714285714288</v>
      </c>
      <c r="EQ141" s="210">
        <f t="shared" ref="EQ141:EQ204" si="270">1+((EP141-MIN(team_ratings_sums))*(4)/(MAX(team_ratings_sums) - MIN(team_ratings_sums)))</f>
        <v>2.1214953271028039</v>
      </c>
      <c r="ER141" s="36" t="e">
        <f t="shared" ca="1" si="84"/>
        <v>#NAME?</v>
      </c>
      <c r="ES141" s="40">
        <f ca="1">COUNTIF($ER$2:$ER$92, ER141)/(COUNTIF($ER$2:$ER$92, "&lt;&gt;""") - COUNTIF($ER$2:$ER$92, ""))</f>
        <v>1</v>
      </c>
      <c r="ET141" s="36">
        <f t="shared" si="85"/>
        <v>1</v>
      </c>
      <c r="EU141" s="40">
        <f>COUNTIF($ET$2:$ET$92, ET141)/(COUNTIF($ET$2:$ET$92, "&lt;&gt;""") - COUNTIF($ET$2:$ET$92, ""))</f>
        <v>0.45555555555555555</v>
      </c>
      <c r="EV141" s="36">
        <f t="shared" si="86"/>
        <v>1</v>
      </c>
      <c r="EW141" s="40">
        <f>COUNTIF($EV$2:$EV$92, EV141)/(COUNTIF($EV$2:$EV$92, "&lt;&gt;""") - COUNTIF($EV$2:$EV$92, ""))</f>
        <v>7.7777777777777779E-2</v>
      </c>
      <c r="EX141" s="36" t="str">
        <f t="shared" si="87"/>
        <v>No</v>
      </c>
      <c r="EY141" s="40">
        <f>COUNTIF($EX$2:$EX$92, EX141)/(COUNTIF($EX$2:$EX$92, "&lt;&gt;""") - COUNTIF($EX$2:$EX$92, ""))</f>
        <v>0.72222222222222221</v>
      </c>
      <c r="EZ141" s="36" t="str">
        <f t="shared" ref="EZ141:FB141" si="271">BM141</f>
        <v>Yes</v>
      </c>
      <c r="FA141" s="36" t="str">
        <f t="shared" si="271"/>
        <v>Yes</v>
      </c>
      <c r="FB141" s="36" t="str">
        <f t="shared" si="271"/>
        <v>No</v>
      </c>
      <c r="FC141" s="207"/>
      <c r="FD141" s="36" t="str">
        <f t="shared" si="89"/>
        <v>Transactional</v>
      </c>
      <c r="FE141" s="40">
        <f>COUNTIF($FD$2:$FD$92, FD141)/(COUNTIF($FD$2:$FD$92, "&lt;&gt;""") - COUNTIF($FD$2:$FD$92, ""))</f>
        <v>0.6</v>
      </c>
      <c r="FF141" s="36" t="str">
        <f t="shared" si="90"/>
        <v>B2C</v>
      </c>
      <c r="FG141" s="40">
        <f>COUNTIF($FF$2:$FF$92, FF141)/(COUNTIF($FF$2:$FF$92, "&lt;&gt;""") - COUNTIF($FF$2:$FF$92, ""))</f>
        <v>0.41111111111111109</v>
      </c>
      <c r="FH141" s="36" t="str">
        <f t="shared" si="91"/>
        <v>Low</v>
      </c>
      <c r="FI141" s="40">
        <f>COUNTIF($FH$2:$FH$92, FH141)/(COUNTIF($FH$2:$FH$92, "&lt;&gt;""") - COUNTIF($FH$2:$FH$92, ""))</f>
        <v>0.46666666666666667</v>
      </c>
      <c r="FJ141" s="36" t="str">
        <f t="shared" si="92"/>
        <v>High</v>
      </c>
      <c r="FK141" s="40">
        <f>COUNTIF($FJ$2:$FJ$92, FJ141)/(COUNTIF($FJ$2:$FJ$92, "&lt;&gt;""") - COUNTIF($FJ$2:$FJ$92, ""))</f>
        <v>0.58888888888888891</v>
      </c>
      <c r="FL141" s="207"/>
      <c r="FM141" s="192">
        <f t="shared" si="93"/>
        <v>1</v>
      </c>
      <c r="FN141" s="192" t="e">
        <f t="shared" ca="1" si="94"/>
        <v>#NAME?</v>
      </c>
      <c r="FO141" s="192" t="e">
        <f t="shared" ca="1" si="95"/>
        <v>#NAME?</v>
      </c>
      <c r="FP141" s="192" t="e">
        <f t="shared" ca="1" si="96"/>
        <v>#NAME?</v>
      </c>
      <c r="FQ141" s="209" t="e">
        <f t="shared" ca="1" si="97"/>
        <v>#NAME?</v>
      </c>
      <c r="FR141" s="208" t="e">
        <f t="shared" ref="FR141:FR204" ca="1" si="272">1+((FQ141-MIN(performance_ratings_sums))*(4)/(MAX(performance_ratings_sums) - MIN(performance_ratings_sums)))</f>
        <v>#NAME?</v>
      </c>
      <c r="FS141" s="36" t="str">
        <f t="shared" si="99"/>
        <v>Pre-Product</v>
      </c>
      <c r="FT141" s="196">
        <f>COUNTIF($FS$2:$FS$92, FS141)/(COUNTIF($FS$2:$FS$92, "&lt;&gt;""") - COUNTIF($FZ$2:$FZ$92, ""))</f>
        <v>0.22222222222222221</v>
      </c>
      <c r="FU141" s="207"/>
      <c r="FV141" s="192" t="e">
        <f t="shared" ca="1" si="100"/>
        <v>#NAME?</v>
      </c>
      <c r="FW141" s="197" t="e">
        <f t="shared" ca="1" si="101"/>
        <v>#NAME?</v>
      </c>
      <c r="FX141" s="209" t="e">
        <f t="shared" ca="1" si="102"/>
        <v>#NAME?</v>
      </c>
      <c r="FY141" s="211" t="e">
        <f t="shared" ref="FY141:FY204" ca="1" si="273">1+((FX141-MIN(diffrentiation_sums))*(4)/(MAX(diffrentiation_sums) - MIN(diffrentiation_sums)))</f>
        <v>#NAME?</v>
      </c>
      <c r="FZ141" s="36" t="str">
        <f t="shared" si="104"/>
        <v>No</v>
      </c>
      <c r="GA141" s="196">
        <f>COUNTIF($FZ$2:$FZ$92, FZ141)/(COUNTIF($FZ$2:$FZ$92, "&lt;&gt;""") - COUNTIF($FZ$2:$FZ$92, ""))</f>
        <v>0.76666666666666672</v>
      </c>
      <c r="GB141" s="196" t="str">
        <f t="shared" si="105"/>
        <v>Low</v>
      </c>
      <c r="GC141" s="196">
        <f>COUNTIF($GB$2:$GB$92, GB141)/(COUNTIF($GB$2:$GB$92, "&lt;&gt;""") - COUNTIF($GB$2:$GB$92, ""))</f>
        <v>0.55555555555555558</v>
      </c>
      <c r="GD141" s="196" t="str">
        <f t="shared" si="106"/>
        <v>High</v>
      </c>
      <c r="GE141" s="196">
        <f>COUNTIF($GD$2:$GD$92, GD141)/(COUNTIF($GD$2:$GD$92, "&lt;&gt;""") - COUNTIF($GD$2:$GD$92, ""))</f>
        <v>0.8</v>
      </c>
      <c r="GF141" s="207"/>
      <c r="GG141" s="36"/>
      <c r="GH141" s="209" t="e">
        <f t="shared" ca="1" si="107"/>
        <v>#NAME?</v>
      </c>
      <c r="GI141" s="212" t="e">
        <f t="shared" ref="GI141:GI204" ca="1" si="274">1+((GH141-MIN(ratings_sums))*(4)/(MAX(ratings_sums) - MIN(ratings_sums)))</f>
        <v>#NAME?</v>
      </c>
    </row>
    <row r="142" spans="1:191" ht="15.75" customHeight="1">
      <c r="A142" s="171"/>
      <c r="B142" s="171" t="s">
        <v>355</v>
      </c>
      <c r="C142" s="16">
        <v>1713366</v>
      </c>
      <c r="D142" s="233" t="s">
        <v>1302</v>
      </c>
      <c r="E142" s="234">
        <v>43879.48541666667</v>
      </c>
      <c r="F142" s="16" t="s">
        <v>344</v>
      </c>
      <c r="G142" s="235" t="s">
        <v>1303</v>
      </c>
      <c r="H142" s="235" t="s">
        <v>1304</v>
      </c>
      <c r="I142" s="241">
        <v>43791</v>
      </c>
      <c r="J142" s="233" t="s">
        <v>1305</v>
      </c>
      <c r="K142" s="233" t="s">
        <v>1302</v>
      </c>
      <c r="M142" s="16" t="s">
        <v>229</v>
      </c>
      <c r="N142" s="16" t="s">
        <v>315</v>
      </c>
      <c r="O142" s="16" t="s">
        <v>30</v>
      </c>
      <c r="P142" s="16" t="s">
        <v>174</v>
      </c>
      <c r="Q142" s="16" t="s">
        <v>35</v>
      </c>
      <c r="S142" s="16" t="s">
        <v>269</v>
      </c>
      <c r="T142" s="237"/>
      <c r="U142" s="213"/>
      <c r="V142" s="54"/>
      <c r="W142" s="54">
        <v>2500000</v>
      </c>
      <c r="X142" s="226">
        <v>0.2</v>
      </c>
      <c r="Y142" s="55">
        <f t="shared" si="158"/>
        <v>2000000</v>
      </c>
      <c r="Z142" s="274">
        <f t="shared" si="159"/>
        <v>2000000</v>
      </c>
      <c r="AA142" s="183" t="e">
        <f t="shared" ca="1" si="160"/>
        <v>#NAME?</v>
      </c>
      <c r="AB142" s="16" t="s">
        <v>36</v>
      </c>
      <c r="AC142" s="16" t="s">
        <v>218</v>
      </c>
      <c r="AD142" s="16" t="s">
        <v>180</v>
      </c>
      <c r="AE142" s="16" t="s">
        <v>227</v>
      </c>
      <c r="AF142" s="16" t="s">
        <v>181</v>
      </c>
      <c r="AG142" s="16" t="s">
        <v>181</v>
      </c>
      <c r="AH142" s="16" t="s">
        <v>227</v>
      </c>
      <c r="AI142" s="54"/>
      <c r="AJ142" s="278">
        <v>150000000000</v>
      </c>
      <c r="AK142" s="224" t="e">
        <f t="shared" ca="1" si="161"/>
        <v>#NAME?</v>
      </c>
      <c r="AL142" s="278">
        <v>15000000000</v>
      </c>
      <c r="AM142" s="224" t="e">
        <f t="shared" ca="1" si="162"/>
        <v>#NAME?</v>
      </c>
      <c r="AN142" s="278">
        <v>0.1</v>
      </c>
      <c r="AO142" s="185" t="e">
        <f t="shared" ca="1" si="63"/>
        <v>#NAME?</v>
      </c>
      <c r="AP142" s="185" t="s">
        <v>192</v>
      </c>
      <c r="AQ142" s="16" t="s">
        <v>181</v>
      </c>
      <c r="AR142" s="16" t="s">
        <v>181</v>
      </c>
      <c r="AS142" s="16" t="s">
        <v>42</v>
      </c>
      <c r="AT142" s="159" t="s">
        <v>39</v>
      </c>
      <c r="AU142" s="159" t="s">
        <v>39</v>
      </c>
      <c r="AV142" s="16" t="s">
        <v>227</v>
      </c>
      <c r="AW142" s="16" t="s">
        <v>190</v>
      </c>
      <c r="AX142" s="16" t="s">
        <v>227</v>
      </c>
      <c r="AY142" s="16" t="s">
        <v>227</v>
      </c>
      <c r="AZ142" s="54">
        <v>1020</v>
      </c>
      <c r="BA142" s="55" t="e">
        <f t="shared" ca="1" si="163"/>
        <v>#NAME?</v>
      </c>
      <c r="BB142" s="278">
        <v>1492</v>
      </c>
      <c r="BC142" s="278">
        <v>44421</v>
      </c>
      <c r="BD142" s="62" t="e">
        <f t="shared" ca="1" si="164"/>
        <v>#NAME?</v>
      </c>
      <c r="BE142" s="277">
        <f t="shared" si="165"/>
        <v>3.3587717520992322E-2</v>
      </c>
      <c r="BF142" s="62" t="e">
        <f t="shared" ca="1" si="166"/>
        <v>#NAME?</v>
      </c>
      <c r="BG142" s="16" t="s">
        <v>202</v>
      </c>
      <c r="BI142" s="16" t="s">
        <v>190</v>
      </c>
      <c r="BJ142" s="16">
        <v>0</v>
      </c>
      <c r="BK142" s="278">
        <v>1</v>
      </c>
      <c r="BL142" s="16" t="s">
        <v>190</v>
      </c>
      <c r="BM142" s="16" t="s">
        <v>190</v>
      </c>
      <c r="BN142" s="16" t="s">
        <v>227</v>
      </c>
      <c r="BO142" s="16" t="s">
        <v>190</v>
      </c>
      <c r="BP142" s="16">
        <v>4</v>
      </c>
      <c r="BQ142" s="16">
        <v>1</v>
      </c>
      <c r="BR142" s="16">
        <v>3</v>
      </c>
      <c r="BS142" s="16">
        <v>0</v>
      </c>
      <c r="BT142" s="205"/>
      <c r="BU142" s="16">
        <v>10</v>
      </c>
      <c r="BV142" s="16">
        <v>0</v>
      </c>
      <c r="BW142" s="16">
        <v>39</v>
      </c>
      <c r="BX142" s="16" t="s">
        <v>190</v>
      </c>
      <c r="BY142" s="205"/>
      <c r="CD142" s="205"/>
      <c r="CI142" s="205"/>
      <c r="CN142" s="205"/>
      <c r="CS142" s="205"/>
      <c r="CX142" s="205"/>
      <c r="DC142" s="205"/>
      <c r="DH142" s="205"/>
      <c r="DM142" s="205"/>
      <c r="DN142" s="205"/>
      <c r="DO142" s="205"/>
      <c r="DQ142" s="206"/>
      <c r="DR142" s="188">
        <f t="shared" si="64"/>
        <v>10</v>
      </c>
      <c r="DS142" s="188"/>
      <c r="DT142" s="189">
        <f t="shared" si="65"/>
        <v>0</v>
      </c>
      <c r="DU142" s="189"/>
      <c r="DV142" s="188">
        <f t="shared" si="66"/>
        <v>39</v>
      </c>
      <c r="DW142" s="183" t="e">
        <f t="shared" ca="1" si="67"/>
        <v>#NAME?</v>
      </c>
      <c r="DX142" s="207"/>
      <c r="DY142" s="190" t="e">
        <f t="shared" ca="1" si="68"/>
        <v>#NAME?</v>
      </c>
      <c r="DZ142" s="191">
        <f t="shared" si="264"/>
        <v>3.1052631578947367</v>
      </c>
      <c r="EA142" s="191" t="str">
        <f t="shared" si="265"/>
        <v/>
      </c>
      <c r="EB142" s="191" t="str">
        <f t="shared" si="266"/>
        <v/>
      </c>
      <c r="EC142" s="208" t="e">
        <f t="shared" ca="1" si="72"/>
        <v>#NAME?</v>
      </c>
      <c r="ED142" s="36" t="str">
        <f t="shared" si="73"/>
        <v>SAFE</v>
      </c>
      <c r="EE142" s="193">
        <f>COUNTIF($ED$2:$ED$92, ED142)/(COUNTIF($ED$2:$ED$92, "&lt;&gt;""") - COUNTIF($ED$2:$ED$92, ""))</f>
        <v>0.37777777777777777</v>
      </c>
      <c r="EF142" s="36" t="str">
        <f t="shared" si="74"/>
        <v>Early</v>
      </c>
      <c r="EG142" s="207"/>
      <c r="EH142" s="194" t="e">
        <f t="shared" ca="1" si="75"/>
        <v>#NAME?</v>
      </c>
      <c r="EI142" s="194" t="e">
        <f t="shared" ca="1" si="76"/>
        <v>#NAME?</v>
      </c>
      <c r="EJ142" s="209" t="e">
        <f t="shared" ca="1" si="77"/>
        <v>#NAME?</v>
      </c>
      <c r="EK142" s="208" t="e">
        <f t="shared" ca="1" si="267"/>
        <v>#NAME?</v>
      </c>
      <c r="EL142" s="36" t="str">
        <f t="shared" si="79"/>
        <v>Yes</v>
      </c>
      <c r="EM142" s="207"/>
      <c r="EN142" s="192">
        <f t="shared" si="268"/>
        <v>1.9523809523809523</v>
      </c>
      <c r="EO142" s="192">
        <f t="shared" si="269"/>
        <v>1</v>
      </c>
      <c r="EP142" s="209">
        <f t="shared" si="82"/>
        <v>2.9523809523809526</v>
      </c>
      <c r="EQ142" s="210">
        <f t="shared" si="270"/>
        <v>1.7476635514018692</v>
      </c>
      <c r="ER142" s="36" t="e">
        <f t="shared" ca="1" si="84"/>
        <v>#NAME?</v>
      </c>
      <c r="ES142" s="40">
        <f ca="1">COUNTIF($ER$2:$ER$92, ER142)/(COUNTIF($ER$2:$ER$92, "&lt;&gt;""") - COUNTIF($ER$2:$ER$92, ""))</f>
        <v>1</v>
      </c>
      <c r="ET142" s="36">
        <f t="shared" si="85"/>
        <v>1</v>
      </c>
      <c r="EU142" s="40">
        <f>COUNTIF($ET$2:$ET$92, ET142)/(COUNTIF($ET$2:$ET$92, "&lt;&gt;""") - COUNTIF($ET$2:$ET$92, ""))</f>
        <v>0.45555555555555555</v>
      </c>
      <c r="EV142" s="36">
        <f t="shared" si="86"/>
        <v>1</v>
      </c>
      <c r="EW142" s="40">
        <f>COUNTIF($EV$2:$EV$92, EV142)/(COUNTIF($EV$2:$EV$92, "&lt;&gt;""") - COUNTIF($EV$2:$EV$92, ""))</f>
        <v>7.7777777777777779E-2</v>
      </c>
      <c r="EX142" s="36" t="str">
        <f t="shared" si="87"/>
        <v>No</v>
      </c>
      <c r="EY142" s="40">
        <f>COUNTIF($EX$2:$EX$92, EX142)/(COUNTIF($EX$2:$EX$92, "&lt;&gt;""") - COUNTIF($EX$2:$EX$92, ""))</f>
        <v>0.72222222222222221</v>
      </c>
      <c r="EZ142" s="36" t="str">
        <f t="shared" ref="EZ142:FB142" si="275">BM142</f>
        <v>No</v>
      </c>
      <c r="FA142" s="36" t="str">
        <f t="shared" si="275"/>
        <v>Yes</v>
      </c>
      <c r="FB142" s="36" t="str">
        <f t="shared" si="275"/>
        <v>No</v>
      </c>
      <c r="FC142" s="207"/>
      <c r="FD142" s="36" t="str">
        <f t="shared" si="89"/>
        <v>Transactional</v>
      </c>
      <c r="FE142" s="40">
        <f>COUNTIF($FD$2:$FD$92, FD142)/(COUNTIF($FD$2:$FD$92, "&lt;&gt;""") - COUNTIF($FD$2:$FD$92, ""))</f>
        <v>0.6</v>
      </c>
      <c r="FF142" s="36" t="str">
        <f t="shared" si="90"/>
        <v>B2B/B2C</v>
      </c>
      <c r="FG142" s="40">
        <f>COUNTIF($FF$2:$FF$92, FF142)/(COUNTIF($FF$2:$FF$92, "&lt;&gt;""") - COUNTIF($FF$2:$FF$92, ""))</f>
        <v>0.27777777777777779</v>
      </c>
      <c r="FH142" s="36" t="str">
        <f t="shared" si="91"/>
        <v>Low</v>
      </c>
      <c r="FI142" s="40">
        <f>COUNTIF($FH$2:$FH$92, FH142)/(COUNTIF($FH$2:$FH$92, "&lt;&gt;""") - COUNTIF($FH$2:$FH$92, ""))</f>
        <v>0.46666666666666667</v>
      </c>
      <c r="FJ142" s="36" t="str">
        <f t="shared" si="92"/>
        <v>Low</v>
      </c>
      <c r="FK142" s="40">
        <f>COUNTIF($FJ$2:$FJ$92, FJ142)/(COUNTIF($FJ$2:$FJ$92, "&lt;&gt;""") - COUNTIF($FJ$2:$FJ$92, ""))</f>
        <v>0.41111111111111109</v>
      </c>
      <c r="FL142" s="207"/>
      <c r="FM142" s="192">
        <f t="shared" si="93"/>
        <v>5</v>
      </c>
      <c r="FN142" s="192" t="e">
        <f t="shared" ca="1" si="94"/>
        <v>#NAME?</v>
      </c>
      <c r="FO142" s="192" t="e">
        <f t="shared" ca="1" si="95"/>
        <v>#NAME?</v>
      </c>
      <c r="FP142" s="192" t="e">
        <f t="shared" ca="1" si="96"/>
        <v>#NAME?</v>
      </c>
      <c r="FQ142" s="209" t="e">
        <f t="shared" ca="1" si="97"/>
        <v>#NAME?</v>
      </c>
      <c r="FR142" s="208" t="e">
        <f t="shared" ca="1" si="272"/>
        <v>#NAME?</v>
      </c>
      <c r="FS142" s="36" t="str">
        <f t="shared" si="99"/>
        <v>Pre-Profit</v>
      </c>
      <c r="FT142" s="196">
        <f>COUNTIF($FS$2:$FS$92, FS142)/(COUNTIF($FS$2:$FS$92, "&lt;&gt;""") - COUNTIF($FZ$2:$FZ$92, ""))</f>
        <v>0.51111111111111107</v>
      </c>
      <c r="FU142" s="207"/>
      <c r="FV142" s="192" t="e">
        <f t="shared" ca="1" si="100"/>
        <v>#NAME?</v>
      </c>
      <c r="FW142" s="197" t="e">
        <f t="shared" ca="1" si="101"/>
        <v>#NAME?</v>
      </c>
      <c r="FX142" s="209" t="e">
        <f t="shared" ca="1" si="102"/>
        <v>#NAME?</v>
      </c>
      <c r="FY142" s="211" t="e">
        <f t="shared" ca="1" si="273"/>
        <v>#NAME?</v>
      </c>
      <c r="FZ142" s="36" t="str">
        <f t="shared" si="104"/>
        <v>No</v>
      </c>
      <c r="GA142" s="196">
        <f>COUNTIF($FZ$2:$FZ$92, FZ142)/(COUNTIF($FZ$2:$FZ$92, "&lt;&gt;""") - COUNTIF($FZ$2:$FZ$92, ""))</f>
        <v>0.76666666666666672</v>
      </c>
      <c r="GB142" s="196" t="str">
        <f t="shared" si="105"/>
        <v>High</v>
      </c>
      <c r="GC142" s="196">
        <f>COUNTIF($GB$2:$GB$92, GB142)/(COUNTIF($GB$2:$GB$92, "&lt;&gt;""") - COUNTIF($GB$2:$GB$92, ""))</f>
        <v>0.43333333333333335</v>
      </c>
      <c r="GD142" s="196" t="str">
        <f t="shared" si="106"/>
        <v>High</v>
      </c>
      <c r="GE142" s="196">
        <f>COUNTIF($GD$2:$GD$92, GD142)/(COUNTIF($GD$2:$GD$92, "&lt;&gt;""") - COUNTIF($GD$2:$GD$92, ""))</f>
        <v>0.8</v>
      </c>
      <c r="GF142" s="207"/>
      <c r="GG142" s="36"/>
      <c r="GH142" s="209" t="e">
        <f t="shared" ca="1" si="107"/>
        <v>#NAME?</v>
      </c>
      <c r="GI142" s="212" t="e">
        <f t="shared" ca="1" si="274"/>
        <v>#NAME?</v>
      </c>
    </row>
    <row r="143" spans="1:191" ht="15.75" customHeight="1">
      <c r="A143" s="171"/>
      <c r="B143" s="171" t="s">
        <v>355</v>
      </c>
      <c r="C143" s="16">
        <v>1722138</v>
      </c>
      <c r="D143" s="233" t="s">
        <v>1306</v>
      </c>
      <c r="E143" s="234"/>
      <c r="F143" s="16" t="s">
        <v>333</v>
      </c>
      <c r="G143" s="235" t="s">
        <v>1307</v>
      </c>
      <c r="H143" s="235" t="s">
        <v>1308</v>
      </c>
      <c r="I143" s="241">
        <v>43896</v>
      </c>
      <c r="J143" s="233" t="s">
        <v>1309</v>
      </c>
      <c r="K143" s="233" t="s">
        <v>1306</v>
      </c>
      <c r="M143" s="16" t="s">
        <v>1310</v>
      </c>
      <c r="N143" s="16" t="s">
        <v>320</v>
      </c>
      <c r="O143" s="16" t="s">
        <v>30</v>
      </c>
      <c r="P143" s="16" t="s">
        <v>174</v>
      </c>
      <c r="Q143" s="16" t="s">
        <v>35</v>
      </c>
      <c r="R143" s="16" t="s">
        <v>199</v>
      </c>
      <c r="S143" s="16" t="s">
        <v>176</v>
      </c>
      <c r="T143" s="237"/>
      <c r="U143" s="213"/>
      <c r="V143" s="54"/>
      <c r="W143" s="54">
        <v>8000000</v>
      </c>
      <c r="X143" s="252">
        <v>0.2</v>
      </c>
      <c r="Y143" s="55">
        <f t="shared" si="158"/>
        <v>6400000</v>
      </c>
      <c r="Z143" s="274">
        <f t="shared" si="159"/>
        <v>6400000</v>
      </c>
      <c r="AA143" s="183" t="e">
        <f t="shared" ca="1" si="160"/>
        <v>#NAME?</v>
      </c>
      <c r="AB143" s="16" t="s">
        <v>178</v>
      </c>
      <c r="AC143" s="16" t="s">
        <v>218</v>
      </c>
      <c r="AD143" s="16" t="s">
        <v>180</v>
      </c>
      <c r="AE143" s="16" t="s">
        <v>227</v>
      </c>
      <c r="AF143" s="16" t="s">
        <v>39</v>
      </c>
      <c r="AG143" s="16" t="s">
        <v>181</v>
      </c>
      <c r="AH143" s="16" t="s">
        <v>190</v>
      </c>
      <c r="AI143" s="54"/>
      <c r="AJ143" s="278">
        <v>10000000000</v>
      </c>
      <c r="AK143" s="224" t="e">
        <f t="shared" ca="1" si="161"/>
        <v>#NAME?</v>
      </c>
      <c r="AL143" s="278">
        <v>200000000</v>
      </c>
      <c r="AM143" s="224" t="e">
        <f t="shared" ca="1" si="162"/>
        <v>#NAME?</v>
      </c>
      <c r="AN143" s="278">
        <v>0.1</v>
      </c>
      <c r="AO143" s="185" t="e">
        <f t="shared" ca="1" si="63"/>
        <v>#NAME?</v>
      </c>
      <c r="AP143" s="185" t="s">
        <v>192</v>
      </c>
      <c r="AQ143" s="16" t="s">
        <v>39</v>
      </c>
      <c r="AR143" s="16" t="s">
        <v>39</v>
      </c>
      <c r="AS143" s="16" t="s">
        <v>182</v>
      </c>
      <c r="AT143" s="159" t="s">
        <v>39</v>
      </c>
      <c r="AU143" s="159" t="s">
        <v>181</v>
      </c>
      <c r="AV143" s="16" t="s">
        <v>227</v>
      </c>
      <c r="AW143" s="16" t="s">
        <v>190</v>
      </c>
      <c r="AX143" s="16" t="s">
        <v>227</v>
      </c>
      <c r="AY143" s="16" t="s">
        <v>227</v>
      </c>
      <c r="AZ143" s="54">
        <v>647</v>
      </c>
      <c r="BA143" s="55" t="e">
        <f t="shared" ca="1" si="163"/>
        <v>#NAME?</v>
      </c>
      <c r="BB143" s="278">
        <v>67939</v>
      </c>
      <c r="BC143" s="278">
        <v>975000</v>
      </c>
      <c r="BD143" s="62" t="e">
        <f t="shared" ca="1" si="164"/>
        <v>#NAME?</v>
      </c>
      <c r="BE143" s="277">
        <f t="shared" si="165"/>
        <v>6.9681025641025643E-2</v>
      </c>
      <c r="BF143" s="62" t="e">
        <f t="shared" ca="1" si="166"/>
        <v>#NAME?</v>
      </c>
      <c r="BG143" s="16" t="s">
        <v>202</v>
      </c>
      <c r="BI143" s="16" t="s">
        <v>227</v>
      </c>
      <c r="BJ143" s="16">
        <v>1</v>
      </c>
      <c r="BK143" s="278">
        <v>3</v>
      </c>
      <c r="BL143" s="16" t="s">
        <v>190</v>
      </c>
      <c r="BM143" s="16" t="s">
        <v>190</v>
      </c>
      <c r="BN143" s="16" t="s">
        <v>227</v>
      </c>
      <c r="BO143" s="16" t="s">
        <v>227</v>
      </c>
      <c r="BP143" s="16">
        <v>5</v>
      </c>
      <c r="BQ143" s="16">
        <v>4</v>
      </c>
      <c r="BR143" s="16">
        <v>7</v>
      </c>
      <c r="BS143" s="16">
        <v>0</v>
      </c>
      <c r="BT143" s="205"/>
      <c r="BU143" s="16">
        <v>5</v>
      </c>
      <c r="BV143" s="16">
        <v>0</v>
      </c>
      <c r="BW143" s="239">
        <v>32</v>
      </c>
      <c r="BX143" s="243" t="s">
        <v>190</v>
      </c>
      <c r="BY143" s="205"/>
      <c r="BZ143" s="16">
        <v>0</v>
      </c>
      <c r="CA143" s="16">
        <v>0</v>
      </c>
      <c r="CB143" s="16">
        <v>28</v>
      </c>
      <c r="CC143" s="16" t="s">
        <v>190</v>
      </c>
      <c r="CD143" s="205"/>
      <c r="CE143" s="16">
        <v>0</v>
      </c>
      <c r="CF143" s="16">
        <v>0</v>
      </c>
      <c r="CG143" s="16">
        <v>30</v>
      </c>
      <c r="CH143" s="16" t="s">
        <v>190</v>
      </c>
      <c r="CI143" s="205"/>
      <c r="CN143" s="205"/>
      <c r="CS143" s="205"/>
      <c r="CX143" s="205"/>
      <c r="DC143" s="205"/>
      <c r="DH143" s="205"/>
      <c r="DM143" s="205"/>
      <c r="DN143" s="205"/>
      <c r="DO143" s="205"/>
      <c r="DQ143" s="206"/>
      <c r="DR143" s="188">
        <f t="shared" si="64"/>
        <v>1.6666666666666667</v>
      </c>
      <c r="DS143" s="188"/>
      <c r="DT143" s="189">
        <f t="shared" si="65"/>
        <v>0</v>
      </c>
      <c r="DU143" s="189"/>
      <c r="DV143" s="188">
        <f t="shared" si="66"/>
        <v>30</v>
      </c>
      <c r="DW143" s="183" t="e">
        <f t="shared" ca="1" si="67"/>
        <v>#NAME?</v>
      </c>
      <c r="DX143" s="207"/>
      <c r="DY143" s="190" t="e">
        <f t="shared" ca="1" si="68"/>
        <v>#NAME?</v>
      </c>
      <c r="DZ143" s="191">
        <f t="shared" si="264"/>
        <v>3.1052631578947367</v>
      </c>
      <c r="EA143" s="191" t="str">
        <f t="shared" si="265"/>
        <v/>
      </c>
      <c r="EB143" s="191" t="str">
        <f t="shared" si="266"/>
        <v/>
      </c>
      <c r="EC143" s="208" t="e">
        <f t="shared" ca="1" si="72"/>
        <v>#NAME?</v>
      </c>
      <c r="ED143" s="36" t="str">
        <f t="shared" si="73"/>
        <v>Convertible Note</v>
      </c>
      <c r="EE143" s="193">
        <f>COUNTIF($ED$2:$ED$92, ED143)/(COUNTIF($ED$2:$ED$92, "&lt;&gt;""") - COUNTIF($ED$2:$ED$92, ""))</f>
        <v>0.13333333333333333</v>
      </c>
      <c r="EF143" s="36" t="str">
        <f t="shared" si="74"/>
        <v>Early</v>
      </c>
      <c r="EG143" s="207"/>
      <c r="EH143" s="194" t="e">
        <f t="shared" ca="1" si="75"/>
        <v>#NAME?</v>
      </c>
      <c r="EI143" s="194" t="e">
        <f t="shared" ca="1" si="76"/>
        <v>#NAME?</v>
      </c>
      <c r="EJ143" s="209" t="e">
        <f t="shared" ca="1" si="77"/>
        <v>#NAME?</v>
      </c>
      <c r="EK143" s="208" t="e">
        <f t="shared" ca="1" si="267"/>
        <v>#NAME?</v>
      </c>
      <c r="EL143" s="36" t="str">
        <f t="shared" si="79"/>
        <v>Yes</v>
      </c>
      <c r="EM143" s="207"/>
      <c r="EN143" s="192">
        <f t="shared" si="268"/>
        <v>1.1587301587301588</v>
      </c>
      <c r="EO143" s="192">
        <f t="shared" si="269"/>
        <v>1</v>
      </c>
      <c r="EP143" s="209">
        <f t="shared" si="82"/>
        <v>2.1587301587301591</v>
      </c>
      <c r="EQ143" s="210">
        <f t="shared" si="270"/>
        <v>1.1246105919003118</v>
      </c>
      <c r="ER143" s="36" t="e">
        <f t="shared" ca="1" si="84"/>
        <v>#NAME?</v>
      </c>
      <c r="ES143" s="40">
        <f ca="1">COUNTIF($ER$2:$ER$92, ER143)/(COUNTIF($ER$2:$ER$92, "&lt;&gt;""") - COUNTIF($ER$2:$ER$92, ""))</f>
        <v>1</v>
      </c>
      <c r="ET143" s="36">
        <f t="shared" si="85"/>
        <v>3</v>
      </c>
      <c r="EU143" s="40">
        <f>COUNTIF($ET$2:$ET$92, ET143)/(COUNTIF($ET$2:$ET$92, "&lt;&gt;""") - COUNTIF($ET$2:$ET$92, ""))</f>
        <v>4.4444444444444446E-2</v>
      </c>
      <c r="EV143" s="36">
        <f t="shared" si="86"/>
        <v>4</v>
      </c>
      <c r="EW143" s="40">
        <f>COUNTIF($EV$2:$EV$92, EV143)/(COUNTIF($EV$2:$EV$92, "&lt;&gt;""") - COUNTIF($EV$2:$EV$92, ""))</f>
        <v>0.12222222222222222</v>
      </c>
      <c r="EX143" s="36" t="str">
        <f t="shared" si="87"/>
        <v>No</v>
      </c>
      <c r="EY143" s="40">
        <f>COUNTIF($EX$2:$EX$92, EX143)/(COUNTIF($EX$2:$EX$92, "&lt;&gt;""") - COUNTIF($EX$2:$EX$92, ""))</f>
        <v>0.72222222222222221</v>
      </c>
      <c r="EZ143" s="36" t="str">
        <f t="shared" ref="EZ143:FB143" si="276">BM143</f>
        <v>No</v>
      </c>
      <c r="FA143" s="36" t="str">
        <f t="shared" si="276"/>
        <v>Yes</v>
      </c>
      <c r="FB143" s="36" t="str">
        <f t="shared" si="276"/>
        <v>Yes</v>
      </c>
      <c r="FC143" s="207"/>
      <c r="FD143" s="36" t="str">
        <f t="shared" si="89"/>
        <v>Recurring</v>
      </c>
      <c r="FE143" s="40">
        <f>COUNTIF($FD$2:$FD$92, FD143)/(COUNTIF($FD$2:$FD$92, "&lt;&gt;""") - COUNTIF($FD$2:$FD$92, ""))</f>
        <v>0.4</v>
      </c>
      <c r="FF143" s="36" t="str">
        <f t="shared" si="90"/>
        <v>B2B/B2C</v>
      </c>
      <c r="FG143" s="40">
        <f>COUNTIF($FF$2:$FF$92, FF143)/(COUNTIF($FF$2:$FF$92, "&lt;&gt;""") - COUNTIF($FF$2:$FF$92, ""))</f>
        <v>0.27777777777777779</v>
      </c>
      <c r="FH143" s="36" t="str">
        <f t="shared" si="91"/>
        <v>High</v>
      </c>
      <c r="FI143" s="40">
        <f>COUNTIF($FH$2:$FH$92, FH143)/(COUNTIF($FH$2:$FH$92, "&lt;&gt;""") - COUNTIF($FH$2:$FH$92, ""))</f>
        <v>0.53333333333333333</v>
      </c>
      <c r="FJ143" s="36" t="str">
        <f t="shared" si="92"/>
        <v>Low</v>
      </c>
      <c r="FK143" s="40">
        <f>COUNTIF($FJ$2:$FJ$92, FJ143)/(COUNTIF($FJ$2:$FJ$92, "&lt;&gt;""") - COUNTIF($FJ$2:$FJ$92, ""))</f>
        <v>0.41111111111111109</v>
      </c>
      <c r="FL143" s="207"/>
      <c r="FM143" s="192">
        <f t="shared" si="93"/>
        <v>5</v>
      </c>
      <c r="FN143" s="192" t="e">
        <f t="shared" ca="1" si="94"/>
        <v>#NAME?</v>
      </c>
      <c r="FO143" s="192" t="e">
        <f t="shared" ca="1" si="95"/>
        <v>#NAME?</v>
      </c>
      <c r="FP143" s="192" t="e">
        <f t="shared" ca="1" si="96"/>
        <v>#NAME?</v>
      </c>
      <c r="FQ143" s="209" t="e">
        <f t="shared" ca="1" si="97"/>
        <v>#NAME?</v>
      </c>
      <c r="FR143" s="208" t="e">
        <f t="shared" ca="1" si="272"/>
        <v>#NAME?</v>
      </c>
      <c r="FS143" s="36" t="str">
        <f t="shared" si="99"/>
        <v>Pre-Profit</v>
      </c>
      <c r="FT143" s="196">
        <f>COUNTIF($FS$2:$FS$92, FS143)/(COUNTIF($FS$2:$FS$92, "&lt;&gt;""") - COUNTIF($FZ$2:$FZ$92, ""))</f>
        <v>0.51111111111111107</v>
      </c>
      <c r="FU143" s="207"/>
      <c r="FV143" s="192" t="e">
        <f t="shared" ca="1" si="100"/>
        <v>#NAME?</v>
      </c>
      <c r="FW143" s="197" t="e">
        <f t="shared" ca="1" si="101"/>
        <v>#NAME?</v>
      </c>
      <c r="FX143" s="209" t="e">
        <f t="shared" ca="1" si="102"/>
        <v>#NAME?</v>
      </c>
      <c r="FY143" s="211" t="e">
        <f t="shared" ca="1" si="273"/>
        <v>#NAME?</v>
      </c>
      <c r="FZ143" s="36" t="str">
        <f t="shared" si="104"/>
        <v>No</v>
      </c>
      <c r="GA143" s="196">
        <f>COUNTIF($FZ$2:$FZ$92, FZ143)/(COUNTIF($FZ$2:$FZ$92, "&lt;&gt;""") - COUNTIF($FZ$2:$FZ$92, ""))</f>
        <v>0.76666666666666672</v>
      </c>
      <c r="GB143" s="196" t="str">
        <f t="shared" si="105"/>
        <v>High</v>
      </c>
      <c r="GC143" s="196">
        <f>COUNTIF($GB$2:$GB$92, GB143)/(COUNTIF($GB$2:$GB$92, "&lt;&gt;""") - COUNTIF($GB$2:$GB$92, ""))</f>
        <v>0.43333333333333335</v>
      </c>
      <c r="GD143" s="196" t="str">
        <f t="shared" si="106"/>
        <v>Low</v>
      </c>
      <c r="GE143" s="196">
        <f>COUNTIF($GD$2:$GD$92, GD143)/(COUNTIF($GD$2:$GD$92, "&lt;&gt;""") - COUNTIF($GD$2:$GD$92, ""))</f>
        <v>0.18888888888888888</v>
      </c>
      <c r="GF143" s="207"/>
      <c r="GG143" s="36"/>
      <c r="GH143" s="209" t="e">
        <f t="shared" ca="1" si="107"/>
        <v>#NAME?</v>
      </c>
      <c r="GI143" s="212" t="e">
        <f t="shared" ca="1" si="274"/>
        <v>#NAME?</v>
      </c>
    </row>
    <row r="144" spans="1:191" ht="15.75" customHeight="1">
      <c r="A144" s="171"/>
      <c r="B144" s="171" t="s">
        <v>355</v>
      </c>
      <c r="C144" s="16">
        <v>1804340</v>
      </c>
      <c r="D144" s="233" t="s">
        <v>1311</v>
      </c>
      <c r="E144" s="234"/>
      <c r="F144" s="16" t="s">
        <v>337</v>
      </c>
      <c r="G144" s="235" t="s">
        <v>1312</v>
      </c>
      <c r="H144" s="235" t="s">
        <v>1313</v>
      </c>
      <c r="I144" s="241">
        <v>43903</v>
      </c>
      <c r="J144" s="233" t="s">
        <v>1311</v>
      </c>
      <c r="K144" s="233" t="s">
        <v>1314</v>
      </c>
      <c r="M144" s="29" t="s">
        <v>243</v>
      </c>
      <c r="N144" s="16" t="s">
        <v>168</v>
      </c>
      <c r="O144" s="16" t="s">
        <v>30</v>
      </c>
      <c r="P144" s="16" t="s">
        <v>31</v>
      </c>
      <c r="Q144" s="16" t="s">
        <v>35</v>
      </c>
      <c r="S144" s="16" t="s">
        <v>216</v>
      </c>
      <c r="T144" s="237"/>
      <c r="U144" s="213"/>
      <c r="V144" s="54">
        <v>4500000</v>
      </c>
      <c r="W144" s="54"/>
      <c r="X144" s="226"/>
      <c r="Y144" s="55" t="str">
        <f t="shared" si="158"/>
        <v/>
      </c>
      <c r="Z144" s="274">
        <f t="shared" si="159"/>
        <v>4500000</v>
      </c>
      <c r="AA144" s="183" t="e">
        <f t="shared" ca="1" si="160"/>
        <v>#NAME?</v>
      </c>
      <c r="AB144" s="16" t="s">
        <v>36</v>
      </c>
      <c r="AC144" s="16" t="s">
        <v>218</v>
      </c>
      <c r="AD144" s="16" t="s">
        <v>38</v>
      </c>
      <c r="AE144" s="16" t="s">
        <v>190</v>
      </c>
      <c r="AF144" s="16" t="s">
        <v>39</v>
      </c>
      <c r="AG144" s="16" t="s">
        <v>181</v>
      </c>
      <c r="AH144" s="16" t="s">
        <v>190</v>
      </c>
      <c r="AI144" s="54"/>
      <c r="AJ144" s="278">
        <v>5000000000</v>
      </c>
      <c r="AK144" s="224" t="e">
        <f t="shared" ca="1" si="161"/>
        <v>#NAME?</v>
      </c>
      <c r="AL144" s="278">
        <v>250000000</v>
      </c>
      <c r="AM144" s="224" t="e">
        <f t="shared" ca="1" si="162"/>
        <v>#NAME?</v>
      </c>
      <c r="AN144" s="278">
        <v>0.05</v>
      </c>
      <c r="AO144" s="185" t="e">
        <f t="shared" ca="1" si="63"/>
        <v>#NAME?</v>
      </c>
      <c r="AP144" s="185" t="s">
        <v>211</v>
      </c>
      <c r="AQ144" s="16" t="s">
        <v>181</v>
      </c>
      <c r="AR144" s="16" t="s">
        <v>181</v>
      </c>
      <c r="AS144" s="16" t="s">
        <v>42</v>
      </c>
      <c r="AT144" s="159" t="s">
        <v>39</v>
      </c>
      <c r="AU144" s="159" t="s">
        <v>39</v>
      </c>
      <c r="AV144" s="16" t="s">
        <v>190</v>
      </c>
      <c r="AW144" s="16" t="s">
        <v>190</v>
      </c>
      <c r="AX144" s="16" t="s">
        <v>227</v>
      </c>
      <c r="AY144" s="16" t="s">
        <v>227</v>
      </c>
      <c r="AZ144" s="54">
        <v>255128</v>
      </c>
      <c r="BA144" s="55" t="e">
        <f t="shared" ca="1" si="163"/>
        <v>#NAME?</v>
      </c>
      <c r="BB144" s="278">
        <v>1168</v>
      </c>
      <c r="BC144" s="278">
        <v>0</v>
      </c>
      <c r="BD144" s="62" t="e">
        <f t="shared" ca="1" si="164"/>
        <v>#NAME?</v>
      </c>
      <c r="BE144" s="277">
        <f t="shared" si="165"/>
        <v>1</v>
      </c>
      <c r="BF144" s="62" t="e">
        <f t="shared" ca="1" si="166"/>
        <v>#NAME?</v>
      </c>
      <c r="BG144" s="16" t="s">
        <v>202</v>
      </c>
      <c r="BI144" s="16" t="s">
        <v>190</v>
      </c>
      <c r="BJ144" s="16">
        <v>0</v>
      </c>
      <c r="BK144" s="278">
        <v>2</v>
      </c>
      <c r="BL144" s="16" t="s">
        <v>190</v>
      </c>
      <c r="BM144" s="16" t="s">
        <v>190</v>
      </c>
      <c r="BN144" s="16" t="s">
        <v>190</v>
      </c>
      <c r="BO144" s="16" t="s">
        <v>190</v>
      </c>
      <c r="BP144" s="16">
        <v>2</v>
      </c>
      <c r="BQ144" s="16">
        <v>2</v>
      </c>
      <c r="BR144" s="16">
        <v>0</v>
      </c>
      <c r="BS144" s="16">
        <v>0</v>
      </c>
      <c r="BT144" s="205"/>
      <c r="BU144" s="16">
        <v>5</v>
      </c>
      <c r="BV144" s="16">
        <v>0</v>
      </c>
      <c r="BW144" s="239">
        <v>55</v>
      </c>
      <c r="BX144" s="16" t="s">
        <v>190</v>
      </c>
      <c r="BY144" s="205"/>
      <c r="BZ144" s="16">
        <v>10</v>
      </c>
      <c r="CA144" s="16">
        <v>0</v>
      </c>
      <c r="CB144" s="16">
        <v>40</v>
      </c>
      <c r="CC144" s="16" t="s">
        <v>190</v>
      </c>
      <c r="CD144" s="205"/>
      <c r="CI144" s="205"/>
      <c r="CN144" s="205"/>
      <c r="CS144" s="205"/>
      <c r="CX144" s="205"/>
      <c r="DC144" s="205"/>
      <c r="DH144" s="205"/>
      <c r="DM144" s="205"/>
      <c r="DN144" s="205"/>
      <c r="DO144" s="205"/>
      <c r="DQ144" s="206"/>
      <c r="DR144" s="188">
        <f t="shared" si="64"/>
        <v>7.5</v>
      </c>
      <c r="DS144" s="188"/>
      <c r="DT144" s="189">
        <f t="shared" si="65"/>
        <v>0</v>
      </c>
      <c r="DU144" s="189"/>
      <c r="DV144" s="188">
        <f t="shared" si="66"/>
        <v>47.5</v>
      </c>
      <c r="DW144" s="183" t="e">
        <f t="shared" ca="1" si="67"/>
        <v>#NAME?</v>
      </c>
      <c r="DX144" s="207"/>
      <c r="DY144" s="190" t="e">
        <f t="shared" ca="1" si="68"/>
        <v>#NAME?</v>
      </c>
      <c r="DZ144" s="191" t="str">
        <f t="shared" si="264"/>
        <v/>
      </c>
      <c r="EA144" s="191" t="str">
        <f t="shared" si="265"/>
        <v/>
      </c>
      <c r="EB144" s="191" t="str">
        <f t="shared" si="266"/>
        <v/>
      </c>
      <c r="EC144" s="208" t="e">
        <f t="shared" ca="1" si="72"/>
        <v>#NAME?</v>
      </c>
      <c r="ED144" s="36" t="str">
        <f t="shared" si="73"/>
        <v>Equity - Common</v>
      </c>
      <c r="EE144" s="193">
        <f>COUNTIF($ED$2:$ED$92, ED144)/(COUNTIF($ED$2:$ED$92, "&lt;&gt;""") - COUNTIF($ED$2:$ED$92, ""))</f>
        <v>0.32222222222222224</v>
      </c>
      <c r="EF144" s="36" t="str">
        <f t="shared" si="74"/>
        <v>Early</v>
      </c>
      <c r="EG144" s="207"/>
      <c r="EH144" s="194" t="e">
        <f t="shared" ca="1" si="75"/>
        <v>#NAME?</v>
      </c>
      <c r="EI144" s="194" t="e">
        <f t="shared" ca="1" si="76"/>
        <v>#NAME?</v>
      </c>
      <c r="EJ144" s="209" t="e">
        <f t="shared" ca="1" si="77"/>
        <v>#NAME?</v>
      </c>
      <c r="EK144" s="208" t="e">
        <f t="shared" ca="1" si="267"/>
        <v>#NAME?</v>
      </c>
      <c r="EL144" s="36" t="str">
        <f t="shared" si="79"/>
        <v>No</v>
      </c>
      <c r="EM144" s="207"/>
      <c r="EN144" s="192">
        <f t="shared" si="268"/>
        <v>1.7142857142857144</v>
      </c>
      <c r="EO144" s="192">
        <f t="shared" si="269"/>
        <v>1</v>
      </c>
      <c r="EP144" s="209">
        <f t="shared" si="82"/>
        <v>2.7142857142857144</v>
      </c>
      <c r="EQ144" s="210">
        <f t="shared" si="270"/>
        <v>1.5607476635514019</v>
      </c>
      <c r="ER144" s="36" t="e">
        <f t="shared" ca="1" si="84"/>
        <v>#NAME?</v>
      </c>
      <c r="ES144" s="40">
        <f ca="1">COUNTIF($ER$2:$ER$92, ER144)/(COUNTIF($ER$2:$ER$92, "&lt;&gt;""") - COUNTIF($ER$2:$ER$92, ""))</f>
        <v>1</v>
      </c>
      <c r="ET144" s="36">
        <f t="shared" si="85"/>
        <v>2</v>
      </c>
      <c r="EU144" s="40">
        <f>COUNTIF($ET$2:$ET$92, ET144)/(COUNTIF($ET$2:$ET$92, "&lt;&gt;""") - COUNTIF($ET$2:$ET$92, ""))</f>
        <v>0.45555555555555555</v>
      </c>
      <c r="EV144" s="36">
        <f t="shared" si="86"/>
        <v>2</v>
      </c>
      <c r="EW144" s="40">
        <f>COUNTIF($EV$2:$EV$92, EV144)/(COUNTIF($EV$2:$EV$92, "&lt;&gt;""") - COUNTIF($EV$2:$EV$92, ""))</f>
        <v>0.15555555555555556</v>
      </c>
      <c r="EX144" s="36" t="str">
        <f t="shared" si="87"/>
        <v>No</v>
      </c>
      <c r="EY144" s="40">
        <f>COUNTIF($EX$2:$EX$92, EX144)/(COUNTIF($EX$2:$EX$92, "&lt;&gt;""") - COUNTIF($EX$2:$EX$92, ""))</f>
        <v>0.72222222222222221</v>
      </c>
      <c r="EZ144" s="36" t="str">
        <f t="shared" ref="EZ144:FB144" si="277">BM144</f>
        <v>No</v>
      </c>
      <c r="FA144" s="36" t="str">
        <f t="shared" si="277"/>
        <v>No</v>
      </c>
      <c r="FB144" s="36" t="str">
        <f t="shared" si="277"/>
        <v>No</v>
      </c>
      <c r="FC144" s="207"/>
      <c r="FD144" s="36" t="str">
        <f t="shared" si="89"/>
        <v>Transactional</v>
      </c>
      <c r="FE144" s="40">
        <f>COUNTIF($FD$2:$FD$92, FD144)/(COUNTIF($FD$2:$FD$92, "&lt;&gt;""") - COUNTIF($FD$2:$FD$92, ""))</f>
        <v>0.6</v>
      </c>
      <c r="FF144" s="36" t="str">
        <f t="shared" si="90"/>
        <v>B2B/B2C</v>
      </c>
      <c r="FG144" s="40">
        <f>COUNTIF($FF$2:$FF$92, FF144)/(COUNTIF($FF$2:$FF$92, "&lt;&gt;""") - COUNTIF($FF$2:$FF$92, ""))</f>
        <v>0.27777777777777779</v>
      </c>
      <c r="FH144" s="36" t="str">
        <f t="shared" si="91"/>
        <v>High</v>
      </c>
      <c r="FI144" s="40">
        <f>COUNTIF($FH$2:$FH$92, FH144)/(COUNTIF($FH$2:$FH$92, "&lt;&gt;""") - COUNTIF($FH$2:$FH$92, ""))</f>
        <v>0.53333333333333333</v>
      </c>
      <c r="FJ144" s="36" t="str">
        <f t="shared" si="92"/>
        <v>Low</v>
      </c>
      <c r="FK144" s="40">
        <f>COUNTIF($FJ$2:$FJ$92, FJ144)/(COUNTIF($FJ$2:$FJ$92, "&lt;&gt;""") - COUNTIF($FJ$2:$FJ$92, ""))</f>
        <v>0.41111111111111109</v>
      </c>
      <c r="FL144" s="207"/>
      <c r="FM144" s="192">
        <f t="shared" si="93"/>
        <v>5</v>
      </c>
      <c r="FN144" s="192" t="e">
        <f t="shared" ca="1" si="94"/>
        <v>#NAME?</v>
      </c>
      <c r="FO144" s="192" t="e">
        <f t="shared" ca="1" si="95"/>
        <v>#NAME?</v>
      </c>
      <c r="FP144" s="192" t="e">
        <f t="shared" ca="1" si="96"/>
        <v>#NAME?</v>
      </c>
      <c r="FQ144" s="209" t="e">
        <f t="shared" ca="1" si="97"/>
        <v>#NAME?</v>
      </c>
      <c r="FR144" s="208" t="e">
        <f t="shared" ca="1" si="272"/>
        <v>#NAME?</v>
      </c>
      <c r="FS144" s="36" t="str">
        <f t="shared" si="99"/>
        <v>Pre-Profit</v>
      </c>
      <c r="FT144" s="196">
        <f>COUNTIF($FS$2:$FS$92, FS144)/(COUNTIF($FS$2:$FS$92, "&lt;&gt;""") - COUNTIF($FZ$2:$FZ$92, ""))</f>
        <v>0.51111111111111107</v>
      </c>
      <c r="FU144" s="207"/>
      <c r="FV144" s="192" t="e">
        <f t="shared" ca="1" si="100"/>
        <v>#NAME?</v>
      </c>
      <c r="FW144" s="197" t="e">
        <f t="shared" ca="1" si="101"/>
        <v>#NAME?</v>
      </c>
      <c r="FX144" s="209" t="e">
        <f t="shared" ca="1" si="102"/>
        <v>#NAME?</v>
      </c>
      <c r="FY144" s="211" t="e">
        <f t="shared" ca="1" si="273"/>
        <v>#NAME?</v>
      </c>
      <c r="FZ144" s="36" t="str">
        <f t="shared" si="104"/>
        <v>No</v>
      </c>
      <c r="GA144" s="196">
        <f>COUNTIF($FZ$2:$FZ$92, FZ144)/(COUNTIF($FZ$2:$FZ$92, "&lt;&gt;""") - COUNTIF($FZ$2:$FZ$92, ""))</f>
        <v>0.76666666666666672</v>
      </c>
      <c r="GB144" s="196" t="str">
        <f t="shared" si="105"/>
        <v>High</v>
      </c>
      <c r="GC144" s="196">
        <f>COUNTIF($GB$2:$GB$92, GB144)/(COUNTIF($GB$2:$GB$92, "&lt;&gt;""") - COUNTIF($GB$2:$GB$92, ""))</f>
        <v>0.43333333333333335</v>
      </c>
      <c r="GD144" s="196" t="str">
        <f t="shared" si="106"/>
        <v>High</v>
      </c>
      <c r="GE144" s="196">
        <f>COUNTIF($GD$2:$GD$92, GD144)/(COUNTIF($GD$2:$GD$92, "&lt;&gt;""") - COUNTIF($GD$2:$GD$92, ""))</f>
        <v>0.8</v>
      </c>
      <c r="GF144" s="207"/>
      <c r="GG144" s="36"/>
      <c r="GH144" s="209" t="e">
        <f t="shared" ca="1" si="107"/>
        <v>#NAME?</v>
      </c>
      <c r="GI144" s="212" t="e">
        <f t="shared" ca="1" si="274"/>
        <v>#NAME?</v>
      </c>
    </row>
    <row r="145" spans="1:191" ht="15.75" customHeight="1">
      <c r="A145" s="171"/>
      <c r="B145" s="171" t="s">
        <v>355</v>
      </c>
      <c r="C145" s="16">
        <v>1754733</v>
      </c>
      <c r="D145" s="233" t="s">
        <v>1315</v>
      </c>
      <c r="E145" s="234"/>
      <c r="F145" s="16" t="s">
        <v>281</v>
      </c>
      <c r="G145" s="235" t="s">
        <v>1316</v>
      </c>
      <c r="H145" s="235" t="s">
        <v>1317</v>
      </c>
      <c r="I145" s="241">
        <v>43900</v>
      </c>
      <c r="J145" s="233" t="s">
        <v>1318</v>
      </c>
      <c r="K145" s="233" t="s">
        <v>1315</v>
      </c>
      <c r="M145" s="29" t="s">
        <v>243</v>
      </c>
      <c r="N145" s="16" t="s">
        <v>168</v>
      </c>
      <c r="O145" s="16" t="s">
        <v>30</v>
      </c>
      <c r="P145" s="16" t="s">
        <v>174</v>
      </c>
      <c r="Q145" s="16" t="s">
        <v>35</v>
      </c>
      <c r="S145" s="16" t="s">
        <v>216</v>
      </c>
      <c r="T145" s="237"/>
      <c r="U145" s="213"/>
      <c r="V145" s="54">
        <v>4000000</v>
      </c>
      <c r="W145" s="54"/>
      <c r="X145" s="226"/>
      <c r="Y145" s="55" t="str">
        <f t="shared" si="158"/>
        <v/>
      </c>
      <c r="Z145" s="274">
        <f t="shared" si="159"/>
        <v>4000000</v>
      </c>
      <c r="AA145" s="183" t="e">
        <f t="shared" ca="1" si="160"/>
        <v>#NAME?</v>
      </c>
      <c r="AB145" s="16" t="s">
        <v>36</v>
      </c>
      <c r="AC145" s="16" t="s">
        <v>218</v>
      </c>
      <c r="AD145" s="16" t="s">
        <v>38</v>
      </c>
      <c r="AE145" s="16" t="s">
        <v>190</v>
      </c>
      <c r="AF145" s="16" t="s">
        <v>181</v>
      </c>
      <c r="AG145" s="16" t="s">
        <v>181</v>
      </c>
      <c r="AH145" s="16" t="s">
        <v>190</v>
      </c>
      <c r="AI145" s="54"/>
      <c r="AJ145" s="278">
        <v>80000000000</v>
      </c>
      <c r="AK145" s="224" t="e">
        <f t="shared" ca="1" si="161"/>
        <v>#NAME?</v>
      </c>
      <c r="AL145" s="278">
        <v>1000000000</v>
      </c>
      <c r="AM145" s="224" t="e">
        <f t="shared" ca="1" si="162"/>
        <v>#NAME?</v>
      </c>
      <c r="AN145" s="278">
        <v>0.03</v>
      </c>
      <c r="AO145" s="185" t="e">
        <f t="shared" ca="1" si="63"/>
        <v>#NAME?</v>
      </c>
      <c r="AP145" s="185" t="s">
        <v>211</v>
      </c>
      <c r="AQ145" s="16" t="s">
        <v>39</v>
      </c>
      <c r="AR145" s="16" t="s">
        <v>181</v>
      </c>
      <c r="AS145" s="16" t="s">
        <v>42</v>
      </c>
      <c r="AT145" s="159" t="s">
        <v>181</v>
      </c>
      <c r="AU145" s="159" t="s">
        <v>39</v>
      </c>
      <c r="AV145" s="16" t="s">
        <v>190</v>
      </c>
      <c r="AW145" s="16" t="s">
        <v>190</v>
      </c>
      <c r="AX145" s="16" t="s">
        <v>227</v>
      </c>
      <c r="AY145" s="16" t="s">
        <v>227</v>
      </c>
      <c r="AZ145" s="54">
        <v>8008</v>
      </c>
      <c r="BA145" s="55" t="e">
        <f t="shared" ca="1" si="163"/>
        <v>#NAME?</v>
      </c>
      <c r="BB145" s="278">
        <v>8418</v>
      </c>
      <c r="BC145" s="278">
        <v>0</v>
      </c>
      <c r="BD145" s="62" t="e">
        <f t="shared" ca="1" si="164"/>
        <v>#NAME?</v>
      </c>
      <c r="BE145" s="277">
        <f t="shared" si="165"/>
        <v>1</v>
      </c>
      <c r="BF145" s="62" t="e">
        <f t="shared" ca="1" si="166"/>
        <v>#NAME?</v>
      </c>
      <c r="BG145" s="16" t="s">
        <v>202</v>
      </c>
      <c r="BI145" s="16" t="s">
        <v>190</v>
      </c>
      <c r="BJ145" s="16">
        <v>0</v>
      </c>
      <c r="BK145" s="278">
        <v>3</v>
      </c>
      <c r="BL145" s="16" t="s">
        <v>227</v>
      </c>
      <c r="BM145" s="16" t="s">
        <v>227</v>
      </c>
      <c r="BN145" s="16" t="s">
        <v>227</v>
      </c>
      <c r="BO145" s="16" t="s">
        <v>190</v>
      </c>
      <c r="BP145" s="16">
        <v>4</v>
      </c>
      <c r="BQ145" s="16">
        <v>3</v>
      </c>
      <c r="BR145" s="16">
        <v>0</v>
      </c>
      <c r="BS145" s="16">
        <v>0</v>
      </c>
      <c r="BT145" s="205"/>
      <c r="BU145" s="16">
        <v>20</v>
      </c>
      <c r="BV145" s="16">
        <v>0</v>
      </c>
      <c r="BW145" s="16">
        <v>40</v>
      </c>
      <c r="BX145" s="16" t="s">
        <v>227</v>
      </c>
      <c r="BY145" s="205"/>
      <c r="BZ145" s="16">
        <v>10</v>
      </c>
      <c r="CA145" s="16">
        <v>0</v>
      </c>
      <c r="CB145" s="16">
        <v>30</v>
      </c>
      <c r="CC145" s="16" t="s">
        <v>190</v>
      </c>
      <c r="CD145" s="205"/>
      <c r="CE145" s="16">
        <v>10</v>
      </c>
      <c r="CF145" s="16">
        <v>0</v>
      </c>
      <c r="CG145" s="16">
        <v>40</v>
      </c>
      <c r="CH145" s="16" t="s">
        <v>227</v>
      </c>
      <c r="CI145" s="205"/>
      <c r="CN145" s="205"/>
      <c r="CS145" s="205"/>
      <c r="CX145" s="205"/>
      <c r="DC145" s="205"/>
      <c r="DH145" s="205"/>
      <c r="DM145" s="205"/>
      <c r="DN145" s="205"/>
      <c r="DO145" s="205"/>
      <c r="DQ145" s="206"/>
      <c r="DR145" s="188">
        <f t="shared" si="64"/>
        <v>13.333333333333334</v>
      </c>
      <c r="DS145" s="188"/>
      <c r="DT145" s="189">
        <f t="shared" si="65"/>
        <v>0</v>
      </c>
      <c r="DU145" s="189"/>
      <c r="DV145" s="188">
        <f t="shared" si="66"/>
        <v>36.666666666666664</v>
      </c>
      <c r="DW145" s="183" t="e">
        <f t="shared" ca="1" si="67"/>
        <v>#NAME?</v>
      </c>
      <c r="DX145" s="207"/>
      <c r="DY145" s="190" t="e">
        <f t="shared" ca="1" si="68"/>
        <v>#NAME?</v>
      </c>
      <c r="DZ145" s="191" t="str">
        <f t="shared" si="264"/>
        <v/>
      </c>
      <c r="EA145" s="191" t="str">
        <f t="shared" si="265"/>
        <v/>
      </c>
      <c r="EB145" s="191" t="str">
        <f t="shared" si="266"/>
        <v/>
      </c>
      <c r="EC145" s="208" t="e">
        <f t="shared" ca="1" si="72"/>
        <v>#NAME?</v>
      </c>
      <c r="ED145" s="36" t="str">
        <f t="shared" si="73"/>
        <v>Equity - Common</v>
      </c>
      <c r="EE145" s="193">
        <f>COUNTIF($ED$2:$ED$92, ED145)/(COUNTIF($ED$2:$ED$92, "&lt;&gt;""") - COUNTIF($ED$2:$ED$92, ""))</f>
        <v>0.32222222222222224</v>
      </c>
      <c r="EF145" s="36" t="str">
        <f t="shared" si="74"/>
        <v>Early</v>
      </c>
      <c r="EG145" s="207"/>
      <c r="EH145" s="194" t="e">
        <f t="shared" ca="1" si="75"/>
        <v>#NAME?</v>
      </c>
      <c r="EI145" s="194" t="e">
        <f t="shared" ca="1" si="76"/>
        <v>#NAME?</v>
      </c>
      <c r="EJ145" s="209" t="e">
        <f t="shared" ca="1" si="77"/>
        <v>#NAME?</v>
      </c>
      <c r="EK145" s="208" t="e">
        <f t="shared" ca="1" si="267"/>
        <v>#NAME?</v>
      </c>
      <c r="EL145" s="36" t="str">
        <f t="shared" si="79"/>
        <v>No</v>
      </c>
      <c r="EM145" s="207"/>
      <c r="EN145" s="192">
        <f t="shared" si="268"/>
        <v>2.2698412698412698</v>
      </c>
      <c r="EO145" s="192">
        <f t="shared" si="269"/>
        <v>1</v>
      </c>
      <c r="EP145" s="209">
        <f t="shared" si="82"/>
        <v>3.2698412698412698</v>
      </c>
      <c r="EQ145" s="210">
        <f t="shared" si="270"/>
        <v>1.9968847352024923</v>
      </c>
      <c r="ER145" s="36" t="e">
        <f t="shared" ca="1" si="84"/>
        <v>#NAME?</v>
      </c>
      <c r="ES145" s="40">
        <f ca="1">COUNTIF($ER$2:$ER$92, ER145)/(COUNTIF($ER$2:$ER$92, "&lt;&gt;""") - COUNTIF($ER$2:$ER$92, ""))</f>
        <v>1</v>
      </c>
      <c r="ET145" s="36">
        <f t="shared" si="85"/>
        <v>3</v>
      </c>
      <c r="EU145" s="40">
        <f>COUNTIF($ET$2:$ET$92, ET145)/(COUNTIF($ET$2:$ET$92, "&lt;&gt;""") - COUNTIF($ET$2:$ET$92, ""))</f>
        <v>4.4444444444444446E-2</v>
      </c>
      <c r="EV145" s="36">
        <f t="shared" si="86"/>
        <v>3</v>
      </c>
      <c r="EW145" s="40">
        <f>COUNTIF($EV$2:$EV$92, EV145)/(COUNTIF($EV$2:$EV$92, "&lt;&gt;""") - COUNTIF($EV$2:$EV$92, ""))</f>
        <v>8.8888888888888892E-2</v>
      </c>
      <c r="EX145" s="36" t="str">
        <f t="shared" si="87"/>
        <v>Yes</v>
      </c>
      <c r="EY145" s="40">
        <f>COUNTIF($EX$2:$EX$92, EX145)/(COUNTIF($EX$2:$EX$92, "&lt;&gt;""") - COUNTIF($EX$2:$EX$92, ""))</f>
        <v>0.27777777777777779</v>
      </c>
      <c r="EZ145" s="36" t="str">
        <f t="shared" ref="EZ145:FB145" si="278">BM145</f>
        <v>Yes</v>
      </c>
      <c r="FA145" s="36" t="str">
        <f t="shared" si="278"/>
        <v>Yes</v>
      </c>
      <c r="FB145" s="36" t="str">
        <f t="shared" si="278"/>
        <v>No</v>
      </c>
      <c r="FC145" s="207"/>
      <c r="FD145" s="36" t="str">
        <f t="shared" si="89"/>
        <v>Transactional</v>
      </c>
      <c r="FE145" s="40">
        <f>COUNTIF($FD$2:$FD$92, FD145)/(COUNTIF($FD$2:$FD$92, "&lt;&gt;""") - COUNTIF($FD$2:$FD$92, ""))</f>
        <v>0.6</v>
      </c>
      <c r="FF145" s="36" t="str">
        <f t="shared" si="90"/>
        <v>B2B/B2C</v>
      </c>
      <c r="FG145" s="40">
        <f>COUNTIF($FF$2:$FF$92, FF145)/(COUNTIF($FF$2:$FF$92, "&lt;&gt;""") - COUNTIF($FF$2:$FF$92, ""))</f>
        <v>0.27777777777777779</v>
      </c>
      <c r="FH145" s="36" t="str">
        <f t="shared" si="91"/>
        <v>Low</v>
      </c>
      <c r="FI145" s="40">
        <f>COUNTIF($FH$2:$FH$92, FH145)/(COUNTIF($FH$2:$FH$92, "&lt;&gt;""") - COUNTIF($FH$2:$FH$92, ""))</f>
        <v>0.46666666666666667</v>
      </c>
      <c r="FJ145" s="36" t="str">
        <f t="shared" si="92"/>
        <v>Low</v>
      </c>
      <c r="FK145" s="40">
        <f>COUNTIF($FJ$2:$FJ$92, FJ145)/(COUNTIF($FJ$2:$FJ$92, "&lt;&gt;""") - COUNTIF($FJ$2:$FJ$92, ""))</f>
        <v>0.41111111111111109</v>
      </c>
      <c r="FL145" s="207"/>
      <c r="FM145" s="192">
        <f t="shared" si="93"/>
        <v>5</v>
      </c>
      <c r="FN145" s="192" t="e">
        <f t="shared" ca="1" si="94"/>
        <v>#NAME?</v>
      </c>
      <c r="FO145" s="192" t="e">
        <f t="shared" ca="1" si="95"/>
        <v>#NAME?</v>
      </c>
      <c r="FP145" s="192" t="e">
        <f t="shared" ca="1" si="96"/>
        <v>#NAME?</v>
      </c>
      <c r="FQ145" s="209" t="e">
        <f t="shared" ca="1" si="97"/>
        <v>#NAME?</v>
      </c>
      <c r="FR145" s="208" t="e">
        <f t="shared" ca="1" si="272"/>
        <v>#NAME?</v>
      </c>
      <c r="FS145" s="36" t="str">
        <f t="shared" si="99"/>
        <v>Pre-Profit</v>
      </c>
      <c r="FT145" s="196">
        <f>COUNTIF($FS$2:$FS$92, FS145)/(COUNTIF($FS$2:$FS$92, "&lt;&gt;""") - COUNTIF($FZ$2:$FZ$92, ""))</f>
        <v>0.51111111111111107</v>
      </c>
      <c r="FU145" s="207"/>
      <c r="FV145" s="192">
        <f t="shared" si="100"/>
        <v>3</v>
      </c>
      <c r="FW145" s="197" t="e">
        <f t="shared" ca="1" si="101"/>
        <v>#NAME?</v>
      </c>
      <c r="FX145" s="209" t="e">
        <f t="shared" ca="1" si="102"/>
        <v>#NAME?</v>
      </c>
      <c r="FY145" s="211" t="e">
        <f t="shared" ca="1" si="273"/>
        <v>#NAME?</v>
      </c>
      <c r="FZ145" s="36" t="str">
        <f t="shared" si="104"/>
        <v>No</v>
      </c>
      <c r="GA145" s="196">
        <f>COUNTIF($FZ$2:$FZ$92, FZ145)/(COUNTIF($FZ$2:$FZ$92, "&lt;&gt;""") - COUNTIF($FZ$2:$FZ$92, ""))</f>
        <v>0.76666666666666672</v>
      </c>
      <c r="GB145" s="196" t="str">
        <f t="shared" si="105"/>
        <v>Low</v>
      </c>
      <c r="GC145" s="196">
        <f>COUNTIF($GB$2:$GB$92, GB145)/(COUNTIF($GB$2:$GB$92, "&lt;&gt;""") - COUNTIF($GB$2:$GB$92, ""))</f>
        <v>0.55555555555555558</v>
      </c>
      <c r="GD145" s="196" t="str">
        <f t="shared" si="106"/>
        <v>High</v>
      </c>
      <c r="GE145" s="196">
        <f>COUNTIF($GD$2:$GD$92, GD145)/(COUNTIF($GD$2:$GD$92, "&lt;&gt;""") - COUNTIF($GD$2:$GD$92, ""))</f>
        <v>0.8</v>
      </c>
      <c r="GF145" s="207"/>
      <c r="GG145" s="36"/>
      <c r="GH145" s="209" t="e">
        <f t="shared" ca="1" si="107"/>
        <v>#NAME?</v>
      </c>
      <c r="GI145" s="212" t="e">
        <f t="shared" ca="1" si="274"/>
        <v>#NAME?</v>
      </c>
    </row>
    <row r="146" spans="1:191" ht="15.75" customHeight="1">
      <c r="A146" s="171"/>
      <c r="B146" s="171" t="s">
        <v>355</v>
      </c>
      <c r="C146" s="16">
        <v>1803581</v>
      </c>
      <c r="D146" s="233" t="s">
        <v>1319</v>
      </c>
      <c r="E146" s="234"/>
      <c r="F146" s="16" t="s">
        <v>333</v>
      </c>
      <c r="G146" s="235" t="s">
        <v>1320</v>
      </c>
      <c r="H146" s="235" t="s">
        <v>1321</v>
      </c>
      <c r="I146" s="241">
        <v>43917</v>
      </c>
      <c r="J146" s="233" t="s">
        <v>1322</v>
      </c>
      <c r="K146" s="233" t="s">
        <v>1323</v>
      </c>
      <c r="M146" s="16" t="s">
        <v>1324</v>
      </c>
      <c r="N146" s="16" t="s">
        <v>294</v>
      </c>
      <c r="O146" s="16" t="s">
        <v>30</v>
      </c>
      <c r="P146" s="16" t="s">
        <v>31</v>
      </c>
      <c r="Q146" s="16" t="s">
        <v>35</v>
      </c>
      <c r="R146" s="16" t="s">
        <v>199</v>
      </c>
      <c r="S146" s="16" t="s">
        <v>176</v>
      </c>
      <c r="T146" s="237"/>
      <c r="U146" s="213"/>
      <c r="W146" s="54">
        <v>2000000</v>
      </c>
      <c r="X146" s="226">
        <v>0.2</v>
      </c>
      <c r="Y146" s="55">
        <f t="shared" si="158"/>
        <v>1600000</v>
      </c>
      <c r="Z146" s="274">
        <f t="shared" si="159"/>
        <v>1600000</v>
      </c>
      <c r="AA146" s="183" t="e">
        <f t="shared" ca="1" si="160"/>
        <v>#NAME?</v>
      </c>
      <c r="AB146" s="16" t="s">
        <v>36</v>
      </c>
      <c r="AC146" s="16" t="s">
        <v>179</v>
      </c>
      <c r="AD146" s="16" t="s">
        <v>180</v>
      </c>
      <c r="AE146" s="16" t="s">
        <v>227</v>
      </c>
      <c r="AF146" s="16" t="s">
        <v>39</v>
      </c>
      <c r="AG146" s="16" t="s">
        <v>39</v>
      </c>
      <c r="AH146" s="16" t="s">
        <v>227</v>
      </c>
      <c r="AI146" s="54"/>
      <c r="AJ146" s="278">
        <v>10000000000</v>
      </c>
      <c r="AK146" s="224" t="e">
        <f t="shared" ca="1" si="161"/>
        <v>#NAME?</v>
      </c>
      <c r="AL146" s="278">
        <v>2000000000</v>
      </c>
      <c r="AM146" s="224" t="e">
        <f t="shared" ca="1" si="162"/>
        <v>#NAME?</v>
      </c>
      <c r="AN146" s="278">
        <v>0.2</v>
      </c>
      <c r="AO146" s="185" t="e">
        <f t="shared" ca="1" si="63"/>
        <v>#NAME?</v>
      </c>
      <c r="AP146" s="185" t="s">
        <v>192</v>
      </c>
      <c r="AQ146" s="16" t="s">
        <v>39</v>
      </c>
      <c r="AR146" s="16" t="s">
        <v>181</v>
      </c>
      <c r="AS146" s="16" t="s">
        <v>182</v>
      </c>
      <c r="AT146" s="159" t="s">
        <v>39</v>
      </c>
      <c r="AU146" s="159" t="s">
        <v>39</v>
      </c>
      <c r="AV146" s="16" t="s">
        <v>190</v>
      </c>
      <c r="AW146" s="16" t="s">
        <v>190</v>
      </c>
      <c r="AX146" s="16" t="s">
        <v>227</v>
      </c>
      <c r="AY146" s="16" t="s">
        <v>227</v>
      </c>
      <c r="AZ146" s="54">
        <v>11163</v>
      </c>
      <c r="BA146" s="55" t="e">
        <f t="shared" ca="1" si="163"/>
        <v>#NAME?</v>
      </c>
      <c r="BB146" s="278">
        <v>11741</v>
      </c>
      <c r="BC146" s="278">
        <v>173798</v>
      </c>
      <c r="BD146" s="62" t="e">
        <f t="shared" ca="1" si="164"/>
        <v>#NAME?</v>
      </c>
      <c r="BE146" s="277">
        <f t="shared" si="165"/>
        <v>6.7555437922185532E-2</v>
      </c>
      <c r="BF146" s="62" t="e">
        <f t="shared" ca="1" si="166"/>
        <v>#NAME?</v>
      </c>
      <c r="BG146" s="16" t="s">
        <v>202</v>
      </c>
      <c r="BI146" s="16" t="s">
        <v>190</v>
      </c>
      <c r="BJ146" s="16">
        <v>0</v>
      </c>
      <c r="BK146" s="278">
        <v>3</v>
      </c>
      <c r="BL146" s="16" t="s">
        <v>190</v>
      </c>
      <c r="BM146" s="16" t="s">
        <v>190</v>
      </c>
      <c r="BN146" s="16" t="s">
        <v>227</v>
      </c>
      <c r="BO146" s="16" t="s">
        <v>190</v>
      </c>
      <c r="BP146" s="16">
        <v>6</v>
      </c>
      <c r="BQ146" s="16">
        <v>2</v>
      </c>
      <c r="BR146" s="16">
        <v>1</v>
      </c>
      <c r="BS146" s="16">
        <v>1</v>
      </c>
      <c r="BT146" s="205"/>
      <c r="BU146" s="16">
        <v>5</v>
      </c>
      <c r="BV146" s="16">
        <v>0</v>
      </c>
      <c r="BW146" s="239">
        <v>31</v>
      </c>
      <c r="BX146" s="243" t="s">
        <v>190</v>
      </c>
      <c r="BY146" s="205"/>
      <c r="BZ146" s="16">
        <v>5</v>
      </c>
      <c r="CA146" s="16">
        <v>0</v>
      </c>
      <c r="CB146" s="16">
        <v>35</v>
      </c>
      <c r="CC146" s="16" t="s">
        <v>190</v>
      </c>
      <c r="CD146" s="205"/>
      <c r="CE146" s="16">
        <v>10</v>
      </c>
      <c r="CF146" s="16">
        <v>1</v>
      </c>
      <c r="CG146" s="16">
        <v>39</v>
      </c>
      <c r="CH146" s="16" t="s">
        <v>227</v>
      </c>
      <c r="CI146" s="205"/>
      <c r="CN146" s="205"/>
      <c r="CS146" s="205"/>
      <c r="CX146" s="205"/>
      <c r="DC146" s="205"/>
      <c r="DH146" s="205"/>
      <c r="DM146" s="205"/>
      <c r="DN146" s="205"/>
      <c r="DO146" s="205"/>
      <c r="DQ146" s="206"/>
      <c r="DR146" s="188">
        <f t="shared" si="64"/>
        <v>6.666666666666667</v>
      </c>
      <c r="DS146" s="188"/>
      <c r="DT146" s="189">
        <f t="shared" si="65"/>
        <v>1</v>
      </c>
      <c r="DU146" s="189"/>
      <c r="DV146" s="188">
        <f t="shared" si="66"/>
        <v>35</v>
      </c>
      <c r="DW146" s="183" t="e">
        <f t="shared" ca="1" si="67"/>
        <v>#NAME?</v>
      </c>
      <c r="DX146" s="207"/>
      <c r="DY146" s="190" t="e">
        <f t="shared" ca="1" si="68"/>
        <v>#NAME?</v>
      </c>
      <c r="DZ146" s="191">
        <f t="shared" si="264"/>
        <v>3.1052631578947367</v>
      </c>
      <c r="EA146" s="191" t="str">
        <f t="shared" si="265"/>
        <v/>
      </c>
      <c r="EB146" s="191" t="str">
        <f t="shared" si="266"/>
        <v/>
      </c>
      <c r="EC146" s="208" t="e">
        <f t="shared" ca="1" si="72"/>
        <v>#NAME?</v>
      </c>
      <c r="ED146" s="36" t="str">
        <f t="shared" si="73"/>
        <v>Convertible Note</v>
      </c>
      <c r="EE146" s="193">
        <f>COUNTIF($ED$2:$ED$92, ED146)/(COUNTIF($ED$2:$ED$92, "&lt;&gt;""") - COUNTIF($ED$2:$ED$92, ""))</f>
        <v>0.13333333333333333</v>
      </c>
      <c r="EF146" s="36" t="str">
        <f t="shared" si="74"/>
        <v>Early</v>
      </c>
      <c r="EG146" s="207"/>
      <c r="EH146" s="194" t="e">
        <f t="shared" ca="1" si="75"/>
        <v>#NAME?</v>
      </c>
      <c r="EI146" s="194" t="e">
        <f t="shared" ca="1" si="76"/>
        <v>#NAME?</v>
      </c>
      <c r="EJ146" s="209" t="e">
        <f t="shared" ca="1" si="77"/>
        <v>#NAME?</v>
      </c>
      <c r="EK146" s="208" t="e">
        <f t="shared" ca="1" si="267"/>
        <v>#NAME?</v>
      </c>
      <c r="EL146" s="36" t="str">
        <f t="shared" si="79"/>
        <v>No</v>
      </c>
      <c r="EM146" s="207"/>
      <c r="EN146" s="192">
        <f t="shared" si="268"/>
        <v>1.6349206349206349</v>
      </c>
      <c r="EO146" s="192">
        <f t="shared" si="269"/>
        <v>2</v>
      </c>
      <c r="EP146" s="209">
        <f t="shared" si="82"/>
        <v>3.6349206349206349</v>
      </c>
      <c r="EQ146" s="210">
        <f t="shared" si="270"/>
        <v>2.2834890965732089</v>
      </c>
      <c r="ER146" s="36" t="e">
        <f t="shared" ca="1" si="84"/>
        <v>#NAME?</v>
      </c>
      <c r="ES146" s="40">
        <f ca="1">COUNTIF($ER$2:$ER$92, ER146)/(COUNTIF($ER$2:$ER$92, "&lt;&gt;""") - COUNTIF($ER$2:$ER$92, ""))</f>
        <v>1</v>
      </c>
      <c r="ET146" s="36">
        <f t="shared" si="85"/>
        <v>3</v>
      </c>
      <c r="EU146" s="40">
        <f>COUNTIF($ET$2:$ET$92, ET146)/(COUNTIF($ET$2:$ET$92, "&lt;&gt;""") - COUNTIF($ET$2:$ET$92, ""))</f>
        <v>4.4444444444444446E-2</v>
      </c>
      <c r="EV146" s="36">
        <f t="shared" si="86"/>
        <v>2</v>
      </c>
      <c r="EW146" s="40">
        <f>COUNTIF($EV$2:$EV$92, EV146)/(COUNTIF($EV$2:$EV$92, "&lt;&gt;""") - COUNTIF($EV$2:$EV$92, ""))</f>
        <v>0.15555555555555556</v>
      </c>
      <c r="EX146" s="36" t="str">
        <f t="shared" si="87"/>
        <v>No</v>
      </c>
      <c r="EY146" s="40">
        <f>COUNTIF($EX$2:$EX$92, EX146)/(COUNTIF($EX$2:$EX$92, "&lt;&gt;""") - COUNTIF($EX$2:$EX$92, ""))</f>
        <v>0.72222222222222221</v>
      </c>
      <c r="EZ146" s="36" t="str">
        <f t="shared" ref="EZ146:FB146" si="279">BM146</f>
        <v>No</v>
      </c>
      <c r="FA146" s="36" t="str">
        <f t="shared" si="279"/>
        <v>Yes</v>
      </c>
      <c r="FB146" s="36" t="str">
        <f t="shared" si="279"/>
        <v>No</v>
      </c>
      <c r="FC146" s="207"/>
      <c r="FD146" s="36" t="str">
        <f t="shared" si="89"/>
        <v>Transactional</v>
      </c>
      <c r="FE146" s="40">
        <f>COUNTIF($FD$2:$FD$92, FD146)/(COUNTIF($FD$2:$FD$92, "&lt;&gt;""") - COUNTIF($FD$2:$FD$92, ""))</f>
        <v>0.6</v>
      </c>
      <c r="FF146" s="36" t="str">
        <f t="shared" si="90"/>
        <v>B2C</v>
      </c>
      <c r="FG146" s="40">
        <f>COUNTIF($FF$2:$FF$92, FF146)/(COUNTIF($FF$2:$FF$92, "&lt;&gt;""") - COUNTIF($FF$2:$FF$92, ""))</f>
        <v>0.41111111111111109</v>
      </c>
      <c r="FH146" s="36" t="str">
        <f t="shared" si="91"/>
        <v>High</v>
      </c>
      <c r="FI146" s="40">
        <f>COUNTIF($FH$2:$FH$92, FH146)/(COUNTIF($FH$2:$FH$92, "&lt;&gt;""") - COUNTIF($FH$2:$FH$92, ""))</f>
        <v>0.53333333333333333</v>
      </c>
      <c r="FJ146" s="36" t="str">
        <f t="shared" si="92"/>
        <v>High</v>
      </c>
      <c r="FK146" s="40">
        <f>COUNTIF($FJ$2:$FJ$92, FJ146)/(COUNTIF($FJ$2:$FJ$92, "&lt;&gt;""") - COUNTIF($FJ$2:$FJ$92, ""))</f>
        <v>0.58888888888888891</v>
      </c>
      <c r="FL146" s="207"/>
      <c r="FM146" s="192">
        <f t="shared" si="93"/>
        <v>5</v>
      </c>
      <c r="FN146" s="192" t="e">
        <f t="shared" ca="1" si="94"/>
        <v>#NAME?</v>
      </c>
      <c r="FO146" s="192" t="e">
        <f t="shared" ca="1" si="95"/>
        <v>#NAME?</v>
      </c>
      <c r="FP146" s="192" t="e">
        <f t="shared" ca="1" si="96"/>
        <v>#NAME?</v>
      </c>
      <c r="FQ146" s="209" t="e">
        <f t="shared" ca="1" si="97"/>
        <v>#NAME?</v>
      </c>
      <c r="FR146" s="208" t="e">
        <f t="shared" ca="1" si="272"/>
        <v>#NAME?</v>
      </c>
      <c r="FS146" s="36" t="str">
        <f t="shared" si="99"/>
        <v>Pre-Profit</v>
      </c>
      <c r="FT146" s="196">
        <f>COUNTIF($FS$2:$FS$92, FS146)/(COUNTIF($FS$2:$FS$92, "&lt;&gt;""") - COUNTIF($FZ$2:$FZ$92, ""))</f>
        <v>0.51111111111111107</v>
      </c>
      <c r="FU146" s="207"/>
      <c r="FV146" s="192">
        <f t="shared" si="100"/>
        <v>3</v>
      </c>
      <c r="FW146" s="197" t="e">
        <f t="shared" ca="1" si="101"/>
        <v>#NAME?</v>
      </c>
      <c r="FX146" s="209" t="e">
        <f t="shared" ca="1" si="102"/>
        <v>#NAME?</v>
      </c>
      <c r="FY146" s="211" t="e">
        <f t="shared" ca="1" si="273"/>
        <v>#NAME?</v>
      </c>
      <c r="FZ146" s="36" t="str">
        <f t="shared" si="104"/>
        <v>No</v>
      </c>
      <c r="GA146" s="196">
        <f>COUNTIF($FZ$2:$FZ$92, FZ146)/(COUNTIF($FZ$2:$FZ$92, "&lt;&gt;""") - COUNTIF($FZ$2:$FZ$92, ""))</f>
        <v>0.76666666666666672</v>
      </c>
      <c r="GB146" s="196" t="str">
        <f t="shared" si="105"/>
        <v>High</v>
      </c>
      <c r="GC146" s="196">
        <f>COUNTIF($GB$2:$GB$92, GB146)/(COUNTIF($GB$2:$GB$92, "&lt;&gt;""") - COUNTIF($GB$2:$GB$92, ""))</f>
        <v>0.43333333333333335</v>
      </c>
      <c r="GD146" s="196" t="str">
        <f t="shared" si="106"/>
        <v>High</v>
      </c>
      <c r="GE146" s="196">
        <f>COUNTIF($GD$2:$GD$92, GD146)/(COUNTIF($GD$2:$GD$92, "&lt;&gt;""") - COUNTIF($GD$2:$GD$92, ""))</f>
        <v>0.8</v>
      </c>
      <c r="GF146" s="207"/>
      <c r="GG146" s="36"/>
      <c r="GH146" s="209" t="e">
        <f t="shared" ca="1" si="107"/>
        <v>#NAME?</v>
      </c>
      <c r="GI146" s="212" t="e">
        <f t="shared" ca="1" si="274"/>
        <v>#NAME?</v>
      </c>
    </row>
    <row r="147" spans="1:191" ht="15.75" customHeight="1">
      <c r="A147" s="171"/>
      <c r="B147" s="171" t="s">
        <v>355</v>
      </c>
      <c r="C147" s="16">
        <v>1805525</v>
      </c>
      <c r="D147" s="233" t="s">
        <v>1325</v>
      </c>
      <c r="E147" s="234"/>
      <c r="F147" s="16" t="s">
        <v>307</v>
      </c>
      <c r="G147" s="235" t="s">
        <v>1326</v>
      </c>
      <c r="H147" s="235" t="s">
        <v>1327</v>
      </c>
      <c r="I147" s="241">
        <v>43908</v>
      </c>
      <c r="J147" s="233" t="s">
        <v>1325</v>
      </c>
      <c r="K147" s="233" t="s">
        <v>1328</v>
      </c>
      <c r="M147" s="231" t="s">
        <v>286</v>
      </c>
      <c r="N147" s="16" t="s">
        <v>278</v>
      </c>
      <c r="O147" s="16" t="s">
        <v>30</v>
      </c>
      <c r="P147" s="16" t="s">
        <v>174</v>
      </c>
      <c r="Q147" s="16" t="s">
        <v>35</v>
      </c>
      <c r="S147" s="16" t="s">
        <v>176</v>
      </c>
      <c r="T147" s="237"/>
      <c r="U147" s="213"/>
      <c r="V147" s="54"/>
      <c r="W147" s="54">
        <v>8000000</v>
      </c>
      <c r="X147" s="226">
        <v>0.2</v>
      </c>
      <c r="Y147" s="55">
        <f t="shared" si="158"/>
        <v>6400000</v>
      </c>
      <c r="Z147" s="274">
        <f t="shared" si="159"/>
        <v>6400000</v>
      </c>
      <c r="AA147" s="183" t="e">
        <f t="shared" ca="1" si="160"/>
        <v>#NAME?</v>
      </c>
      <c r="AB147" s="16" t="s">
        <v>178</v>
      </c>
      <c r="AC147" s="16" t="s">
        <v>37</v>
      </c>
      <c r="AD147" s="16" t="s">
        <v>180</v>
      </c>
      <c r="AE147" s="16" t="s">
        <v>227</v>
      </c>
      <c r="AF147" s="16" t="s">
        <v>39</v>
      </c>
      <c r="AG147" s="16" t="s">
        <v>181</v>
      </c>
      <c r="AH147" s="16" t="s">
        <v>227</v>
      </c>
      <c r="AI147" s="54"/>
      <c r="AJ147" s="278">
        <v>120000000000</v>
      </c>
      <c r="AK147" s="224" t="e">
        <f t="shared" ca="1" si="161"/>
        <v>#NAME?</v>
      </c>
      <c r="AL147" s="278">
        <v>10000000000</v>
      </c>
      <c r="AM147" s="224" t="e">
        <f t="shared" ca="1" si="162"/>
        <v>#NAME?</v>
      </c>
      <c r="AN147" s="278">
        <v>0.22</v>
      </c>
      <c r="AO147" s="185" t="e">
        <f t="shared" ca="1" si="63"/>
        <v>#NAME?</v>
      </c>
      <c r="AP147" s="185" t="s">
        <v>211</v>
      </c>
      <c r="AQ147" s="16" t="s">
        <v>181</v>
      </c>
      <c r="AR147" s="16" t="s">
        <v>181</v>
      </c>
      <c r="AS147" s="16" t="s">
        <v>42</v>
      </c>
      <c r="AT147" s="159" t="s">
        <v>39</v>
      </c>
      <c r="AU147" s="159" t="s">
        <v>39</v>
      </c>
      <c r="AV147" s="16" t="s">
        <v>190</v>
      </c>
      <c r="AW147" s="16" t="s">
        <v>190</v>
      </c>
      <c r="AX147" s="16" t="s">
        <v>227</v>
      </c>
      <c r="AY147" s="16" t="s">
        <v>227</v>
      </c>
      <c r="AZ147" s="54">
        <v>79000</v>
      </c>
      <c r="BA147" s="55" t="e">
        <f t="shared" ca="1" si="163"/>
        <v>#NAME?</v>
      </c>
      <c r="BB147" s="278">
        <v>16427</v>
      </c>
      <c r="BC147" s="278">
        <v>250000</v>
      </c>
      <c r="BD147" s="62" t="e">
        <f t="shared" ca="1" si="164"/>
        <v>#NAME?</v>
      </c>
      <c r="BE147" s="277">
        <f t="shared" si="165"/>
        <v>6.5708000000000003E-2</v>
      </c>
      <c r="BF147" s="62" t="e">
        <f t="shared" ca="1" si="166"/>
        <v>#NAME?</v>
      </c>
      <c r="BG147" s="16" t="s">
        <v>202</v>
      </c>
      <c r="BI147" s="16" t="s">
        <v>190</v>
      </c>
      <c r="BJ147" s="16">
        <v>0</v>
      </c>
      <c r="BK147" s="278">
        <v>1</v>
      </c>
      <c r="BL147" s="16" t="s">
        <v>190</v>
      </c>
      <c r="BM147" s="16" t="s">
        <v>190</v>
      </c>
      <c r="BN147" s="16" t="s">
        <v>227</v>
      </c>
      <c r="BO147" s="16" t="s">
        <v>190</v>
      </c>
      <c r="BP147" s="16">
        <v>1</v>
      </c>
      <c r="BQ147" s="16">
        <v>7</v>
      </c>
      <c r="BR147" s="16">
        <v>0</v>
      </c>
      <c r="BS147" s="16">
        <v>0</v>
      </c>
      <c r="BT147" s="205"/>
      <c r="BU147" s="16">
        <v>15</v>
      </c>
      <c r="BV147" s="16">
        <v>0</v>
      </c>
      <c r="BW147" s="16">
        <v>35</v>
      </c>
      <c r="BX147" s="16" t="s">
        <v>190</v>
      </c>
      <c r="BY147" s="205"/>
      <c r="CD147" s="205"/>
      <c r="CI147" s="205"/>
      <c r="CN147" s="205"/>
      <c r="CS147" s="205"/>
      <c r="CX147" s="205"/>
      <c r="DC147" s="205"/>
      <c r="DH147" s="205"/>
      <c r="DM147" s="205"/>
      <c r="DN147" s="205"/>
      <c r="DO147" s="205"/>
      <c r="DQ147" s="206"/>
      <c r="DR147" s="188">
        <f t="shared" si="64"/>
        <v>15</v>
      </c>
      <c r="DS147" s="188"/>
      <c r="DT147" s="189">
        <f t="shared" si="65"/>
        <v>0</v>
      </c>
      <c r="DU147" s="189"/>
      <c r="DV147" s="188">
        <f t="shared" si="66"/>
        <v>35</v>
      </c>
      <c r="DW147" s="183" t="e">
        <f t="shared" ca="1" si="67"/>
        <v>#NAME?</v>
      </c>
      <c r="DX147" s="207"/>
      <c r="DY147" s="190" t="e">
        <f t="shared" ca="1" si="68"/>
        <v>#NAME?</v>
      </c>
      <c r="DZ147" s="191">
        <f t="shared" si="264"/>
        <v>3.1052631578947367</v>
      </c>
      <c r="EA147" s="191" t="str">
        <f t="shared" si="265"/>
        <v/>
      </c>
      <c r="EB147" s="191" t="str">
        <f t="shared" si="266"/>
        <v/>
      </c>
      <c r="EC147" s="208" t="e">
        <f t="shared" ca="1" si="72"/>
        <v>#NAME?</v>
      </c>
      <c r="ED147" s="36" t="str">
        <f t="shared" si="73"/>
        <v>Convertible Note</v>
      </c>
      <c r="EE147" s="193">
        <f>COUNTIF($ED$2:$ED$92, ED147)/(COUNTIF($ED$2:$ED$92, "&lt;&gt;""") - COUNTIF($ED$2:$ED$92, ""))</f>
        <v>0.13333333333333333</v>
      </c>
      <c r="EF147" s="36" t="str">
        <f t="shared" si="74"/>
        <v>Early</v>
      </c>
      <c r="EG147" s="207"/>
      <c r="EH147" s="194" t="e">
        <f t="shared" ca="1" si="75"/>
        <v>#NAME?</v>
      </c>
      <c r="EI147" s="194" t="e">
        <f t="shared" ca="1" si="76"/>
        <v>#NAME?</v>
      </c>
      <c r="EJ147" s="209" t="e">
        <f t="shared" ca="1" si="77"/>
        <v>#NAME?</v>
      </c>
      <c r="EK147" s="208" t="e">
        <f t="shared" ca="1" si="267"/>
        <v>#NAME?</v>
      </c>
      <c r="EL147" s="36" t="str">
        <f t="shared" si="79"/>
        <v>No</v>
      </c>
      <c r="EM147" s="207"/>
      <c r="EN147" s="192">
        <f t="shared" si="268"/>
        <v>2.4285714285714288</v>
      </c>
      <c r="EO147" s="192">
        <f t="shared" si="269"/>
        <v>1</v>
      </c>
      <c r="EP147" s="209">
        <f t="shared" si="82"/>
        <v>3.4285714285714288</v>
      </c>
      <c r="EQ147" s="210">
        <f t="shared" si="270"/>
        <v>2.1214953271028039</v>
      </c>
      <c r="ER147" s="36" t="e">
        <f t="shared" ca="1" si="84"/>
        <v>#NAME?</v>
      </c>
      <c r="ES147" s="40">
        <f ca="1">COUNTIF($ER$2:$ER$92, ER147)/(COUNTIF($ER$2:$ER$92, "&lt;&gt;""") - COUNTIF($ER$2:$ER$92, ""))</f>
        <v>1</v>
      </c>
      <c r="ET147" s="36">
        <f t="shared" si="85"/>
        <v>1</v>
      </c>
      <c r="EU147" s="40">
        <f>COUNTIF($ET$2:$ET$92, ET147)/(COUNTIF($ET$2:$ET$92, "&lt;&gt;""") - COUNTIF($ET$2:$ET$92, ""))</f>
        <v>0.45555555555555555</v>
      </c>
      <c r="EV147" s="36">
        <f t="shared" si="86"/>
        <v>7</v>
      </c>
      <c r="EW147" s="40">
        <f>COUNTIF($EV$2:$EV$92, EV147)/(COUNTIF($EV$2:$EV$92, "&lt;&gt;""") - COUNTIF($EV$2:$EV$92, ""))</f>
        <v>4.4444444444444446E-2</v>
      </c>
      <c r="EX147" s="36" t="str">
        <f t="shared" si="87"/>
        <v>No</v>
      </c>
      <c r="EY147" s="40">
        <f>COUNTIF($EX$2:$EX$92, EX147)/(COUNTIF($EX$2:$EX$92, "&lt;&gt;""") - COUNTIF($EX$2:$EX$92, ""))</f>
        <v>0.72222222222222221</v>
      </c>
      <c r="EZ147" s="36" t="str">
        <f t="shared" ref="EZ147:FB147" si="280">BM147</f>
        <v>No</v>
      </c>
      <c r="FA147" s="36" t="str">
        <f t="shared" si="280"/>
        <v>Yes</v>
      </c>
      <c r="FB147" s="36" t="str">
        <f t="shared" si="280"/>
        <v>No</v>
      </c>
      <c r="FC147" s="207"/>
      <c r="FD147" s="36" t="str">
        <f t="shared" si="89"/>
        <v>Recurring</v>
      </c>
      <c r="FE147" s="40">
        <f>COUNTIF($FD$2:$FD$92, FD147)/(COUNTIF($FD$2:$FD$92, "&lt;&gt;""") - COUNTIF($FD$2:$FD$92, ""))</f>
        <v>0.4</v>
      </c>
      <c r="FF147" s="36" t="str">
        <f t="shared" si="90"/>
        <v>B2B</v>
      </c>
      <c r="FG147" s="40">
        <f>COUNTIF($FF$2:$FF$92, FF147)/(COUNTIF($FF$2:$FF$92, "&lt;&gt;""") - COUNTIF($FF$2:$FF$92, ""))</f>
        <v>0.24444444444444444</v>
      </c>
      <c r="FH147" s="36" t="str">
        <f t="shared" si="91"/>
        <v>High</v>
      </c>
      <c r="FI147" s="40">
        <f>COUNTIF($FH$2:$FH$92, FH147)/(COUNTIF($FH$2:$FH$92, "&lt;&gt;""") - COUNTIF($FH$2:$FH$92, ""))</f>
        <v>0.53333333333333333</v>
      </c>
      <c r="FJ147" s="36" t="str">
        <f t="shared" si="92"/>
        <v>Low</v>
      </c>
      <c r="FK147" s="40">
        <f>COUNTIF($FJ$2:$FJ$92, FJ147)/(COUNTIF($FJ$2:$FJ$92, "&lt;&gt;""") - COUNTIF($FJ$2:$FJ$92, ""))</f>
        <v>0.41111111111111109</v>
      </c>
      <c r="FL147" s="207"/>
      <c r="FM147" s="192">
        <f t="shared" si="93"/>
        <v>5</v>
      </c>
      <c r="FN147" s="192" t="e">
        <f t="shared" ca="1" si="94"/>
        <v>#NAME?</v>
      </c>
      <c r="FO147" s="192" t="e">
        <f t="shared" ca="1" si="95"/>
        <v>#NAME?</v>
      </c>
      <c r="FP147" s="192" t="e">
        <f t="shared" ca="1" si="96"/>
        <v>#NAME?</v>
      </c>
      <c r="FQ147" s="209" t="e">
        <f t="shared" ca="1" si="97"/>
        <v>#NAME?</v>
      </c>
      <c r="FR147" s="208" t="e">
        <f t="shared" ca="1" si="272"/>
        <v>#NAME?</v>
      </c>
      <c r="FS147" s="36" t="str">
        <f t="shared" si="99"/>
        <v>Pre-Profit</v>
      </c>
      <c r="FT147" s="196">
        <f>COUNTIF($FS$2:$FS$92, FS147)/(COUNTIF($FS$2:$FS$92, "&lt;&gt;""") - COUNTIF($FZ$2:$FZ$92, ""))</f>
        <v>0.51111111111111107</v>
      </c>
      <c r="FU147" s="207"/>
      <c r="FV147" s="192" t="e">
        <f t="shared" ca="1" si="100"/>
        <v>#NAME?</v>
      </c>
      <c r="FW147" s="197" t="e">
        <f t="shared" ca="1" si="101"/>
        <v>#NAME?</v>
      </c>
      <c r="FX147" s="209" t="e">
        <f t="shared" ca="1" si="102"/>
        <v>#NAME?</v>
      </c>
      <c r="FY147" s="211" t="e">
        <f t="shared" ca="1" si="273"/>
        <v>#NAME?</v>
      </c>
      <c r="FZ147" s="36" t="str">
        <f t="shared" si="104"/>
        <v>No</v>
      </c>
      <c r="GA147" s="196">
        <f>COUNTIF($FZ$2:$FZ$92, FZ147)/(COUNTIF($FZ$2:$FZ$92, "&lt;&gt;""") - COUNTIF($FZ$2:$FZ$92, ""))</f>
        <v>0.76666666666666672</v>
      </c>
      <c r="GB147" s="196" t="str">
        <f t="shared" si="105"/>
        <v>High</v>
      </c>
      <c r="GC147" s="196">
        <f>COUNTIF($GB$2:$GB$92, GB147)/(COUNTIF($GB$2:$GB$92, "&lt;&gt;""") - COUNTIF($GB$2:$GB$92, ""))</f>
        <v>0.43333333333333335</v>
      </c>
      <c r="GD147" s="196" t="str">
        <f t="shared" si="106"/>
        <v>High</v>
      </c>
      <c r="GE147" s="196">
        <f>COUNTIF($GD$2:$GD$92, GD147)/(COUNTIF($GD$2:$GD$92, "&lt;&gt;""") - COUNTIF($GD$2:$GD$92, ""))</f>
        <v>0.8</v>
      </c>
      <c r="GF147" s="207"/>
      <c r="GG147" s="36"/>
      <c r="GH147" s="209" t="e">
        <f t="shared" ca="1" si="107"/>
        <v>#NAME?</v>
      </c>
      <c r="GI147" s="212" t="e">
        <f t="shared" ca="1" si="274"/>
        <v>#NAME?</v>
      </c>
    </row>
    <row r="148" spans="1:191" ht="15.75" customHeight="1">
      <c r="A148" s="171"/>
      <c r="B148" s="171" t="s">
        <v>355</v>
      </c>
      <c r="C148" s="16">
        <v>1805743</v>
      </c>
      <c r="D148" s="233" t="s">
        <v>1329</v>
      </c>
      <c r="E148" s="234"/>
      <c r="F148" s="16" t="s">
        <v>307</v>
      </c>
      <c r="G148" s="235" t="s">
        <v>1330</v>
      </c>
      <c r="H148" s="235" t="s">
        <v>1331</v>
      </c>
      <c r="I148" s="241">
        <v>43910</v>
      </c>
      <c r="J148" s="233" t="s">
        <v>1329</v>
      </c>
      <c r="K148" s="233" t="s">
        <v>1332</v>
      </c>
      <c r="M148" s="29" t="s">
        <v>243</v>
      </c>
      <c r="N148" s="16" t="s">
        <v>168</v>
      </c>
      <c r="O148" s="16" t="s">
        <v>30</v>
      </c>
      <c r="P148" s="16" t="s">
        <v>174</v>
      </c>
      <c r="Q148" s="16" t="s">
        <v>35</v>
      </c>
      <c r="S148" s="16" t="s">
        <v>176</v>
      </c>
      <c r="T148" s="237"/>
      <c r="U148" s="213"/>
      <c r="V148" s="54"/>
      <c r="W148" s="54">
        <v>1000000</v>
      </c>
      <c r="X148" s="226">
        <v>0.2</v>
      </c>
      <c r="Y148" s="55">
        <f t="shared" si="158"/>
        <v>800000</v>
      </c>
      <c r="Z148" s="274">
        <f t="shared" si="159"/>
        <v>800000</v>
      </c>
      <c r="AA148" s="183" t="e">
        <f t="shared" ca="1" si="160"/>
        <v>#NAME?</v>
      </c>
      <c r="AB148" s="16" t="s">
        <v>36</v>
      </c>
      <c r="AC148" s="16" t="s">
        <v>200</v>
      </c>
      <c r="AD148" s="16" t="s">
        <v>38</v>
      </c>
      <c r="AE148" s="16" t="s">
        <v>190</v>
      </c>
      <c r="AF148" s="16" t="s">
        <v>181</v>
      </c>
      <c r="AG148" s="16" t="s">
        <v>181</v>
      </c>
      <c r="AH148" s="16" t="s">
        <v>190</v>
      </c>
      <c r="AI148" s="54"/>
      <c r="AJ148" s="278">
        <v>200000000000</v>
      </c>
      <c r="AK148" s="224" t="e">
        <f t="shared" ca="1" si="161"/>
        <v>#NAME?</v>
      </c>
      <c r="AL148" s="278">
        <v>200000000</v>
      </c>
      <c r="AM148" s="224" t="e">
        <f t="shared" ca="1" si="162"/>
        <v>#NAME?</v>
      </c>
      <c r="AN148" s="278">
        <v>0.06</v>
      </c>
      <c r="AO148" s="185" t="e">
        <f t="shared" ca="1" si="63"/>
        <v>#NAME?</v>
      </c>
      <c r="AP148" s="185" t="s">
        <v>264</v>
      </c>
      <c r="AQ148" s="16" t="s">
        <v>181</v>
      </c>
      <c r="AR148" s="16" t="s">
        <v>181</v>
      </c>
      <c r="AS148" s="16" t="s">
        <v>42</v>
      </c>
      <c r="AT148" s="159" t="s">
        <v>181</v>
      </c>
      <c r="AU148" s="159" t="s">
        <v>39</v>
      </c>
      <c r="AV148" s="16" t="s">
        <v>190</v>
      </c>
      <c r="AW148" s="16" t="s">
        <v>190</v>
      </c>
      <c r="AX148" s="16" t="s">
        <v>227</v>
      </c>
      <c r="AY148" s="16" t="s">
        <v>227</v>
      </c>
      <c r="AZ148" s="54">
        <v>156079</v>
      </c>
      <c r="BA148" s="55" t="e">
        <f t="shared" ca="1" si="163"/>
        <v>#NAME?</v>
      </c>
      <c r="BB148" s="278">
        <v>1907</v>
      </c>
      <c r="BC148" s="278">
        <v>0</v>
      </c>
      <c r="BD148" s="62" t="e">
        <f t="shared" ca="1" si="164"/>
        <v>#NAME?</v>
      </c>
      <c r="BE148" s="277">
        <f t="shared" si="165"/>
        <v>1</v>
      </c>
      <c r="BF148" s="62" t="e">
        <f t="shared" ca="1" si="166"/>
        <v>#NAME?</v>
      </c>
      <c r="BG148" s="16" t="s">
        <v>202</v>
      </c>
      <c r="BI148" s="16" t="s">
        <v>190</v>
      </c>
      <c r="BJ148" s="16">
        <v>0</v>
      </c>
      <c r="BK148" s="278">
        <v>1</v>
      </c>
      <c r="BL148" s="16" t="s">
        <v>190</v>
      </c>
      <c r="BM148" s="16" t="s">
        <v>190</v>
      </c>
      <c r="BN148" s="16" t="s">
        <v>190</v>
      </c>
      <c r="BO148" s="16" t="s">
        <v>190</v>
      </c>
      <c r="BP148" s="16">
        <v>1</v>
      </c>
      <c r="BQ148" s="16">
        <v>0</v>
      </c>
      <c r="BR148" s="16">
        <v>0</v>
      </c>
      <c r="BS148" s="16">
        <v>0</v>
      </c>
      <c r="BT148" s="205"/>
      <c r="BU148" s="16">
        <v>10</v>
      </c>
      <c r="BV148" s="16">
        <v>0</v>
      </c>
      <c r="BW148" s="16">
        <v>45</v>
      </c>
      <c r="BX148" s="16" t="s">
        <v>190</v>
      </c>
      <c r="BY148" s="205"/>
      <c r="CD148" s="205"/>
      <c r="CI148" s="205"/>
      <c r="CN148" s="205"/>
      <c r="CS148" s="205"/>
      <c r="CX148" s="205"/>
      <c r="DC148" s="205"/>
      <c r="DH148" s="205"/>
      <c r="DM148" s="205"/>
      <c r="DN148" s="205"/>
      <c r="DO148" s="205"/>
      <c r="DQ148" s="206"/>
      <c r="DR148" s="188">
        <f t="shared" si="64"/>
        <v>10</v>
      </c>
      <c r="DS148" s="188"/>
      <c r="DT148" s="189">
        <f t="shared" si="65"/>
        <v>0</v>
      </c>
      <c r="DU148" s="189"/>
      <c r="DV148" s="188">
        <f t="shared" si="66"/>
        <v>45</v>
      </c>
      <c r="DW148" s="183" t="e">
        <f t="shared" ca="1" si="67"/>
        <v>#NAME?</v>
      </c>
      <c r="DX148" s="207"/>
      <c r="DY148" s="190" t="e">
        <f t="shared" ca="1" si="68"/>
        <v>#NAME?</v>
      </c>
      <c r="DZ148" s="191">
        <f t="shared" si="264"/>
        <v>3.1052631578947367</v>
      </c>
      <c r="EA148" s="191" t="str">
        <f t="shared" si="265"/>
        <v/>
      </c>
      <c r="EB148" s="191" t="str">
        <f t="shared" si="266"/>
        <v/>
      </c>
      <c r="EC148" s="208" t="e">
        <f t="shared" ca="1" si="72"/>
        <v>#NAME?</v>
      </c>
      <c r="ED148" s="36" t="str">
        <f t="shared" si="73"/>
        <v>Convertible Note</v>
      </c>
      <c r="EE148" s="193">
        <f>COUNTIF($ED$2:$ED$92, ED148)/(COUNTIF($ED$2:$ED$92, "&lt;&gt;""") - COUNTIF($ED$2:$ED$92, ""))</f>
        <v>0.13333333333333333</v>
      </c>
      <c r="EF148" s="36" t="str">
        <f t="shared" si="74"/>
        <v>Early</v>
      </c>
      <c r="EG148" s="207"/>
      <c r="EH148" s="194" t="e">
        <f t="shared" ca="1" si="75"/>
        <v>#NAME?</v>
      </c>
      <c r="EI148" s="194" t="e">
        <f t="shared" ca="1" si="76"/>
        <v>#NAME?</v>
      </c>
      <c r="EJ148" s="209" t="e">
        <f t="shared" ca="1" si="77"/>
        <v>#NAME?</v>
      </c>
      <c r="EK148" s="208" t="e">
        <f t="shared" ca="1" si="267"/>
        <v>#NAME?</v>
      </c>
      <c r="EL148" s="36" t="str">
        <f t="shared" si="79"/>
        <v>No</v>
      </c>
      <c r="EM148" s="207"/>
      <c r="EN148" s="192">
        <f t="shared" si="268"/>
        <v>1.9523809523809523</v>
      </c>
      <c r="EO148" s="192">
        <f t="shared" si="269"/>
        <v>1</v>
      </c>
      <c r="EP148" s="209">
        <f t="shared" si="82"/>
        <v>2.9523809523809526</v>
      </c>
      <c r="EQ148" s="210">
        <f t="shared" si="270"/>
        <v>1.7476635514018692</v>
      </c>
      <c r="ER148" s="36" t="e">
        <f t="shared" ca="1" si="84"/>
        <v>#NAME?</v>
      </c>
      <c r="ES148" s="40">
        <f ca="1">COUNTIF($ER$2:$ER$92, ER148)/(COUNTIF($ER$2:$ER$92, "&lt;&gt;""") - COUNTIF($ER$2:$ER$92, ""))</f>
        <v>1</v>
      </c>
      <c r="ET148" s="36">
        <f t="shared" si="85"/>
        <v>1</v>
      </c>
      <c r="EU148" s="40">
        <f>COUNTIF($ET$2:$ET$92, ET148)/(COUNTIF($ET$2:$ET$92, "&lt;&gt;""") - COUNTIF($ET$2:$ET$92, ""))</f>
        <v>0.45555555555555555</v>
      </c>
      <c r="EV148" s="36">
        <f t="shared" si="86"/>
        <v>0</v>
      </c>
      <c r="EW148" s="40">
        <f>COUNTIF($EV$2:$EV$92, EV148)/(COUNTIF($EV$2:$EV$92, "&lt;&gt;""") - COUNTIF($EV$2:$EV$92, ""))</f>
        <v>0</v>
      </c>
      <c r="EX148" s="36" t="str">
        <f t="shared" si="87"/>
        <v>No</v>
      </c>
      <c r="EY148" s="40">
        <f>COUNTIF($EX$2:$EX$92, EX148)/(COUNTIF($EX$2:$EX$92, "&lt;&gt;""") - COUNTIF($EX$2:$EX$92, ""))</f>
        <v>0.72222222222222221</v>
      </c>
      <c r="EZ148" s="36" t="str">
        <f t="shared" ref="EZ148:FB148" si="281">BM148</f>
        <v>No</v>
      </c>
      <c r="FA148" s="36" t="str">
        <f t="shared" si="281"/>
        <v>No</v>
      </c>
      <c r="FB148" s="36" t="str">
        <f t="shared" si="281"/>
        <v>No</v>
      </c>
      <c r="FC148" s="207"/>
      <c r="FD148" s="36" t="str">
        <f t="shared" si="89"/>
        <v>Transactional</v>
      </c>
      <c r="FE148" s="40">
        <f>COUNTIF($FD$2:$FD$92, FD148)/(COUNTIF($FD$2:$FD$92, "&lt;&gt;""") - COUNTIF($FD$2:$FD$92, ""))</f>
        <v>0.6</v>
      </c>
      <c r="FF148" s="36" t="str">
        <f t="shared" si="90"/>
        <v>B2B2C</v>
      </c>
      <c r="FG148" s="40">
        <f>COUNTIF($FF$2:$FF$92, FF148)/(COUNTIF($FF$2:$FF$92, "&lt;&gt;""") - COUNTIF($FF$2:$FF$92, ""))</f>
        <v>6.6666666666666666E-2</v>
      </c>
      <c r="FH148" s="36" t="str">
        <f t="shared" si="91"/>
        <v>Low</v>
      </c>
      <c r="FI148" s="40">
        <f>COUNTIF($FH$2:$FH$92, FH148)/(COUNTIF($FH$2:$FH$92, "&lt;&gt;""") - COUNTIF($FH$2:$FH$92, ""))</f>
        <v>0.46666666666666667</v>
      </c>
      <c r="FJ148" s="36" t="str">
        <f t="shared" si="92"/>
        <v>Low</v>
      </c>
      <c r="FK148" s="40">
        <f>COUNTIF($FJ$2:$FJ$92, FJ148)/(COUNTIF($FJ$2:$FJ$92, "&lt;&gt;""") - COUNTIF($FJ$2:$FJ$92, ""))</f>
        <v>0.41111111111111109</v>
      </c>
      <c r="FL148" s="207"/>
      <c r="FM148" s="192">
        <f t="shared" si="93"/>
        <v>5</v>
      </c>
      <c r="FN148" s="192" t="e">
        <f t="shared" ca="1" si="94"/>
        <v>#NAME?</v>
      </c>
      <c r="FO148" s="192" t="e">
        <f t="shared" ca="1" si="95"/>
        <v>#NAME?</v>
      </c>
      <c r="FP148" s="192" t="e">
        <f t="shared" ca="1" si="96"/>
        <v>#NAME?</v>
      </c>
      <c r="FQ148" s="209" t="e">
        <f t="shared" ca="1" si="97"/>
        <v>#NAME?</v>
      </c>
      <c r="FR148" s="208" t="e">
        <f t="shared" ca="1" si="272"/>
        <v>#NAME?</v>
      </c>
      <c r="FS148" s="36" t="str">
        <f t="shared" si="99"/>
        <v>Pre-Profit</v>
      </c>
      <c r="FT148" s="196">
        <f>COUNTIF($FS$2:$FS$92, FS148)/(COUNTIF($FS$2:$FS$92, "&lt;&gt;""") - COUNTIF($FZ$2:$FZ$92, ""))</f>
        <v>0.51111111111111107</v>
      </c>
      <c r="FU148" s="207"/>
      <c r="FV148" s="192" t="e">
        <f t="shared" ca="1" si="100"/>
        <v>#NAME?</v>
      </c>
      <c r="FW148" s="197" t="e">
        <f t="shared" ca="1" si="101"/>
        <v>#NAME?</v>
      </c>
      <c r="FX148" s="209" t="e">
        <f t="shared" ca="1" si="102"/>
        <v>#NAME?</v>
      </c>
      <c r="FY148" s="211" t="e">
        <f t="shared" ca="1" si="273"/>
        <v>#NAME?</v>
      </c>
      <c r="FZ148" s="36" t="str">
        <f t="shared" si="104"/>
        <v>No</v>
      </c>
      <c r="GA148" s="196">
        <f>COUNTIF($FZ$2:$FZ$92, FZ148)/(COUNTIF($FZ$2:$FZ$92, "&lt;&gt;""") - COUNTIF($FZ$2:$FZ$92, ""))</f>
        <v>0.76666666666666672</v>
      </c>
      <c r="GB148" s="196" t="str">
        <f t="shared" si="105"/>
        <v>Low</v>
      </c>
      <c r="GC148" s="196">
        <f>COUNTIF($GB$2:$GB$92, GB148)/(COUNTIF($GB$2:$GB$92, "&lt;&gt;""") - COUNTIF($GB$2:$GB$92, ""))</f>
        <v>0.55555555555555558</v>
      </c>
      <c r="GD148" s="196" t="str">
        <f t="shared" si="106"/>
        <v>High</v>
      </c>
      <c r="GE148" s="196">
        <f>COUNTIF($GD$2:$GD$92, GD148)/(COUNTIF($GD$2:$GD$92, "&lt;&gt;""") - COUNTIF($GD$2:$GD$92, ""))</f>
        <v>0.8</v>
      </c>
      <c r="GF148" s="207"/>
      <c r="GG148" s="36"/>
      <c r="GH148" s="209" t="e">
        <f t="shared" ca="1" si="107"/>
        <v>#NAME?</v>
      </c>
      <c r="GI148" s="212" t="e">
        <f t="shared" ca="1" si="274"/>
        <v>#NAME?</v>
      </c>
    </row>
    <row r="149" spans="1:191" ht="15.75" customHeight="1">
      <c r="A149" s="171"/>
      <c r="B149" s="171" t="s">
        <v>355</v>
      </c>
      <c r="C149" s="16">
        <v>1800214</v>
      </c>
      <c r="D149" s="233" t="s">
        <v>1333</v>
      </c>
      <c r="E149" s="234">
        <v>43881.594444444447</v>
      </c>
      <c r="F149" s="16" t="s">
        <v>344</v>
      </c>
      <c r="G149" s="235" t="s">
        <v>1334</v>
      </c>
      <c r="H149" s="235" t="s">
        <v>1335</v>
      </c>
      <c r="I149" s="241">
        <v>43879</v>
      </c>
      <c r="J149" s="233" t="s">
        <v>1336</v>
      </c>
      <c r="K149" s="233" t="s">
        <v>1333</v>
      </c>
      <c r="M149" s="16" t="s">
        <v>1234</v>
      </c>
      <c r="N149" s="16" t="s">
        <v>172</v>
      </c>
      <c r="O149" s="16" t="s">
        <v>30</v>
      </c>
      <c r="P149" s="16" t="s">
        <v>174</v>
      </c>
      <c r="Q149" s="16" t="s">
        <v>35</v>
      </c>
      <c r="S149" s="16" t="s">
        <v>269</v>
      </c>
      <c r="T149" s="237"/>
      <c r="U149" s="213"/>
      <c r="V149" s="54"/>
      <c r="W149" s="54">
        <v>5900000</v>
      </c>
      <c r="X149" s="226">
        <v>0.1</v>
      </c>
      <c r="Y149" s="55">
        <f t="shared" si="158"/>
        <v>5310000</v>
      </c>
      <c r="Z149" s="274">
        <f t="shared" si="159"/>
        <v>5310000</v>
      </c>
      <c r="AA149" s="183" t="e">
        <f t="shared" ca="1" si="160"/>
        <v>#NAME?</v>
      </c>
      <c r="AB149" s="16" t="s">
        <v>36</v>
      </c>
      <c r="AC149" s="16" t="s">
        <v>218</v>
      </c>
      <c r="AD149" s="16" t="s">
        <v>180</v>
      </c>
      <c r="AE149" s="16" t="s">
        <v>190</v>
      </c>
      <c r="AF149" s="16" t="s">
        <v>39</v>
      </c>
      <c r="AG149" s="16" t="s">
        <v>39</v>
      </c>
      <c r="AH149" s="16" t="s">
        <v>190</v>
      </c>
      <c r="AI149" s="54"/>
      <c r="AJ149" s="278">
        <v>10000000000</v>
      </c>
      <c r="AK149" s="224" t="e">
        <f t="shared" ca="1" si="161"/>
        <v>#NAME?</v>
      </c>
      <c r="AL149" s="278">
        <v>1000000000</v>
      </c>
      <c r="AM149" s="224" t="e">
        <f t="shared" ca="1" si="162"/>
        <v>#NAME?</v>
      </c>
      <c r="AN149" s="278">
        <v>0.09</v>
      </c>
      <c r="AO149" s="185" t="e">
        <f t="shared" ca="1" si="63"/>
        <v>#NAME?</v>
      </c>
      <c r="AP149" s="185" t="s">
        <v>192</v>
      </c>
      <c r="AQ149" s="16" t="s">
        <v>181</v>
      </c>
      <c r="AR149" s="16" t="s">
        <v>181</v>
      </c>
      <c r="AS149" s="16" t="s">
        <v>42</v>
      </c>
      <c r="AT149" s="159" t="s">
        <v>39</v>
      </c>
      <c r="AU149" s="159" t="s">
        <v>39</v>
      </c>
      <c r="AV149" s="16" t="s">
        <v>190</v>
      </c>
      <c r="AW149" s="16" t="s">
        <v>227</v>
      </c>
      <c r="AX149" s="16" t="s">
        <v>227</v>
      </c>
      <c r="AY149" s="16" t="s">
        <v>227</v>
      </c>
      <c r="AZ149" s="54">
        <v>27916</v>
      </c>
      <c r="BA149" s="55" t="e">
        <f t="shared" ca="1" si="163"/>
        <v>#NAME?</v>
      </c>
      <c r="BB149" s="278">
        <v>31896</v>
      </c>
      <c r="BC149" s="278">
        <v>1150000</v>
      </c>
      <c r="BD149" s="62" t="e">
        <f t="shared" ca="1" si="164"/>
        <v>#NAME?</v>
      </c>
      <c r="BE149" s="277">
        <f t="shared" si="165"/>
        <v>2.7735652173913043E-2</v>
      </c>
      <c r="BF149" s="62" t="e">
        <f t="shared" ca="1" si="166"/>
        <v>#NAME?</v>
      </c>
      <c r="BG149" s="16" t="s">
        <v>202</v>
      </c>
      <c r="BI149" s="16" t="s">
        <v>190</v>
      </c>
      <c r="BJ149" s="16">
        <v>0</v>
      </c>
      <c r="BK149" s="278">
        <v>1</v>
      </c>
      <c r="BL149" s="16" t="s">
        <v>190</v>
      </c>
      <c r="BM149" s="16" t="s">
        <v>190</v>
      </c>
      <c r="BN149" s="16" t="s">
        <v>190</v>
      </c>
      <c r="BO149" s="16" t="s">
        <v>190</v>
      </c>
      <c r="BP149" s="16">
        <v>1</v>
      </c>
      <c r="BQ149" s="16">
        <v>3</v>
      </c>
      <c r="BR149" s="16">
        <v>0</v>
      </c>
      <c r="BS149" s="16">
        <v>0</v>
      </c>
      <c r="BT149" s="205"/>
      <c r="BU149" s="16">
        <v>10</v>
      </c>
      <c r="BV149" s="16">
        <v>0</v>
      </c>
      <c r="BW149" s="16">
        <v>55</v>
      </c>
      <c r="BX149" s="16" t="s">
        <v>190</v>
      </c>
      <c r="BY149" s="205"/>
      <c r="CD149" s="205"/>
      <c r="CI149" s="205"/>
      <c r="CN149" s="205"/>
      <c r="CS149" s="205"/>
      <c r="CX149" s="205"/>
      <c r="DC149" s="205"/>
      <c r="DH149" s="205"/>
      <c r="DM149" s="205"/>
      <c r="DN149" s="205"/>
      <c r="DO149" s="205"/>
      <c r="DQ149" s="206"/>
      <c r="DR149" s="188">
        <f t="shared" si="64"/>
        <v>10</v>
      </c>
      <c r="DS149" s="188"/>
      <c r="DT149" s="189">
        <f t="shared" si="65"/>
        <v>0</v>
      </c>
      <c r="DU149" s="189"/>
      <c r="DV149" s="188">
        <f t="shared" si="66"/>
        <v>55</v>
      </c>
      <c r="DW149" s="183" t="e">
        <f t="shared" ca="1" si="67"/>
        <v>#NAME?</v>
      </c>
      <c r="DX149" s="207"/>
      <c r="DY149" s="190" t="e">
        <f t="shared" ca="1" si="68"/>
        <v>#NAME?</v>
      </c>
      <c r="DZ149" s="191">
        <f t="shared" si="264"/>
        <v>2.0526315789473681</v>
      </c>
      <c r="EA149" s="191" t="str">
        <f t="shared" si="265"/>
        <v/>
      </c>
      <c r="EB149" s="191" t="str">
        <f t="shared" si="266"/>
        <v/>
      </c>
      <c r="EC149" s="208" t="e">
        <f t="shared" ca="1" si="72"/>
        <v>#NAME?</v>
      </c>
      <c r="ED149" s="36" t="str">
        <f t="shared" si="73"/>
        <v>SAFE</v>
      </c>
      <c r="EE149" s="193">
        <f>COUNTIF($ED$2:$ED$92, ED149)/(COUNTIF($ED$2:$ED$92, "&lt;&gt;""") - COUNTIF($ED$2:$ED$92, ""))</f>
        <v>0.37777777777777777</v>
      </c>
      <c r="EF149" s="36" t="str">
        <f t="shared" si="74"/>
        <v>Early</v>
      </c>
      <c r="EG149" s="207"/>
      <c r="EH149" s="194" t="e">
        <f t="shared" ca="1" si="75"/>
        <v>#NAME?</v>
      </c>
      <c r="EI149" s="194" t="e">
        <f t="shared" ca="1" si="76"/>
        <v>#NAME?</v>
      </c>
      <c r="EJ149" s="209" t="e">
        <f t="shared" ca="1" si="77"/>
        <v>#NAME?</v>
      </c>
      <c r="EK149" s="208" t="e">
        <f t="shared" ca="1" si="267"/>
        <v>#NAME?</v>
      </c>
      <c r="EL149" s="36" t="str">
        <f t="shared" si="79"/>
        <v>No</v>
      </c>
      <c r="EM149" s="207"/>
      <c r="EN149" s="192">
        <f t="shared" si="268"/>
        <v>1.9523809523809523</v>
      </c>
      <c r="EO149" s="192">
        <f t="shared" si="269"/>
        <v>1</v>
      </c>
      <c r="EP149" s="209">
        <f t="shared" si="82"/>
        <v>2.9523809523809526</v>
      </c>
      <c r="EQ149" s="210">
        <f t="shared" si="270"/>
        <v>1.7476635514018692</v>
      </c>
      <c r="ER149" s="36" t="e">
        <f t="shared" ca="1" si="84"/>
        <v>#NAME?</v>
      </c>
      <c r="ES149" s="40">
        <f ca="1">COUNTIF($ER$2:$ER$92, ER149)/(COUNTIF($ER$2:$ER$92, "&lt;&gt;""") - COUNTIF($ER$2:$ER$92, ""))</f>
        <v>1</v>
      </c>
      <c r="ET149" s="36">
        <f t="shared" si="85"/>
        <v>1</v>
      </c>
      <c r="EU149" s="40">
        <f>COUNTIF($ET$2:$ET$92, ET149)/(COUNTIF($ET$2:$ET$92, "&lt;&gt;""") - COUNTIF($ET$2:$ET$92, ""))</f>
        <v>0.45555555555555555</v>
      </c>
      <c r="EV149" s="36">
        <f t="shared" si="86"/>
        <v>3</v>
      </c>
      <c r="EW149" s="40">
        <f>COUNTIF($EV$2:$EV$92, EV149)/(COUNTIF($EV$2:$EV$92, "&lt;&gt;""") - COUNTIF($EV$2:$EV$92, ""))</f>
        <v>8.8888888888888892E-2</v>
      </c>
      <c r="EX149" s="36" t="str">
        <f t="shared" si="87"/>
        <v>No</v>
      </c>
      <c r="EY149" s="40">
        <f>COUNTIF($EX$2:$EX$92, EX149)/(COUNTIF($EX$2:$EX$92, "&lt;&gt;""") - COUNTIF($EX$2:$EX$92, ""))</f>
        <v>0.72222222222222221</v>
      </c>
      <c r="EZ149" s="36" t="str">
        <f t="shared" ref="EZ149:FB149" si="282">BM149</f>
        <v>No</v>
      </c>
      <c r="FA149" s="36" t="str">
        <f t="shared" si="282"/>
        <v>No</v>
      </c>
      <c r="FB149" s="36" t="str">
        <f t="shared" si="282"/>
        <v>No</v>
      </c>
      <c r="FC149" s="207"/>
      <c r="FD149" s="36" t="str">
        <f t="shared" si="89"/>
        <v>Transactional</v>
      </c>
      <c r="FE149" s="40">
        <f>COUNTIF($FD$2:$FD$92, FD149)/(COUNTIF($FD$2:$FD$92, "&lt;&gt;""") - COUNTIF($FD$2:$FD$92, ""))</f>
        <v>0.6</v>
      </c>
      <c r="FF149" s="36" t="str">
        <f t="shared" si="90"/>
        <v>B2B/B2C</v>
      </c>
      <c r="FG149" s="40">
        <f>COUNTIF($FF$2:$FF$92, FF149)/(COUNTIF($FF$2:$FF$92, "&lt;&gt;""") - COUNTIF($FF$2:$FF$92, ""))</f>
        <v>0.27777777777777779</v>
      </c>
      <c r="FH149" s="36" t="str">
        <f t="shared" si="91"/>
        <v>High</v>
      </c>
      <c r="FI149" s="40">
        <f>COUNTIF($FH$2:$FH$92, FH149)/(COUNTIF($FH$2:$FH$92, "&lt;&gt;""") - COUNTIF($FH$2:$FH$92, ""))</f>
        <v>0.53333333333333333</v>
      </c>
      <c r="FJ149" s="36" t="str">
        <f t="shared" si="92"/>
        <v>High</v>
      </c>
      <c r="FK149" s="40">
        <f>COUNTIF($FJ$2:$FJ$92, FJ149)/(COUNTIF($FJ$2:$FJ$92, "&lt;&gt;""") - COUNTIF($FJ$2:$FJ$92, ""))</f>
        <v>0.58888888888888891</v>
      </c>
      <c r="FL149" s="207"/>
      <c r="FM149" s="192">
        <f t="shared" si="93"/>
        <v>5</v>
      </c>
      <c r="FN149" s="192" t="e">
        <f t="shared" ca="1" si="94"/>
        <v>#NAME?</v>
      </c>
      <c r="FO149" s="192" t="e">
        <f t="shared" ca="1" si="95"/>
        <v>#NAME?</v>
      </c>
      <c r="FP149" s="192" t="e">
        <f t="shared" ca="1" si="96"/>
        <v>#NAME?</v>
      </c>
      <c r="FQ149" s="209" t="e">
        <f t="shared" ca="1" si="97"/>
        <v>#NAME?</v>
      </c>
      <c r="FR149" s="208" t="e">
        <f t="shared" ca="1" si="272"/>
        <v>#NAME?</v>
      </c>
      <c r="FS149" s="36" t="str">
        <f t="shared" si="99"/>
        <v>Pre-Profit</v>
      </c>
      <c r="FT149" s="196">
        <f>COUNTIF($FS$2:$FS$92, FS149)/(COUNTIF($FS$2:$FS$92, "&lt;&gt;""") - COUNTIF($FZ$2:$FZ$92, ""))</f>
        <v>0.51111111111111107</v>
      </c>
      <c r="FU149" s="207"/>
      <c r="FV149" s="192" t="e">
        <f t="shared" ca="1" si="100"/>
        <v>#NAME?</v>
      </c>
      <c r="FW149" s="197" t="e">
        <f t="shared" ca="1" si="101"/>
        <v>#NAME?</v>
      </c>
      <c r="FX149" s="209" t="e">
        <f t="shared" ca="1" si="102"/>
        <v>#NAME?</v>
      </c>
      <c r="FY149" s="211" t="e">
        <f t="shared" ca="1" si="273"/>
        <v>#NAME?</v>
      </c>
      <c r="FZ149" s="36" t="str">
        <f t="shared" si="104"/>
        <v>Yes</v>
      </c>
      <c r="GA149" s="196">
        <f>COUNTIF($FZ$2:$FZ$92, FZ149)/(COUNTIF($FZ$2:$FZ$92, "&lt;&gt;""") - COUNTIF($FZ$2:$FZ$92, ""))</f>
        <v>0.23333333333333334</v>
      </c>
      <c r="GB149" s="196" t="str">
        <f t="shared" si="105"/>
        <v>High</v>
      </c>
      <c r="GC149" s="196">
        <f>COUNTIF($GB$2:$GB$92, GB149)/(COUNTIF($GB$2:$GB$92, "&lt;&gt;""") - COUNTIF($GB$2:$GB$92, ""))</f>
        <v>0.43333333333333335</v>
      </c>
      <c r="GD149" s="196" t="str">
        <f t="shared" si="106"/>
        <v>High</v>
      </c>
      <c r="GE149" s="196">
        <f>COUNTIF($GD$2:$GD$92, GD149)/(COUNTIF($GD$2:$GD$92, "&lt;&gt;""") - COUNTIF($GD$2:$GD$92, ""))</f>
        <v>0.8</v>
      </c>
      <c r="GF149" s="207"/>
      <c r="GG149" s="36"/>
      <c r="GH149" s="209" t="e">
        <f t="shared" ca="1" si="107"/>
        <v>#NAME?</v>
      </c>
      <c r="GI149" s="212" t="e">
        <f t="shared" ca="1" si="274"/>
        <v>#NAME?</v>
      </c>
    </row>
    <row r="150" spans="1:191" ht="15.75" customHeight="1">
      <c r="A150" s="171"/>
      <c r="B150" s="171" t="s">
        <v>355</v>
      </c>
      <c r="C150" s="16">
        <v>1791400</v>
      </c>
      <c r="D150" s="233" t="s">
        <v>1337</v>
      </c>
      <c r="E150" s="234">
        <v>43881.599305555559</v>
      </c>
      <c r="F150" s="16" t="s">
        <v>344</v>
      </c>
      <c r="G150" s="235" t="s">
        <v>1338</v>
      </c>
      <c r="H150" s="235" t="s">
        <v>1339</v>
      </c>
      <c r="I150" s="241">
        <v>43766</v>
      </c>
      <c r="J150" s="233" t="s">
        <v>1340</v>
      </c>
      <c r="K150" s="233" t="s">
        <v>1337</v>
      </c>
      <c r="M150" s="29" t="s">
        <v>243</v>
      </c>
      <c r="N150" s="16" t="s">
        <v>168</v>
      </c>
      <c r="O150" s="16" t="s">
        <v>30</v>
      </c>
      <c r="P150" s="16" t="s">
        <v>31</v>
      </c>
      <c r="Q150" s="16" t="s">
        <v>35</v>
      </c>
      <c r="S150" s="16" t="s">
        <v>176</v>
      </c>
      <c r="T150" s="237"/>
      <c r="U150" s="213"/>
      <c r="V150" s="54"/>
      <c r="W150" s="54">
        <v>2500000</v>
      </c>
      <c r="X150" s="226">
        <v>0</v>
      </c>
      <c r="Y150" s="55">
        <f t="shared" si="158"/>
        <v>2500000</v>
      </c>
      <c r="Z150" s="274">
        <f t="shared" si="159"/>
        <v>2500000</v>
      </c>
      <c r="AA150" s="183" t="e">
        <f t="shared" ca="1" si="160"/>
        <v>#NAME?</v>
      </c>
      <c r="AB150" s="16" t="s">
        <v>36</v>
      </c>
      <c r="AC150" s="16" t="s">
        <v>179</v>
      </c>
      <c r="AD150" s="16" t="s">
        <v>38</v>
      </c>
      <c r="AE150" s="16" t="s">
        <v>190</v>
      </c>
      <c r="AF150" s="16" t="s">
        <v>181</v>
      </c>
      <c r="AG150" s="16" t="s">
        <v>181</v>
      </c>
      <c r="AH150" s="16" t="s">
        <v>190</v>
      </c>
      <c r="AI150" s="54"/>
      <c r="AJ150" s="278">
        <v>1410000000</v>
      </c>
      <c r="AK150" s="224" t="e">
        <f t="shared" ca="1" si="161"/>
        <v>#NAME?</v>
      </c>
      <c r="AL150" s="278">
        <v>10000000</v>
      </c>
      <c r="AM150" s="224" t="e">
        <f t="shared" ca="1" si="162"/>
        <v>#NAME?</v>
      </c>
      <c r="AN150" s="278">
        <v>0.08</v>
      </c>
      <c r="AO150" s="185" t="e">
        <f t="shared" ca="1" si="63"/>
        <v>#NAME?</v>
      </c>
      <c r="AP150" s="185" t="s">
        <v>192</v>
      </c>
      <c r="AQ150" s="16" t="s">
        <v>39</v>
      </c>
      <c r="AR150" s="16" t="s">
        <v>181</v>
      </c>
      <c r="AS150" s="16" t="s">
        <v>182</v>
      </c>
      <c r="AT150" s="159" t="s">
        <v>181</v>
      </c>
      <c r="AU150" s="159" t="s">
        <v>39</v>
      </c>
      <c r="AV150" s="16" t="s">
        <v>227</v>
      </c>
      <c r="AW150" s="16" t="s">
        <v>190</v>
      </c>
      <c r="AX150" s="16" t="s">
        <v>190</v>
      </c>
      <c r="AY150" s="16" t="s">
        <v>190</v>
      </c>
      <c r="AZ150" s="54">
        <v>0</v>
      </c>
      <c r="BA150" s="55" t="e">
        <f t="shared" ca="1" si="163"/>
        <v>#NAME?</v>
      </c>
      <c r="BB150" s="278">
        <v>1237</v>
      </c>
      <c r="BC150" s="278">
        <v>20000</v>
      </c>
      <c r="BD150" s="62" t="e">
        <f t="shared" ca="1" si="164"/>
        <v>#NAME?</v>
      </c>
      <c r="BE150" s="277">
        <f t="shared" si="165"/>
        <v>6.1850000000000002E-2</v>
      </c>
      <c r="BF150" s="62" t="e">
        <f t="shared" ca="1" si="166"/>
        <v>#NAME?</v>
      </c>
      <c r="BG150" s="16" t="s">
        <v>202</v>
      </c>
      <c r="BI150" s="16" t="s">
        <v>190</v>
      </c>
      <c r="BJ150" s="16">
        <v>0</v>
      </c>
      <c r="BK150" s="278">
        <v>2</v>
      </c>
      <c r="BL150" s="16" t="s">
        <v>227</v>
      </c>
      <c r="BM150" s="16" t="s">
        <v>227</v>
      </c>
      <c r="BN150" s="16" t="s">
        <v>190</v>
      </c>
      <c r="BO150" s="16" t="s">
        <v>190</v>
      </c>
      <c r="BP150" s="16">
        <v>2</v>
      </c>
      <c r="BQ150" s="16">
        <v>2</v>
      </c>
      <c r="BR150" s="16">
        <v>0</v>
      </c>
      <c r="BS150" s="16">
        <v>0</v>
      </c>
      <c r="BT150" s="205"/>
      <c r="BU150" s="16">
        <v>5</v>
      </c>
      <c r="BV150" s="16">
        <v>0</v>
      </c>
      <c r="BW150" s="16">
        <v>37</v>
      </c>
      <c r="BX150" s="16" t="s">
        <v>190</v>
      </c>
      <c r="BY150" s="205"/>
      <c r="BZ150" s="16">
        <v>5</v>
      </c>
      <c r="CA150" s="16">
        <v>0</v>
      </c>
      <c r="CB150" s="16">
        <v>37</v>
      </c>
      <c r="CC150" s="16" t="s">
        <v>190</v>
      </c>
      <c r="CD150" s="205"/>
      <c r="CI150" s="205"/>
      <c r="CN150" s="205"/>
      <c r="CS150" s="205"/>
      <c r="CX150" s="205"/>
      <c r="DC150" s="205"/>
      <c r="DH150" s="205"/>
      <c r="DM150" s="205"/>
      <c r="DN150" s="205"/>
      <c r="DO150" s="205"/>
      <c r="DQ150" s="206"/>
      <c r="DR150" s="188">
        <f t="shared" si="64"/>
        <v>5</v>
      </c>
      <c r="DS150" s="188"/>
      <c r="DT150" s="189">
        <f t="shared" si="65"/>
        <v>0</v>
      </c>
      <c r="DU150" s="189"/>
      <c r="DV150" s="188">
        <f t="shared" si="66"/>
        <v>37</v>
      </c>
      <c r="DW150" s="183" t="e">
        <f t="shared" ca="1" si="67"/>
        <v>#NAME?</v>
      </c>
      <c r="DX150" s="207"/>
      <c r="DY150" s="190" t="e">
        <f t="shared" ca="1" si="68"/>
        <v>#NAME?</v>
      </c>
      <c r="DZ150" s="191">
        <f t="shared" si="264"/>
        <v>1</v>
      </c>
      <c r="EA150" s="191" t="str">
        <f t="shared" si="265"/>
        <v/>
      </c>
      <c r="EB150" s="191" t="str">
        <f t="shared" si="266"/>
        <v/>
      </c>
      <c r="EC150" s="208" t="e">
        <f t="shared" ca="1" si="72"/>
        <v>#NAME?</v>
      </c>
      <c r="ED150" s="36" t="str">
        <f t="shared" si="73"/>
        <v>Convertible Note</v>
      </c>
      <c r="EE150" s="193">
        <f>COUNTIF($ED$2:$ED$92, ED150)/(COUNTIF($ED$2:$ED$92, "&lt;&gt;""") - COUNTIF($ED$2:$ED$92, ""))</f>
        <v>0.13333333333333333</v>
      </c>
      <c r="EF150" s="36" t="str">
        <f t="shared" si="74"/>
        <v>Early</v>
      </c>
      <c r="EG150" s="207"/>
      <c r="EH150" s="194" t="e">
        <f t="shared" ca="1" si="75"/>
        <v>#NAME?</v>
      </c>
      <c r="EI150" s="194" t="e">
        <f t="shared" ca="1" si="76"/>
        <v>#NAME?</v>
      </c>
      <c r="EJ150" s="209" t="e">
        <f t="shared" ca="1" si="77"/>
        <v>#NAME?</v>
      </c>
      <c r="EK150" s="208" t="e">
        <f t="shared" ca="1" si="267"/>
        <v>#NAME?</v>
      </c>
      <c r="EL150" s="36" t="str">
        <f t="shared" si="79"/>
        <v>Yes</v>
      </c>
      <c r="EM150" s="207"/>
      <c r="EN150" s="192">
        <f t="shared" si="268"/>
        <v>1.4761904761904763</v>
      </c>
      <c r="EO150" s="192">
        <f t="shared" si="269"/>
        <v>1</v>
      </c>
      <c r="EP150" s="209">
        <f t="shared" si="82"/>
        <v>2.4761904761904763</v>
      </c>
      <c r="EQ150" s="210">
        <f t="shared" si="270"/>
        <v>1.3738317757009346</v>
      </c>
      <c r="ER150" s="36" t="e">
        <f t="shared" ca="1" si="84"/>
        <v>#NAME?</v>
      </c>
      <c r="ES150" s="40">
        <f ca="1">COUNTIF($ER$2:$ER$92, ER150)/(COUNTIF($ER$2:$ER$92, "&lt;&gt;""") - COUNTIF($ER$2:$ER$92, ""))</f>
        <v>1</v>
      </c>
      <c r="ET150" s="36">
        <f t="shared" si="85"/>
        <v>2</v>
      </c>
      <c r="EU150" s="40">
        <f>COUNTIF($ET$2:$ET$92, ET150)/(COUNTIF($ET$2:$ET$92, "&lt;&gt;""") - COUNTIF($ET$2:$ET$92, ""))</f>
        <v>0.45555555555555555</v>
      </c>
      <c r="EV150" s="36">
        <f t="shared" si="86"/>
        <v>2</v>
      </c>
      <c r="EW150" s="40">
        <f>COUNTIF($EV$2:$EV$92, EV150)/(COUNTIF($EV$2:$EV$92, "&lt;&gt;""") - COUNTIF($EV$2:$EV$92, ""))</f>
        <v>0.15555555555555556</v>
      </c>
      <c r="EX150" s="36" t="str">
        <f t="shared" si="87"/>
        <v>Yes</v>
      </c>
      <c r="EY150" s="40">
        <f>COUNTIF($EX$2:$EX$92, EX150)/(COUNTIF($EX$2:$EX$92, "&lt;&gt;""") - COUNTIF($EX$2:$EX$92, ""))</f>
        <v>0.27777777777777779</v>
      </c>
      <c r="EZ150" s="36" t="str">
        <f t="shared" ref="EZ150:FB150" si="283">BM150</f>
        <v>Yes</v>
      </c>
      <c r="FA150" s="36" t="str">
        <f t="shared" si="283"/>
        <v>No</v>
      </c>
      <c r="FB150" s="36" t="str">
        <f t="shared" si="283"/>
        <v>No</v>
      </c>
      <c r="FC150" s="207"/>
      <c r="FD150" s="36" t="str">
        <f t="shared" si="89"/>
        <v>Transactional</v>
      </c>
      <c r="FE150" s="40">
        <f>COUNTIF($FD$2:$FD$92, FD150)/(COUNTIF($FD$2:$FD$92, "&lt;&gt;""") - COUNTIF($FD$2:$FD$92, ""))</f>
        <v>0.6</v>
      </c>
      <c r="FF150" s="36" t="str">
        <f t="shared" si="90"/>
        <v>B2C</v>
      </c>
      <c r="FG150" s="40">
        <f>COUNTIF($FF$2:$FF$92, FF150)/(COUNTIF($FF$2:$FF$92, "&lt;&gt;""") - COUNTIF($FF$2:$FF$92, ""))</f>
        <v>0.41111111111111109</v>
      </c>
      <c r="FH150" s="36" t="str">
        <f t="shared" si="91"/>
        <v>Low</v>
      </c>
      <c r="FI150" s="40">
        <f>COUNTIF($FH$2:$FH$92, FH150)/(COUNTIF($FH$2:$FH$92, "&lt;&gt;""") - COUNTIF($FH$2:$FH$92, ""))</f>
        <v>0.46666666666666667</v>
      </c>
      <c r="FJ150" s="36" t="str">
        <f t="shared" si="92"/>
        <v>Low</v>
      </c>
      <c r="FK150" s="40">
        <f>COUNTIF($FJ$2:$FJ$92, FJ150)/(COUNTIF($FJ$2:$FJ$92, "&lt;&gt;""") - COUNTIF($FJ$2:$FJ$92, ""))</f>
        <v>0.41111111111111109</v>
      </c>
      <c r="FL150" s="207"/>
      <c r="FM150" s="192">
        <f t="shared" si="93"/>
        <v>1</v>
      </c>
      <c r="FN150" s="192" t="e">
        <f t="shared" ca="1" si="94"/>
        <v>#NAME?</v>
      </c>
      <c r="FO150" s="192" t="e">
        <f t="shared" ca="1" si="95"/>
        <v>#NAME?</v>
      </c>
      <c r="FP150" s="192" t="e">
        <f t="shared" ca="1" si="96"/>
        <v>#NAME?</v>
      </c>
      <c r="FQ150" s="209" t="e">
        <f t="shared" ca="1" si="97"/>
        <v>#NAME?</v>
      </c>
      <c r="FR150" s="208" t="e">
        <f t="shared" ca="1" si="272"/>
        <v>#NAME?</v>
      </c>
      <c r="FS150" s="36" t="str">
        <f t="shared" si="99"/>
        <v>Pre-Profit</v>
      </c>
      <c r="FT150" s="196">
        <f>COUNTIF($FS$2:$FS$92, FS150)/(COUNTIF($FS$2:$FS$92, "&lt;&gt;""") - COUNTIF($FZ$2:$FZ$92, ""))</f>
        <v>0.51111111111111107</v>
      </c>
      <c r="FU150" s="207"/>
      <c r="FV150" s="192">
        <f t="shared" si="100"/>
        <v>3</v>
      </c>
      <c r="FW150" s="197" t="e">
        <f t="shared" ca="1" si="101"/>
        <v>#NAME?</v>
      </c>
      <c r="FX150" s="209" t="e">
        <f t="shared" ca="1" si="102"/>
        <v>#NAME?</v>
      </c>
      <c r="FY150" s="211" t="e">
        <f t="shared" ca="1" si="273"/>
        <v>#NAME?</v>
      </c>
      <c r="FZ150" s="36" t="str">
        <f t="shared" si="104"/>
        <v>No</v>
      </c>
      <c r="GA150" s="196">
        <f>COUNTIF($FZ$2:$FZ$92, FZ150)/(COUNTIF($FZ$2:$FZ$92, "&lt;&gt;""") - COUNTIF($FZ$2:$FZ$92, ""))</f>
        <v>0.76666666666666672</v>
      </c>
      <c r="GB150" s="196" t="str">
        <f t="shared" si="105"/>
        <v>Low</v>
      </c>
      <c r="GC150" s="196">
        <f>COUNTIF($GB$2:$GB$92, GB150)/(COUNTIF($GB$2:$GB$92, "&lt;&gt;""") - COUNTIF($GB$2:$GB$92, ""))</f>
        <v>0.55555555555555558</v>
      </c>
      <c r="GD150" s="196" t="str">
        <f t="shared" si="106"/>
        <v>High</v>
      </c>
      <c r="GE150" s="196">
        <f>COUNTIF($GD$2:$GD$92, GD150)/(COUNTIF($GD$2:$GD$92, "&lt;&gt;""") - COUNTIF($GD$2:$GD$92, ""))</f>
        <v>0.8</v>
      </c>
      <c r="GF150" s="207"/>
      <c r="GG150" s="36"/>
      <c r="GH150" s="209" t="e">
        <f t="shared" ca="1" si="107"/>
        <v>#NAME?</v>
      </c>
      <c r="GI150" s="212" t="e">
        <f t="shared" ca="1" si="274"/>
        <v>#NAME?</v>
      </c>
    </row>
    <row r="151" spans="1:191" ht="15.75" customHeight="1">
      <c r="A151" s="171"/>
      <c r="B151" s="171" t="s">
        <v>355</v>
      </c>
      <c r="C151" s="16">
        <v>1803418</v>
      </c>
      <c r="D151" s="233" t="s">
        <v>1341</v>
      </c>
      <c r="E151" s="234">
        <v>43881.601388888892</v>
      </c>
      <c r="F151" s="16" t="s">
        <v>344</v>
      </c>
      <c r="G151" s="235" t="s">
        <v>1342</v>
      </c>
      <c r="H151" s="235" t="s">
        <v>1343</v>
      </c>
      <c r="I151" s="241">
        <v>43873</v>
      </c>
      <c r="J151" s="233" t="s">
        <v>1344</v>
      </c>
      <c r="K151" s="233" t="s">
        <v>1341</v>
      </c>
      <c r="M151" s="16" t="s">
        <v>899</v>
      </c>
      <c r="N151" s="16" t="s">
        <v>254</v>
      </c>
      <c r="O151" s="16" t="s">
        <v>30</v>
      </c>
      <c r="P151" s="16" t="s">
        <v>31</v>
      </c>
      <c r="Q151" s="16" t="s">
        <v>35</v>
      </c>
      <c r="S151" s="16" t="s">
        <v>269</v>
      </c>
      <c r="T151" s="237"/>
      <c r="U151" s="213"/>
      <c r="V151" s="54"/>
      <c r="W151" s="54">
        <v>4000000</v>
      </c>
      <c r="X151" s="226">
        <v>0.3</v>
      </c>
      <c r="Y151" s="55">
        <f t="shared" si="158"/>
        <v>2800000</v>
      </c>
      <c r="Z151" s="274">
        <f t="shared" si="159"/>
        <v>2800000</v>
      </c>
      <c r="AA151" s="183" t="e">
        <f t="shared" ca="1" si="160"/>
        <v>#NAME?</v>
      </c>
      <c r="AB151" s="16" t="s">
        <v>178</v>
      </c>
      <c r="AC151" s="16" t="s">
        <v>37</v>
      </c>
      <c r="AD151" s="16" t="s">
        <v>180</v>
      </c>
      <c r="AE151" s="16" t="s">
        <v>227</v>
      </c>
      <c r="AF151" s="16" t="s">
        <v>39</v>
      </c>
      <c r="AG151" s="16" t="s">
        <v>181</v>
      </c>
      <c r="AH151" s="16" t="s">
        <v>190</v>
      </c>
      <c r="AI151" s="54"/>
      <c r="AJ151" s="278">
        <v>90700000000</v>
      </c>
      <c r="AK151" s="224" t="e">
        <f t="shared" ca="1" si="161"/>
        <v>#NAME?</v>
      </c>
      <c r="AL151" s="278">
        <v>100000000</v>
      </c>
      <c r="AM151" s="224" t="e">
        <f t="shared" ca="1" si="162"/>
        <v>#NAME?</v>
      </c>
      <c r="AN151" s="278">
        <v>7.0000000000000007E-2</v>
      </c>
      <c r="AO151" s="185" t="e">
        <f t="shared" ca="1" si="63"/>
        <v>#NAME?</v>
      </c>
      <c r="AP151" s="185" t="s">
        <v>192</v>
      </c>
      <c r="AQ151" s="16" t="s">
        <v>39</v>
      </c>
      <c r="AR151" s="16" t="s">
        <v>181</v>
      </c>
      <c r="AS151" s="16" t="s">
        <v>42</v>
      </c>
      <c r="AT151" s="159" t="s">
        <v>39</v>
      </c>
      <c r="AU151" s="159" t="s">
        <v>39</v>
      </c>
      <c r="AV151" s="16" t="s">
        <v>190</v>
      </c>
      <c r="AW151" s="16" t="s">
        <v>190</v>
      </c>
      <c r="AX151" s="16" t="s">
        <v>190</v>
      </c>
      <c r="AY151" s="16" t="s">
        <v>190</v>
      </c>
      <c r="AZ151" s="54">
        <v>0</v>
      </c>
      <c r="BA151" s="55" t="e">
        <f t="shared" ca="1" si="163"/>
        <v>#NAME?</v>
      </c>
      <c r="BB151" s="278">
        <v>45450</v>
      </c>
      <c r="BC151" s="278">
        <v>465000</v>
      </c>
      <c r="BD151" s="62" t="e">
        <f t="shared" ca="1" si="164"/>
        <v>#NAME?</v>
      </c>
      <c r="BE151" s="277">
        <f t="shared" si="165"/>
        <v>9.7741935483870973E-2</v>
      </c>
      <c r="BF151" s="62" t="e">
        <f t="shared" ca="1" si="166"/>
        <v>#NAME?</v>
      </c>
      <c r="BG151" s="16" t="s">
        <v>202</v>
      </c>
      <c r="BI151" s="16" t="s">
        <v>190</v>
      </c>
      <c r="BJ151" s="16">
        <v>0</v>
      </c>
      <c r="BK151" s="278">
        <v>2</v>
      </c>
      <c r="BL151" s="16" t="s">
        <v>190</v>
      </c>
      <c r="BM151" s="16" t="s">
        <v>190</v>
      </c>
      <c r="BN151" s="16" t="s">
        <v>190</v>
      </c>
      <c r="BO151" s="16" t="s">
        <v>190</v>
      </c>
      <c r="BP151" s="16">
        <v>3</v>
      </c>
      <c r="BQ151" s="16">
        <v>3</v>
      </c>
      <c r="BR151" s="16">
        <v>0</v>
      </c>
      <c r="BS151" s="16">
        <v>0</v>
      </c>
      <c r="BT151" s="205"/>
      <c r="BU151" s="16">
        <v>10</v>
      </c>
      <c r="BV151" s="16">
        <v>0</v>
      </c>
      <c r="BW151" s="16">
        <v>36</v>
      </c>
      <c r="BX151" s="16" t="s">
        <v>190</v>
      </c>
      <c r="BY151" s="205"/>
      <c r="BZ151" s="16">
        <v>10</v>
      </c>
      <c r="CA151" s="16">
        <v>0</v>
      </c>
      <c r="CB151" s="16">
        <v>38</v>
      </c>
      <c r="CC151" s="16" t="s">
        <v>190</v>
      </c>
      <c r="CD151" s="205"/>
      <c r="CI151" s="205"/>
      <c r="CN151" s="205"/>
      <c r="CS151" s="205"/>
      <c r="CX151" s="205"/>
      <c r="DC151" s="205"/>
      <c r="DH151" s="205"/>
      <c r="DM151" s="205"/>
      <c r="DN151" s="205"/>
      <c r="DO151" s="205"/>
      <c r="DQ151" s="206"/>
      <c r="DR151" s="188">
        <f t="shared" si="64"/>
        <v>10</v>
      </c>
      <c r="DS151" s="188"/>
      <c r="DT151" s="189">
        <f t="shared" si="65"/>
        <v>0</v>
      </c>
      <c r="DU151" s="189"/>
      <c r="DV151" s="188">
        <f t="shared" si="66"/>
        <v>37</v>
      </c>
      <c r="DW151" s="183" t="e">
        <f t="shared" ca="1" si="67"/>
        <v>#NAME?</v>
      </c>
      <c r="DX151" s="207"/>
      <c r="DY151" s="190" t="e">
        <f t="shared" ca="1" si="68"/>
        <v>#NAME?</v>
      </c>
      <c r="DZ151" s="191">
        <f t="shared" si="264"/>
        <v>4.1578947368421053</v>
      </c>
      <c r="EA151" s="191" t="str">
        <f t="shared" si="265"/>
        <v/>
      </c>
      <c r="EB151" s="191" t="str">
        <f t="shared" si="266"/>
        <v/>
      </c>
      <c r="EC151" s="208" t="e">
        <f t="shared" ca="1" si="72"/>
        <v>#NAME?</v>
      </c>
      <c r="ED151" s="36" t="str">
        <f t="shared" si="73"/>
        <v>SAFE</v>
      </c>
      <c r="EE151" s="193">
        <f>COUNTIF($ED$2:$ED$92, ED151)/(COUNTIF($ED$2:$ED$92, "&lt;&gt;""") - COUNTIF($ED$2:$ED$92, ""))</f>
        <v>0.37777777777777777</v>
      </c>
      <c r="EF151" s="36" t="str">
        <f t="shared" si="74"/>
        <v>Early</v>
      </c>
      <c r="EG151" s="207"/>
      <c r="EH151" s="194" t="e">
        <f t="shared" ca="1" si="75"/>
        <v>#NAME?</v>
      </c>
      <c r="EI151" s="194" t="e">
        <f t="shared" ca="1" si="76"/>
        <v>#NAME?</v>
      </c>
      <c r="EJ151" s="209" t="e">
        <f t="shared" ca="1" si="77"/>
        <v>#NAME?</v>
      </c>
      <c r="EK151" s="208" t="e">
        <f t="shared" ca="1" si="267"/>
        <v>#NAME?</v>
      </c>
      <c r="EL151" s="36" t="str">
        <f t="shared" si="79"/>
        <v>No</v>
      </c>
      <c r="EM151" s="207"/>
      <c r="EN151" s="192">
        <f t="shared" si="268"/>
        <v>1.9523809523809523</v>
      </c>
      <c r="EO151" s="192">
        <f t="shared" si="269"/>
        <v>1</v>
      </c>
      <c r="EP151" s="209">
        <f t="shared" si="82"/>
        <v>2.9523809523809526</v>
      </c>
      <c r="EQ151" s="210">
        <f t="shared" si="270"/>
        <v>1.7476635514018692</v>
      </c>
      <c r="ER151" s="36" t="e">
        <f t="shared" ca="1" si="84"/>
        <v>#NAME?</v>
      </c>
      <c r="ES151" s="40">
        <f ca="1">COUNTIF($ER$2:$ER$92, ER151)/(COUNTIF($ER$2:$ER$92, "&lt;&gt;""") - COUNTIF($ER$2:$ER$92, ""))</f>
        <v>1</v>
      </c>
      <c r="ET151" s="36">
        <f t="shared" si="85"/>
        <v>2</v>
      </c>
      <c r="EU151" s="40">
        <f>COUNTIF($ET$2:$ET$92, ET151)/(COUNTIF($ET$2:$ET$92, "&lt;&gt;""") - COUNTIF($ET$2:$ET$92, ""))</f>
        <v>0.45555555555555555</v>
      </c>
      <c r="EV151" s="36">
        <f t="shared" si="86"/>
        <v>3</v>
      </c>
      <c r="EW151" s="40">
        <f>COUNTIF($EV$2:$EV$92, EV151)/(COUNTIF($EV$2:$EV$92, "&lt;&gt;""") - COUNTIF($EV$2:$EV$92, ""))</f>
        <v>8.8888888888888892E-2</v>
      </c>
      <c r="EX151" s="36" t="str">
        <f t="shared" si="87"/>
        <v>No</v>
      </c>
      <c r="EY151" s="40">
        <f>COUNTIF($EX$2:$EX$92, EX151)/(COUNTIF($EX$2:$EX$92, "&lt;&gt;""") - COUNTIF($EX$2:$EX$92, ""))</f>
        <v>0.72222222222222221</v>
      </c>
      <c r="EZ151" s="36" t="str">
        <f t="shared" ref="EZ151:FB151" si="284">BM151</f>
        <v>No</v>
      </c>
      <c r="FA151" s="36" t="str">
        <f t="shared" si="284"/>
        <v>No</v>
      </c>
      <c r="FB151" s="36" t="str">
        <f t="shared" si="284"/>
        <v>No</v>
      </c>
      <c r="FC151" s="207"/>
      <c r="FD151" s="36" t="str">
        <f t="shared" si="89"/>
        <v>Recurring</v>
      </c>
      <c r="FE151" s="40">
        <f>COUNTIF($FD$2:$FD$92, FD151)/(COUNTIF($FD$2:$FD$92, "&lt;&gt;""") - COUNTIF($FD$2:$FD$92, ""))</f>
        <v>0.4</v>
      </c>
      <c r="FF151" s="36" t="str">
        <f t="shared" si="90"/>
        <v>B2B</v>
      </c>
      <c r="FG151" s="40">
        <f>COUNTIF($FF$2:$FF$92, FF151)/(COUNTIF($FF$2:$FF$92, "&lt;&gt;""") - COUNTIF($FF$2:$FF$92, ""))</f>
        <v>0.24444444444444444</v>
      </c>
      <c r="FH151" s="36" t="str">
        <f t="shared" si="91"/>
        <v>High</v>
      </c>
      <c r="FI151" s="40">
        <f>COUNTIF($FH$2:$FH$92, FH151)/(COUNTIF($FH$2:$FH$92, "&lt;&gt;""") - COUNTIF($FH$2:$FH$92, ""))</f>
        <v>0.53333333333333333</v>
      </c>
      <c r="FJ151" s="36" t="str">
        <f t="shared" si="92"/>
        <v>Low</v>
      </c>
      <c r="FK151" s="40">
        <f>COUNTIF($FJ$2:$FJ$92, FJ151)/(COUNTIF($FJ$2:$FJ$92, "&lt;&gt;""") - COUNTIF($FJ$2:$FJ$92, ""))</f>
        <v>0.41111111111111109</v>
      </c>
      <c r="FL151" s="207"/>
      <c r="FM151" s="192">
        <f t="shared" si="93"/>
        <v>1</v>
      </c>
      <c r="FN151" s="192" t="e">
        <f t="shared" ca="1" si="94"/>
        <v>#NAME?</v>
      </c>
      <c r="FO151" s="192" t="e">
        <f t="shared" ca="1" si="95"/>
        <v>#NAME?</v>
      </c>
      <c r="FP151" s="192" t="e">
        <f t="shared" ca="1" si="96"/>
        <v>#NAME?</v>
      </c>
      <c r="FQ151" s="209" t="e">
        <f t="shared" ca="1" si="97"/>
        <v>#NAME?</v>
      </c>
      <c r="FR151" s="208" t="e">
        <f t="shared" ca="1" si="272"/>
        <v>#NAME?</v>
      </c>
      <c r="FS151" s="36" t="str">
        <f t="shared" si="99"/>
        <v>Pre-Profit</v>
      </c>
      <c r="FT151" s="196">
        <f>COUNTIF($FS$2:$FS$92, FS151)/(COUNTIF($FS$2:$FS$92, "&lt;&gt;""") - COUNTIF($FZ$2:$FZ$92, ""))</f>
        <v>0.51111111111111107</v>
      </c>
      <c r="FU151" s="207"/>
      <c r="FV151" s="192">
        <f t="shared" si="100"/>
        <v>3</v>
      </c>
      <c r="FW151" s="197" t="e">
        <f t="shared" ca="1" si="101"/>
        <v>#NAME?</v>
      </c>
      <c r="FX151" s="209" t="e">
        <f t="shared" ca="1" si="102"/>
        <v>#NAME?</v>
      </c>
      <c r="FY151" s="211" t="e">
        <f t="shared" ca="1" si="273"/>
        <v>#NAME?</v>
      </c>
      <c r="FZ151" s="36" t="str">
        <f t="shared" si="104"/>
        <v>No</v>
      </c>
      <c r="GA151" s="196">
        <f>COUNTIF($FZ$2:$FZ$92, FZ151)/(COUNTIF($FZ$2:$FZ$92, "&lt;&gt;""") - COUNTIF($FZ$2:$FZ$92, ""))</f>
        <v>0.76666666666666672</v>
      </c>
      <c r="GB151" s="196" t="str">
        <f t="shared" si="105"/>
        <v>High</v>
      </c>
      <c r="GC151" s="196">
        <f>COUNTIF($GB$2:$GB$92, GB151)/(COUNTIF($GB$2:$GB$92, "&lt;&gt;""") - COUNTIF($GB$2:$GB$92, ""))</f>
        <v>0.43333333333333335</v>
      </c>
      <c r="GD151" s="196" t="str">
        <f t="shared" si="106"/>
        <v>High</v>
      </c>
      <c r="GE151" s="196">
        <f>COUNTIF($GD$2:$GD$92, GD151)/(COUNTIF($GD$2:$GD$92, "&lt;&gt;""") - COUNTIF($GD$2:$GD$92, ""))</f>
        <v>0.8</v>
      </c>
      <c r="GF151" s="207"/>
      <c r="GG151" s="36"/>
      <c r="GH151" s="209" t="e">
        <f t="shared" ca="1" si="107"/>
        <v>#NAME?</v>
      </c>
      <c r="GI151" s="212" t="e">
        <f t="shared" ca="1" si="274"/>
        <v>#NAME?</v>
      </c>
    </row>
    <row r="152" spans="1:191" ht="15.75" customHeight="1">
      <c r="A152" s="171"/>
      <c r="B152" s="171" t="s">
        <v>355</v>
      </c>
      <c r="C152" s="16">
        <v>1802405</v>
      </c>
      <c r="D152" s="233" t="s">
        <v>1345</v>
      </c>
      <c r="E152" s="234">
        <v>43881.604166666664</v>
      </c>
      <c r="F152" s="16" t="s">
        <v>344</v>
      </c>
      <c r="G152" s="235" t="s">
        <v>1346</v>
      </c>
      <c r="H152" s="235" t="s">
        <v>1347</v>
      </c>
      <c r="I152" s="241">
        <v>43865</v>
      </c>
      <c r="J152" s="233" t="s">
        <v>1348</v>
      </c>
      <c r="K152" s="233" t="s">
        <v>1345</v>
      </c>
      <c r="M152" s="16" t="s">
        <v>323</v>
      </c>
      <c r="N152" s="16" t="s">
        <v>29</v>
      </c>
      <c r="O152" s="16" t="s">
        <v>30</v>
      </c>
      <c r="P152" s="16" t="s">
        <v>31</v>
      </c>
      <c r="Q152" s="16" t="s">
        <v>35</v>
      </c>
      <c r="S152" s="16" t="s">
        <v>269</v>
      </c>
      <c r="T152" s="237"/>
      <c r="U152" s="213"/>
      <c r="V152" s="54"/>
      <c r="W152" s="54">
        <v>6000000</v>
      </c>
      <c r="X152" s="226">
        <v>0.1</v>
      </c>
      <c r="Y152" s="55">
        <f t="shared" si="158"/>
        <v>5400000</v>
      </c>
      <c r="Z152" s="274">
        <f t="shared" si="159"/>
        <v>5400000</v>
      </c>
      <c r="AA152" s="183" t="e">
        <f t="shared" ca="1" si="160"/>
        <v>#NAME?</v>
      </c>
      <c r="AB152" s="16" t="s">
        <v>36</v>
      </c>
      <c r="AC152" s="16" t="s">
        <v>37</v>
      </c>
      <c r="AD152" s="16" t="s">
        <v>180</v>
      </c>
      <c r="AE152" s="16" t="s">
        <v>227</v>
      </c>
      <c r="AF152" s="16" t="s">
        <v>181</v>
      </c>
      <c r="AG152" s="16" t="s">
        <v>181</v>
      </c>
      <c r="AH152" s="16" t="s">
        <v>227</v>
      </c>
      <c r="AI152" s="54"/>
      <c r="AJ152" s="278">
        <v>333000000000</v>
      </c>
      <c r="AK152" s="224" t="e">
        <f t="shared" ca="1" si="161"/>
        <v>#NAME?</v>
      </c>
      <c r="AL152" s="278">
        <v>1100000000</v>
      </c>
      <c r="AM152" s="224" t="e">
        <f t="shared" ca="1" si="162"/>
        <v>#NAME?</v>
      </c>
      <c r="AN152" s="278">
        <v>0.19</v>
      </c>
      <c r="AO152" s="185" t="e">
        <f t="shared" ca="1" si="63"/>
        <v>#NAME?</v>
      </c>
      <c r="AP152" s="185" t="s">
        <v>169</v>
      </c>
      <c r="AQ152" s="16" t="s">
        <v>39</v>
      </c>
      <c r="AR152" s="16" t="s">
        <v>39</v>
      </c>
      <c r="AS152" s="16" t="s">
        <v>182</v>
      </c>
      <c r="AT152" s="159" t="s">
        <v>181</v>
      </c>
      <c r="AU152" s="159" t="s">
        <v>181</v>
      </c>
      <c r="AV152" s="16" t="s">
        <v>190</v>
      </c>
      <c r="AW152" s="16" t="s">
        <v>190</v>
      </c>
      <c r="AX152" s="16" t="s">
        <v>190</v>
      </c>
      <c r="AY152" s="16" t="s">
        <v>190</v>
      </c>
      <c r="AZ152" s="54">
        <v>0</v>
      </c>
      <c r="BA152" s="55" t="e">
        <f t="shared" ca="1" si="163"/>
        <v>#NAME?</v>
      </c>
      <c r="BB152" s="278">
        <v>1047</v>
      </c>
      <c r="BC152" s="278">
        <v>0</v>
      </c>
      <c r="BD152" s="62" t="e">
        <f t="shared" ca="1" si="164"/>
        <v>#NAME?</v>
      </c>
      <c r="BE152" s="277">
        <f t="shared" si="165"/>
        <v>1</v>
      </c>
      <c r="BF152" s="62" t="e">
        <f t="shared" ca="1" si="166"/>
        <v>#NAME?</v>
      </c>
      <c r="BG152" s="16" t="s">
        <v>43</v>
      </c>
      <c r="BI152" s="16" t="s">
        <v>190</v>
      </c>
      <c r="BJ152" s="16">
        <v>0</v>
      </c>
      <c r="BK152" s="278">
        <v>1</v>
      </c>
      <c r="BL152" s="16" t="s">
        <v>190</v>
      </c>
      <c r="BM152" s="16" t="s">
        <v>227</v>
      </c>
      <c r="BN152" s="16" t="s">
        <v>227</v>
      </c>
      <c r="BO152" s="16" t="s">
        <v>190</v>
      </c>
      <c r="BP152" s="16">
        <v>1</v>
      </c>
      <c r="BQ152" s="16">
        <v>1</v>
      </c>
      <c r="BR152" s="16">
        <v>0</v>
      </c>
      <c r="BS152" s="16">
        <v>0</v>
      </c>
      <c r="BT152" s="205"/>
      <c r="BU152" s="16">
        <v>5</v>
      </c>
      <c r="BV152" s="16">
        <v>0</v>
      </c>
      <c r="BW152" s="16">
        <v>27</v>
      </c>
      <c r="BX152" s="16" t="s">
        <v>190</v>
      </c>
      <c r="BY152" s="205"/>
      <c r="CD152" s="205"/>
      <c r="CI152" s="205"/>
      <c r="CN152" s="205"/>
      <c r="CS152" s="205"/>
      <c r="CX152" s="205"/>
      <c r="DC152" s="205"/>
      <c r="DH152" s="205"/>
      <c r="DM152" s="205"/>
      <c r="DN152" s="205"/>
      <c r="DO152" s="205"/>
      <c r="DQ152" s="206"/>
      <c r="DR152" s="188">
        <f t="shared" si="64"/>
        <v>5</v>
      </c>
      <c r="DS152" s="188"/>
      <c r="DT152" s="189">
        <f t="shared" si="65"/>
        <v>0</v>
      </c>
      <c r="DU152" s="189"/>
      <c r="DV152" s="188">
        <f t="shared" si="66"/>
        <v>27</v>
      </c>
      <c r="DW152" s="183" t="e">
        <f t="shared" ca="1" si="67"/>
        <v>#NAME?</v>
      </c>
      <c r="DX152" s="207"/>
      <c r="DY152" s="190" t="e">
        <f t="shared" ca="1" si="68"/>
        <v>#NAME?</v>
      </c>
      <c r="DZ152" s="191">
        <f t="shared" si="264"/>
        <v>2.0526315789473681</v>
      </c>
      <c r="EA152" s="191" t="str">
        <f t="shared" si="265"/>
        <v/>
      </c>
      <c r="EB152" s="191" t="str">
        <f t="shared" si="266"/>
        <v/>
      </c>
      <c r="EC152" s="208" t="e">
        <f t="shared" ca="1" si="72"/>
        <v>#NAME?</v>
      </c>
      <c r="ED152" s="36" t="str">
        <f t="shared" si="73"/>
        <v>SAFE</v>
      </c>
      <c r="EE152" s="193">
        <f>COUNTIF($ED$2:$ED$92, ED152)/(COUNTIF($ED$2:$ED$92, "&lt;&gt;""") - COUNTIF($ED$2:$ED$92, ""))</f>
        <v>0.37777777777777777</v>
      </c>
      <c r="EF152" s="36" t="str">
        <f t="shared" si="74"/>
        <v>Early</v>
      </c>
      <c r="EG152" s="207"/>
      <c r="EH152" s="194" t="e">
        <f t="shared" ca="1" si="75"/>
        <v>#NAME?</v>
      </c>
      <c r="EI152" s="194" t="e">
        <f t="shared" ca="1" si="76"/>
        <v>#NAME?</v>
      </c>
      <c r="EJ152" s="209" t="e">
        <f t="shared" ca="1" si="77"/>
        <v>#NAME?</v>
      </c>
      <c r="EK152" s="208" t="e">
        <f t="shared" ca="1" si="267"/>
        <v>#NAME?</v>
      </c>
      <c r="EL152" s="36" t="str">
        <f t="shared" si="79"/>
        <v>No</v>
      </c>
      <c r="EM152" s="207"/>
      <c r="EN152" s="192">
        <f t="shared" si="268"/>
        <v>1.4761904761904763</v>
      </c>
      <c r="EO152" s="192">
        <f t="shared" si="269"/>
        <v>1</v>
      </c>
      <c r="EP152" s="209">
        <f t="shared" si="82"/>
        <v>2.4761904761904763</v>
      </c>
      <c r="EQ152" s="210">
        <f t="shared" si="270"/>
        <v>1.3738317757009346</v>
      </c>
      <c r="ER152" s="36" t="e">
        <f t="shared" ca="1" si="84"/>
        <v>#NAME?</v>
      </c>
      <c r="ES152" s="40">
        <f ca="1">COUNTIF($ER$2:$ER$92, ER152)/(COUNTIF($ER$2:$ER$92, "&lt;&gt;""") - COUNTIF($ER$2:$ER$92, ""))</f>
        <v>1</v>
      </c>
      <c r="ET152" s="36">
        <f t="shared" si="85"/>
        <v>1</v>
      </c>
      <c r="EU152" s="40">
        <f>COUNTIF($ET$2:$ET$92, ET152)/(COUNTIF($ET$2:$ET$92, "&lt;&gt;""") - COUNTIF($ET$2:$ET$92, ""))</f>
        <v>0.45555555555555555</v>
      </c>
      <c r="EV152" s="36">
        <f t="shared" si="86"/>
        <v>1</v>
      </c>
      <c r="EW152" s="40">
        <f>COUNTIF($EV$2:$EV$92, EV152)/(COUNTIF($EV$2:$EV$92, "&lt;&gt;""") - COUNTIF($EV$2:$EV$92, ""))</f>
        <v>7.7777777777777779E-2</v>
      </c>
      <c r="EX152" s="36" t="str">
        <f t="shared" si="87"/>
        <v>No</v>
      </c>
      <c r="EY152" s="40">
        <f>COUNTIF($EX$2:$EX$92, EX152)/(COUNTIF($EX$2:$EX$92, "&lt;&gt;""") - COUNTIF($EX$2:$EX$92, ""))</f>
        <v>0.72222222222222221</v>
      </c>
      <c r="EZ152" s="36" t="str">
        <f t="shared" ref="EZ152:FB152" si="285">BM152</f>
        <v>Yes</v>
      </c>
      <c r="FA152" s="36" t="str">
        <f t="shared" si="285"/>
        <v>Yes</v>
      </c>
      <c r="FB152" s="36" t="str">
        <f t="shared" si="285"/>
        <v>No</v>
      </c>
      <c r="FC152" s="207"/>
      <c r="FD152" s="36" t="str">
        <f t="shared" si="89"/>
        <v>Transactional</v>
      </c>
      <c r="FE152" s="40">
        <f>COUNTIF($FD$2:$FD$92, FD152)/(COUNTIF($FD$2:$FD$92, "&lt;&gt;""") - COUNTIF($FD$2:$FD$92, ""))</f>
        <v>0.6</v>
      </c>
      <c r="FF152" s="36" t="str">
        <f t="shared" si="90"/>
        <v>B2B</v>
      </c>
      <c r="FG152" s="40">
        <f>COUNTIF($FF$2:$FF$92, FF152)/(COUNTIF($FF$2:$FF$92, "&lt;&gt;""") - COUNTIF($FF$2:$FF$92, ""))</f>
        <v>0.24444444444444444</v>
      </c>
      <c r="FH152" s="36" t="str">
        <f t="shared" si="91"/>
        <v>Low</v>
      </c>
      <c r="FI152" s="40">
        <f>COUNTIF($FH$2:$FH$92, FH152)/(COUNTIF($FH$2:$FH$92, "&lt;&gt;""") - COUNTIF($FH$2:$FH$92, ""))</f>
        <v>0.46666666666666667</v>
      </c>
      <c r="FJ152" s="36" t="str">
        <f t="shared" si="92"/>
        <v>Low</v>
      </c>
      <c r="FK152" s="40">
        <f>COUNTIF($FJ$2:$FJ$92, FJ152)/(COUNTIF($FJ$2:$FJ$92, "&lt;&gt;""") - COUNTIF($FJ$2:$FJ$92, ""))</f>
        <v>0.41111111111111109</v>
      </c>
      <c r="FL152" s="207"/>
      <c r="FM152" s="192">
        <f t="shared" si="93"/>
        <v>1</v>
      </c>
      <c r="FN152" s="192" t="e">
        <f t="shared" ca="1" si="94"/>
        <v>#NAME?</v>
      </c>
      <c r="FO152" s="192" t="e">
        <f t="shared" ca="1" si="95"/>
        <v>#NAME?</v>
      </c>
      <c r="FP152" s="192" t="e">
        <f t="shared" ca="1" si="96"/>
        <v>#NAME?</v>
      </c>
      <c r="FQ152" s="209" t="e">
        <f t="shared" ca="1" si="97"/>
        <v>#NAME?</v>
      </c>
      <c r="FR152" s="208" t="e">
        <f t="shared" ca="1" si="272"/>
        <v>#NAME?</v>
      </c>
      <c r="FS152" s="36" t="str">
        <f t="shared" si="99"/>
        <v>Pre-Product</v>
      </c>
      <c r="FT152" s="196">
        <f>COUNTIF($FS$2:$FS$92, FS152)/(COUNTIF($FS$2:$FS$92, "&lt;&gt;""") - COUNTIF($FZ$2:$FZ$92, ""))</f>
        <v>0.22222222222222221</v>
      </c>
      <c r="FU152" s="207"/>
      <c r="FV152" s="192" t="e">
        <f t="shared" ca="1" si="100"/>
        <v>#NAME?</v>
      </c>
      <c r="FW152" s="197" t="e">
        <f t="shared" ca="1" si="101"/>
        <v>#NAME?</v>
      </c>
      <c r="FX152" s="209" t="e">
        <f t="shared" ca="1" si="102"/>
        <v>#NAME?</v>
      </c>
      <c r="FY152" s="211" t="e">
        <f t="shared" ca="1" si="273"/>
        <v>#NAME?</v>
      </c>
      <c r="FZ152" s="36" t="str">
        <f t="shared" si="104"/>
        <v>No</v>
      </c>
      <c r="GA152" s="196">
        <f>COUNTIF($FZ$2:$FZ$92, FZ152)/(COUNTIF($FZ$2:$FZ$92, "&lt;&gt;""") - COUNTIF($FZ$2:$FZ$92, ""))</f>
        <v>0.76666666666666672</v>
      </c>
      <c r="GB152" s="196" t="str">
        <f t="shared" si="105"/>
        <v>Low</v>
      </c>
      <c r="GC152" s="196">
        <f>COUNTIF($GB$2:$GB$92, GB152)/(COUNTIF($GB$2:$GB$92, "&lt;&gt;""") - COUNTIF($GB$2:$GB$92, ""))</f>
        <v>0.55555555555555558</v>
      </c>
      <c r="GD152" s="196" t="str">
        <f t="shared" si="106"/>
        <v>Low</v>
      </c>
      <c r="GE152" s="196">
        <f>COUNTIF($GD$2:$GD$92, GD152)/(COUNTIF($GD$2:$GD$92, "&lt;&gt;""") - COUNTIF($GD$2:$GD$92, ""))</f>
        <v>0.18888888888888888</v>
      </c>
      <c r="GF152" s="207"/>
      <c r="GG152" s="36"/>
      <c r="GH152" s="209" t="e">
        <f t="shared" ca="1" si="107"/>
        <v>#NAME?</v>
      </c>
      <c r="GI152" s="212" t="e">
        <f t="shared" ca="1" si="274"/>
        <v>#NAME?</v>
      </c>
    </row>
    <row r="153" spans="1:191" ht="15.75" customHeight="1">
      <c r="A153" s="171"/>
      <c r="B153" s="171" t="s">
        <v>355</v>
      </c>
      <c r="C153" s="16">
        <v>1798352</v>
      </c>
      <c r="D153" s="233" t="s">
        <v>1349</v>
      </c>
      <c r="E153" s="234">
        <v>43882.438194444447</v>
      </c>
      <c r="F153" s="16" t="s">
        <v>316</v>
      </c>
      <c r="G153" s="235" t="s">
        <v>1350</v>
      </c>
      <c r="H153" s="235" t="s">
        <v>1351</v>
      </c>
      <c r="I153" s="241">
        <v>43906</v>
      </c>
      <c r="J153" s="233" t="s">
        <v>1352</v>
      </c>
      <c r="K153" s="233" t="s">
        <v>1349</v>
      </c>
      <c r="M153" s="29" t="s">
        <v>253</v>
      </c>
      <c r="N153" s="16" t="s">
        <v>244</v>
      </c>
      <c r="O153" s="16" t="s">
        <v>30</v>
      </c>
      <c r="P153" s="16" t="s">
        <v>31</v>
      </c>
      <c r="Q153" s="16" t="s">
        <v>35</v>
      </c>
      <c r="S153" s="16" t="s">
        <v>216</v>
      </c>
      <c r="T153" s="237"/>
      <c r="U153" s="213"/>
      <c r="V153" s="54">
        <v>2587500</v>
      </c>
      <c r="X153" s="226"/>
      <c r="Y153" s="55" t="str">
        <f t="shared" si="158"/>
        <v/>
      </c>
      <c r="Z153" s="274">
        <f t="shared" si="159"/>
        <v>2587500</v>
      </c>
      <c r="AA153" s="183" t="e">
        <f t="shared" ca="1" si="160"/>
        <v>#NAME?</v>
      </c>
      <c r="AB153" s="16" t="s">
        <v>178</v>
      </c>
      <c r="AC153" s="16" t="s">
        <v>218</v>
      </c>
      <c r="AD153" s="16" t="s">
        <v>180</v>
      </c>
      <c r="AE153" s="16" t="s">
        <v>227</v>
      </c>
      <c r="AF153" s="16" t="s">
        <v>39</v>
      </c>
      <c r="AG153" s="16" t="s">
        <v>181</v>
      </c>
      <c r="AH153" s="16" t="s">
        <v>190</v>
      </c>
      <c r="AI153" s="54"/>
      <c r="AJ153" s="278">
        <v>6000000000000</v>
      </c>
      <c r="AK153" s="224" t="e">
        <f t="shared" ca="1" si="161"/>
        <v>#NAME?</v>
      </c>
      <c r="AL153" s="278">
        <v>100000000000</v>
      </c>
      <c r="AM153" s="224" t="e">
        <f t="shared" ca="1" si="162"/>
        <v>#NAME?</v>
      </c>
      <c r="AN153" s="278">
        <v>0.17</v>
      </c>
      <c r="AO153" s="185" t="e">
        <f t="shared" ca="1" si="63"/>
        <v>#NAME?</v>
      </c>
      <c r="AP153" s="185" t="s">
        <v>211</v>
      </c>
      <c r="AQ153" s="16" t="s">
        <v>181</v>
      </c>
      <c r="AR153" s="16" t="s">
        <v>181</v>
      </c>
      <c r="AS153" s="16" t="s">
        <v>201</v>
      </c>
      <c r="AT153" s="159" t="s">
        <v>181</v>
      </c>
      <c r="AU153" s="159" t="s">
        <v>39</v>
      </c>
      <c r="AV153" s="16" t="s">
        <v>190</v>
      </c>
      <c r="AW153" s="16" t="s">
        <v>190</v>
      </c>
      <c r="AX153" s="16" t="s">
        <v>190</v>
      </c>
      <c r="AY153" s="16" t="s">
        <v>190</v>
      </c>
      <c r="AZ153" s="54">
        <v>0</v>
      </c>
      <c r="BA153" s="55" t="e">
        <f t="shared" ca="1" si="163"/>
        <v>#NAME?</v>
      </c>
      <c r="BB153" s="278">
        <v>838</v>
      </c>
      <c r="BC153" s="278">
        <v>0</v>
      </c>
      <c r="BD153" s="62" t="e">
        <f t="shared" ca="1" si="164"/>
        <v>#NAME?</v>
      </c>
      <c r="BE153" s="277">
        <f t="shared" si="165"/>
        <v>1</v>
      </c>
      <c r="BF153" s="62" t="e">
        <f t="shared" ca="1" si="166"/>
        <v>#NAME?</v>
      </c>
      <c r="BG153" s="16" t="s">
        <v>43</v>
      </c>
      <c r="BI153" s="16" t="s">
        <v>190</v>
      </c>
      <c r="BJ153" s="16">
        <v>0</v>
      </c>
      <c r="BK153" s="278">
        <v>3</v>
      </c>
      <c r="BL153" s="16" t="s">
        <v>190</v>
      </c>
      <c r="BM153" s="16" t="s">
        <v>227</v>
      </c>
      <c r="BN153" s="16" t="s">
        <v>190</v>
      </c>
      <c r="BO153" s="16" t="s">
        <v>190</v>
      </c>
      <c r="BP153" s="16">
        <v>4</v>
      </c>
      <c r="BQ153" s="16">
        <v>3</v>
      </c>
      <c r="BR153" s="16">
        <v>0</v>
      </c>
      <c r="BS153" s="16">
        <v>0</v>
      </c>
      <c r="BT153" s="205"/>
      <c r="BU153" s="16">
        <v>10</v>
      </c>
      <c r="BV153" s="16">
        <v>0</v>
      </c>
      <c r="BW153" s="16">
        <v>60</v>
      </c>
      <c r="BX153" s="16" t="s">
        <v>190</v>
      </c>
      <c r="BY153" s="205"/>
      <c r="BZ153" s="16">
        <v>15</v>
      </c>
      <c r="CA153" s="16">
        <v>0</v>
      </c>
      <c r="CB153" s="16">
        <v>60</v>
      </c>
      <c r="CC153" s="16" t="s">
        <v>190</v>
      </c>
      <c r="CD153" s="205"/>
      <c r="CE153" s="16">
        <v>10</v>
      </c>
      <c r="CF153" s="16">
        <v>0</v>
      </c>
      <c r="CG153" s="16">
        <v>50</v>
      </c>
      <c r="CH153" s="16" t="s">
        <v>190</v>
      </c>
      <c r="CI153" s="205"/>
      <c r="CN153" s="205"/>
      <c r="CS153" s="205"/>
      <c r="CX153" s="205"/>
      <c r="DC153" s="205"/>
      <c r="DH153" s="205"/>
      <c r="DM153" s="205"/>
      <c r="DN153" s="205"/>
      <c r="DO153" s="205"/>
      <c r="DQ153" s="206"/>
      <c r="DR153" s="188">
        <f t="shared" si="64"/>
        <v>11.666666666666666</v>
      </c>
      <c r="DS153" s="188"/>
      <c r="DT153" s="189">
        <f t="shared" si="65"/>
        <v>0</v>
      </c>
      <c r="DU153" s="189"/>
      <c r="DV153" s="188">
        <f t="shared" si="66"/>
        <v>56.666666666666664</v>
      </c>
      <c r="DW153" s="183" t="e">
        <f t="shared" ca="1" si="67"/>
        <v>#NAME?</v>
      </c>
      <c r="DX153" s="207"/>
      <c r="DY153" s="190" t="e">
        <f t="shared" ca="1" si="68"/>
        <v>#NAME?</v>
      </c>
      <c r="DZ153" s="191" t="str">
        <f t="shared" si="264"/>
        <v/>
      </c>
      <c r="EA153" s="191" t="str">
        <f t="shared" si="265"/>
        <v/>
      </c>
      <c r="EB153" s="191" t="str">
        <f t="shared" si="266"/>
        <v/>
      </c>
      <c r="EC153" s="208" t="e">
        <f t="shared" ca="1" si="72"/>
        <v>#NAME?</v>
      </c>
      <c r="ED153" s="36" t="str">
        <f t="shared" si="73"/>
        <v>Equity - Common</v>
      </c>
      <c r="EE153" s="193">
        <f>COUNTIF($ED$2:$ED$92, ED153)/(COUNTIF($ED$2:$ED$92, "&lt;&gt;""") - COUNTIF($ED$2:$ED$92, ""))</f>
        <v>0.32222222222222224</v>
      </c>
      <c r="EF153" s="36" t="str">
        <f t="shared" si="74"/>
        <v>Early</v>
      </c>
      <c r="EG153" s="207"/>
      <c r="EH153" s="194" t="e">
        <f t="shared" ca="1" si="75"/>
        <v>#NAME?</v>
      </c>
      <c r="EI153" s="194" t="e">
        <f t="shared" ca="1" si="76"/>
        <v>#NAME?</v>
      </c>
      <c r="EJ153" s="209" t="e">
        <f t="shared" ca="1" si="77"/>
        <v>#NAME?</v>
      </c>
      <c r="EK153" s="208" t="e">
        <f t="shared" ca="1" si="267"/>
        <v>#NAME?</v>
      </c>
      <c r="EL153" s="36" t="str">
        <f t="shared" si="79"/>
        <v>No</v>
      </c>
      <c r="EM153" s="207"/>
      <c r="EN153" s="192">
        <f t="shared" si="268"/>
        <v>2.1111111111111112</v>
      </c>
      <c r="EO153" s="192">
        <f t="shared" si="269"/>
        <v>1</v>
      </c>
      <c r="EP153" s="209">
        <f t="shared" si="82"/>
        <v>3.1111111111111112</v>
      </c>
      <c r="EQ153" s="210">
        <f t="shared" si="270"/>
        <v>1.8722741433021808</v>
      </c>
      <c r="ER153" s="36" t="e">
        <f t="shared" ca="1" si="84"/>
        <v>#NAME?</v>
      </c>
      <c r="ES153" s="40">
        <f ca="1">COUNTIF($ER$2:$ER$92, ER153)/(COUNTIF($ER$2:$ER$92, "&lt;&gt;""") - COUNTIF($ER$2:$ER$92, ""))</f>
        <v>1</v>
      </c>
      <c r="ET153" s="36">
        <f t="shared" si="85"/>
        <v>3</v>
      </c>
      <c r="EU153" s="40">
        <f>COUNTIF($ET$2:$ET$92, ET153)/(COUNTIF($ET$2:$ET$92, "&lt;&gt;""") - COUNTIF($ET$2:$ET$92, ""))</f>
        <v>4.4444444444444446E-2</v>
      </c>
      <c r="EV153" s="36">
        <f t="shared" si="86"/>
        <v>3</v>
      </c>
      <c r="EW153" s="40">
        <f>COUNTIF($EV$2:$EV$92, EV153)/(COUNTIF($EV$2:$EV$92, "&lt;&gt;""") - COUNTIF($EV$2:$EV$92, ""))</f>
        <v>8.8888888888888892E-2</v>
      </c>
      <c r="EX153" s="36" t="str">
        <f t="shared" si="87"/>
        <v>No</v>
      </c>
      <c r="EY153" s="40">
        <f>COUNTIF($EX$2:$EX$92, EX153)/(COUNTIF($EX$2:$EX$92, "&lt;&gt;""") - COUNTIF($EX$2:$EX$92, ""))</f>
        <v>0.72222222222222221</v>
      </c>
      <c r="EZ153" s="36" t="str">
        <f t="shared" ref="EZ153:FB153" si="286">BM153</f>
        <v>Yes</v>
      </c>
      <c r="FA153" s="36" t="str">
        <f t="shared" si="286"/>
        <v>No</v>
      </c>
      <c r="FB153" s="36" t="str">
        <f t="shared" si="286"/>
        <v>No</v>
      </c>
      <c r="FC153" s="207"/>
      <c r="FD153" s="36" t="str">
        <f t="shared" si="89"/>
        <v>Recurring</v>
      </c>
      <c r="FE153" s="40">
        <f>COUNTIF($FD$2:$FD$92, FD153)/(COUNTIF($FD$2:$FD$92, "&lt;&gt;""") - COUNTIF($FD$2:$FD$92, ""))</f>
        <v>0.4</v>
      </c>
      <c r="FF153" s="36" t="str">
        <f t="shared" si="90"/>
        <v>B2B/B2C</v>
      </c>
      <c r="FG153" s="40">
        <f>COUNTIF($FF$2:$FF$92, FF153)/(COUNTIF($FF$2:$FF$92, "&lt;&gt;""") - COUNTIF($FF$2:$FF$92, ""))</f>
        <v>0.27777777777777779</v>
      </c>
      <c r="FH153" s="36" t="str">
        <f t="shared" si="91"/>
        <v>High</v>
      </c>
      <c r="FI153" s="40">
        <f>COUNTIF($FH$2:$FH$92, FH153)/(COUNTIF($FH$2:$FH$92, "&lt;&gt;""") - COUNTIF($FH$2:$FH$92, ""))</f>
        <v>0.53333333333333333</v>
      </c>
      <c r="FJ153" s="36" t="str">
        <f t="shared" si="92"/>
        <v>Low</v>
      </c>
      <c r="FK153" s="40">
        <f>COUNTIF($FJ$2:$FJ$92, FJ153)/(COUNTIF($FJ$2:$FJ$92, "&lt;&gt;""") - COUNTIF($FJ$2:$FJ$92, ""))</f>
        <v>0.41111111111111109</v>
      </c>
      <c r="FL153" s="207"/>
      <c r="FM153" s="192">
        <f t="shared" si="93"/>
        <v>1</v>
      </c>
      <c r="FN153" s="192" t="e">
        <f t="shared" ca="1" si="94"/>
        <v>#NAME?</v>
      </c>
      <c r="FO153" s="192" t="e">
        <f t="shared" ca="1" si="95"/>
        <v>#NAME?</v>
      </c>
      <c r="FP153" s="192" t="e">
        <f t="shared" ca="1" si="96"/>
        <v>#NAME?</v>
      </c>
      <c r="FQ153" s="209" t="e">
        <f t="shared" ca="1" si="97"/>
        <v>#NAME?</v>
      </c>
      <c r="FR153" s="208" t="e">
        <f t="shared" ca="1" si="272"/>
        <v>#NAME?</v>
      </c>
      <c r="FS153" s="36" t="str">
        <f t="shared" si="99"/>
        <v>Pre-Product</v>
      </c>
      <c r="FT153" s="196">
        <f>COUNTIF($FS$2:$FS$92, FS153)/(COUNTIF($FS$2:$FS$92, "&lt;&gt;""") - COUNTIF($FZ$2:$FZ$92, ""))</f>
        <v>0.22222222222222221</v>
      </c>
      <c r="FU153" s="207"/>
      <c r="FV153" s="192" t="e">
        <f t="shared" ca="1" si="100"/>
        <v>#NAME?</v>
      </c>
      <c r="FW153" s="197" t="e">
        <f t="shared" ca="1" si="101"/>
        <v>#NAME?</v>
      </c>
      <c r="FX153" s="209" t="e">
        <f t="shared" ca="1" si="102"/>
        <v>#NAME?</v>
      </c>
      <c r="FY153" s="211" t="e">
        <f t="shared" ca="1" si="273"/>
        <v>#NAME?</v>
      </c>
      <c r="FZ153" s="36" t="str">
        <f t="shared" si="104"/>
        <v>No</v>
      </c>
      <c r="GA153" s="196">
        <f>COUNTIF($FZ$2:$FZ$92, FZ153)/(COUNTIF($FZ$2:$FZ$92, "&lt;&gt;""") - COUNTIF($FZ$2:$FZ$92, ""))</f>
        <v>0.76666666666666672</v>
      </c>
      <c r="GB153" s="196" t="str">
        <f t="shared" si="105"/>
        <v>Low</v>
      </c>
      <c r="GC153" s="196">
        <f>COUNTIF($GB$2:$GB$92, GB153)/(COUNTIF($GB$2:$GB$92, "&lt;&gt;""") - COUNTIF($GB$2:$GB$92, ""))</f>
        <v>0.55555555555555558</v>
      </c>
      <c r="GD153" s="196" t="str">
        <f t="shared" si="106"/>
        <v>High</v>
      </c>
      <c r="GE153" s="196">
        <f>COUNTIF($GD$2:$GD$92, GD153)/(COUNTIF($GD$2:$GD$92, "&lt;&gt;""") - COUNTIF($GD$2:$GD$92, ""))</f>
        <v>0.8</v>
      </c>
      <c r="GF153" s="207"/>
      <c r="GG153" s="36"/>
      <c r="GH153" s="209" t="e">
        <f t="shared" ca="1" si="107"/>
        <v>#NAME?</v>
      </c>
      <c r="GI153" s="212" t="e">
        <f t="shared" ca="1" si="274"/>
        <v>#NAME?</v>
      </c>
    </row>
    <row r="154" spans="1:191" ht="15.75" customHeight="1">
      <c r="A154" s="171"/>
      <c r="B154" s="171" t="s">
        <v>355</v>
      </c>
      <c r="C154" s="16">
        <v>1792121</v>
      </c>
      <c r="D154" s="233" t="s">
        <v>1353</v>
      </c>
      <c r="E154" s="234">
        <v>43882.440972222219</v>
      </c>
      <c r="F154" s="16" t="s">
        <v>329</v>
      </c>
      <c r="G154" s="235" t="s">
        <v>1354</v>
      </c>
      <c r="H154" s="235" t="s">
        <v>1355</v>
      </c>
      <c r="I154" s="241">
        <v>43881</v>
      </c>
      <c r="J154" s="233" t="s">
        <v>1356</v>
      </c>
      <c r="K154" s="233" t="s">
        <v>1353</v>
      </c>
      <c r="M154" s="16" t="s">
        <v>459</v>
      </c>
      <c r="N154" s="16" t="s">
        <v>315</v>
      </c>
      <c r="O154" s="16" t="s">
        <v>30</v>
      </c>
      <c r="P154" s="16" t="s">
        <v>174</v>
      </c>
      <c r="Q154" s="16" t="s">
        <v>35</v>
      </c>
      <c r="S154" s="16" t="s">
        <v>269</v>
      </c>
      <c r="T154" s="237"/>
      <c r="U154" s="213"/>
      <c r="V154" s="54"/>
      <c r="W154" s="54">
        <v>6000000</v>
      </c>
      <c r="X154" s="226">
        <v>0</v>
      </c>
      <c r="Y154" s="55">
        <f t="shared" si="158"/>
        <v>6000000</v>
      </c>
      <c r="Z154" s="274">
        <f t="shared" si="159"/>
        <v>6000000</v>
      </c>
      <c r="AA154" s="183" t="e">
        <f t="shared" ca="1" si="160"/>
        <v>#NAME?</v>
      </c>
      <c r="AB154" s="16" t="s">
        <v>36</v>
      </c>
      <c r="AC154" s="16" t="s">
        <v>218</v>
      </c>
      <c r="AD154" s="16" t="s">
        <v>180</v>
      </c>
      <c r="AE154" s="16" t="s">
        <v>227</v>
      </c>
      <c r="AF154" s="16" t="s">
        <v>181</v>
      </c>
      <c r="AG154" s="16" t="s">
        <v>181</v>
      </c>
      <c r="AH154" s="16" t="s">
        <v>190</v>
      </c>
      <c r="AI154" s="54"/>
      <c r="AJ154" s="278">
        <v>2000000000000</v>
      </c>
      <c r="AK154" s="224" t="e">
        <f t="shared" ca="1" si="161"/>
        <v>#NAME?</v>
      </c>
      <c r="AL154" s="278">
        <v>72000000000</v>
      </c>
      <c r="AM154" s="224" t="e">
        <f t="shared" ca="1" si="162"/>
        <v>#NAME?</v>
      </c>
      <c r="AN154" s="278">
        <v>0.09</v>
      </c>
      <c r="AO154" s="185" t="e">
        <f t="shared" ca="1" si="63"/>
        <v>#NAME?</v>
      </c>
      <c r="AP154" s="185" t="s">
        <v>228</v>
      </c>
      <c r="AQ154" s="16" t="s">
        <v>181</v>
      </c>
      <c r="AR154" s="16" t="s">
        <v>181</v>
      </c>
      <c r="AS154" s="16" t="s">
        <v>182</v>
      </c>
      <c r="AT154" s="159" t="s">
        <v>181</v>
      </c>
      <c r="AU154" s="159" t="s">
        <v>39</v>
      </c>
      <c r="AV154" s="16" t="s">
        <v>190</v>
      </c>
      <c r="AW154" s="16" t="s">
        <v>190</v>
      </c>
      <c r="AX154" s="16" t="s">
        <v>227</v>
      </c>
      <c r="AY154" s="16" t="s">
        <v>190</v>
      </c>
      <c r="AZ154" s="54">
        <v>0</v>
      </c>
      <c r="BA154" s="55" t="e">
        <f t="shared" ca="1" si="163"/>
        <v>#NAME?</v>
      </c>
      <c r="BB154" s="278">
        <v>15266</v>
      </c>
      <c r="BC154" s="278">
        <v>440000</v>
      </c>
      <c r="BD154" s="62" t="e">
        <f t="shared" ca="1" si="164"/>
        <v>#NAME?</v>
      </c>
      <c r="BE154" s="277">
        <f t="shared" si="165"/>
        <v>3.4695454545454543E-2</v>
      </c>
      <c r="BF154" s="62" t="e">
        <f t="shared" ca="1" si="166"/>
        <v>#NAME?</v>
      </c>
      <c r="BG154" s="16" t="s">
        <v>202</v>
      </c>
      <c r="BI154" s="16" t="s">
        <v>190</v>
      </c>
      <c r="BJ154" s="16">
        <v>0</v>
      </c>
      <c r="BK154" s="278">
        <v>2</v>
      </c>
      <c r="BL154" s="16" t="s">
        <v>190</v>
      </c>
      <c r="BM154" s="16" t="s">
        <v>227</v>
      </c>
      <c r="BN154" s="16" t="s">
        <v>190</v>
      </c>
      <c r="BO154" s="16" t="s">
        <v>190</v>
      </c>
      <c r="BP154" s="16">
        <v>4</v>
      </c>
      <c r="BQ154" s="16">
        <v>5</v>
      </c>
      <c r="BR154" s="16">
        <v>6</v>
      </c>
      <c r="BS154" s="16">
        <v>1</v>
      </c>
      <c r="BT154" s="205"/>
      <c r="BU154" s="16">
        <v>10</v>
      </c>
      <c r="BV154" s="16">
        <v>0</v>
      </c>
      <c r="BW154" s="16">
        <v>32</v>
      </c>
      <c r="BX154" s="16" t="s">
        <v>190</v>
      </c>
      <c r="BY154" s="205"/>
      <c r="BZ154" s="16">
        <v>5</v>
      </c>
      <c r="CA154" s="16">
        <v>1</v>
      </c>
      <c r="CD154" s="205"/>
      <c r="CI154" s="205"/>
      <c r="CN154" s="205"/>
      <c r="CS154" s="205"/>
      <c r="CX154" s="205"/>
      <c r="DC154" s="205"/>
      <c r="DH154" s="205"/>
      <c r="DM154" s="205"/>
      <c r="DN154" s="205"/>
      <c r="DO154" s="205"/>
      <c r="DQ154" s="206"/>
      <c r="DR154" s="188">
        <f t="shared" si="64"/>
        <v>7.5</v>
      </c>
      <c r="DS154" s="188"/>
      <c r="DT154" s="189">
        <f t="shared" si="65"/>
        <v>1</v>
      </c>
      <c r="DU154" s="189"/>
      <c r="DV154" s="188">
        <f t="shared" si="66"/>
        <v>32</v>
      </c>
      <c r="DW154" s="183" t="e">
        <f t="shared" ca="1" si="67"/>
        <v>#NAME?</v>
      </c>
      <c r="DX154" s="207"/>
      <c r="DY154" s="190" t="e">
        <f t="shared" ca="1" si="68"/>
        <v>#NAME?</v>
      </c>
      <c r="DZ154" s="191">
        <f t="shared" si="264"/>
        <v>1</v>
      </c>
      <c r="EA154" s="191" t="str">
        <f t="shared" si="265"/>
        <v/>
      </c>
      <c r="EB154" s="191" t="str">
        <f t="shared" si="266"/>
        <v/>
      </c>
      <c r="EC154" s="208" t="e">
        <f t="shared" ca="1" si="72"/>
        <v>#NAME?</v>
      </c>
      <c r="ED154" s="36" t="str">
        <f t="shared" si="73"/>
        <v>SAFE</v>
      </c>
      <c r="EE154" s="193">
        <f>COUNTIF($ED$2:$ED$92, ED154)/(COUNTIF($ED$2:$ED$92, "&lt;&gt;""") - COUNTIF($ED$2:$ED$92, ""))</f>
        <v>0.37777777777777777</v>
      </c>
      <c r="EF154" s="36" t="str">
        <f t="shared" si="74"/>
        <v>Early</v>
      </c>
      <c r="EG154" s="207"/>
      <c r="EH154" s="194" t="e">
        <f t="shared" ca="1" si="75"/>
        <v>#NAME?</v>
      </c>
      <c r="EI154" s="194" t="e">
        <f t="shared" ca="1" si="76"/>
        <v>#NAME?</v>
      </c>
      <c r="EJ154" s="209" t="e">
        <f t="shared" ca="1" si="77"/>
        <v>#NAME?</v>
      </c>
      <c r="EK154" s="208" t="e">
        <f t="shared" ca="1" si="267"/>
        <v>#NAME?</v>
      </c>
      <c r="EL154" s="36" t="str">
        <f t="shared" si="79"/>
        <v>No</v>
      </c>
      <c r="EM154" s="207"/>
      <c r="EN154" s="192">
        <f t="shared" si="268"/>
        <v>1.7142857142857144</v>
      </c>
      <c r="EO154" s="192">
        <f t="shared" si="269"/>
        <v>2</v>
      </c>
      <c r="EP154" s="209">
        <f t="shared" si="82"/>
        <v>3.7142857142857144</v>
      </c>
      <c r="EQ154" s="210">
        <f t="shared" si="270"/>
        <v>2.3457943925233646</v>
      </c>
      <c r="ER154" s="36" t="e">
        <f t="shared" ca="1" si="84"/>
        <v>#NAME?</v>
      </c>
      <c r="ES154" s="40">
        <f ca="1">COUNTIF($ER$2:$ER$92, ER154)/(COUNTIF($ER$2:$ER$92, "&lt;&gt;""") - COUNTIF($ER$2:$ER$92, ""))</f>
        <v>1</v>
      </c>
      <c r="ET154" s="36">
        <f t="shared" si="85"/>
        <v>2</v>
      </c>
      <c r="EU154" s="40">
        <f>COUNTIF($ET$2:$ET$92, ET154)/(COUNTIF($ET$2:$ET$92, "&lt;&gt;""") - COUNTIF($ET$2:$ET$92, ""))</f>
        <v>0.45555555555555555</v>
      </c>
      <c r="EV154" s="36">
        <f t="shared" si="86"/>
        <v>5</v>
      </c>
      <c r="EW154" s="40">
        <f>COUNTIF($EV$2:$EV$92, EV154)/(COUNTIF($EV$2:$EV$92, "&lt;&gt;""") - COUNTIF($EV$2:$EV$92, ""))</f>
        <v>0.13333333333333333</v>
      </c>
      <c r="EX154" s="36" t="str">
        <f t="shared" si="87"/>
        <v>No</v>
      </c>
      <c r="EY154" s="40">
        <f>COUNTIF($EX$2:$EX$92, EX154)/(COUNTIF($EX$2:$EX$92, "&lt;&gt;""") - COUNTIF($EX$2:$EX$92, ""))</f>
        <v>0.72222222222222221</v>
      </c>
      <c r="EZ154" s="36" t="str">
        <f t="shared" ref="EZ154:FB154" si="287">BM154</f>
        <v>Yes</v>
      </c>
      <c r="FA154" s="36" t="str">
        <f t="shared" si="287"/>
        <v>No</v>
      </c>
      <c r="FB154" s="36" t="str">
        <f t="shared" si="287"/>
        <v>No</v>
      </c>
      <c r="FC154" s="207"/>
      <c r="FD154" s="36" t="str">
        <f t="shared" si="89"/>
        <v>Transactional</v>
      </c>
      <c r="FE154" s="40">
        <f>COUNTIF($FD$2:$FD$92, FD154)/(COUNTIF($FD$2:$FD$92, "&lt;&gt;""") - COUNTIF($FD$2:$FD$92, ""))</f>
        <v>0.6</v>
      </c>
      <c r="FF154" s="36" t="str">
        <f t="shared" si="90"/>
        <v>B2B/B2C</v>
      </c>
      <c r="FG154" s="40">
        <f>COUNTIF($FF$2:$FF$92, FF154)/(COUNTIF($FF$2:$FF$92, "&lt;&gt;""") - COUNTIF($FF$2:$FF$92, ""))</f>
        <v>0.27777777777777779</v>
      </c>
      <c r="FH154" s="36" t="str">
        <f t="shared" si="91"/>
        <v>Low</v>
      </c>
      <c r="FI154" s="40">
        <f>COUNTIF($FH$2:$FH$92, FH154)/(COUNTIF($FH$2:$FH$92, "&lt;&gt;""") - COUNTIF($FH$2:$FH$92, ""))</f>
        <v>0.46666666666666667</v>
      </c>
      <c r="FJ154" s="36" t="str">
        <f t="shared" si="92"/>
        <v>Low</v>
      </c>
      <c r="FK154" s="40">
        <f>COUNTIF($FJ$2:$FJ$92, FJ154)/(COUNTIF($FJ$2:$FJ$92, "&lt;&gt;""") - COUNTIF($FJ$2:$FJ$92, ""))</f>
        <v>0.41111111111111109</v>
      </c>
      <c r="FL154" s="207"/>
      <c r="FM154" s="192">
        <f t="shared" si="93"/>
        <v>3</v>
      </c>
      <c r="FN154" s="192" t="e">
        <f t="shared" ca="1" si="94"/>
        <v>#NAME?</v>
      </c>
      <c r="FO154" s="192" t="e">
        <f t="shared" ca="1" si="95"/>
        <v>#NAME?</v>
      </c>
      <c r="FP154" s="192" t="e">
        <f t="shared" ca="1" si="96"/>
        <v>#NAME?</v>
      </c>
      <c r="FQ154" s="209" t="e">
        <f t="shared" ca="1" si="97"/>
        <v>#NAME?</v>
      </c>
      <c r="FR154" s="208" t="e">
        <f t="shared" ca="1" si="272"/>
        <v>#NAME?</v>
      </c>
      <c r="FS154" s="36" t="str">
        <f t="shared" si="99"/>
        <v>Pre-Profit</v>
      </c>
      <c r="FT154" s="196">
        <f>COUNTIF($FS$2:$FS$92, FS154)/(COUNTIF($FS$2:$FS$92, "&lt;&gt;""") - COUNTIF($FZ$2:$FZ$92, ""))</f>
        <v>0.51111111111111107</v>
      </c>
      <c r="FU154" s="207"/>
      <c r="FV154" s="192" t="e">
        <f t="shared" ca="1" si="100"/>
        <v>#NAME?</v>
      </c>
      <c r="FW154" s="197" t="e">
        <f t="shared" ca="1" si="101"/>
        <v>#NAME?</v>
      </c>
      <c r="FX154" s="209" t="e">
        <f t="shared" ca="1" si="102"/>
        <v>#NAME?</v>
      </c>
      <c r="FY154" s="211" t="e">
        <f t="shared" ca="1" si="273"/>
        <v>#NAME?</v>
      </c>
      <c r="FZ154" s="36" t="str">
        <f t="shared" si="104"/>
        <v>No</v>
      </c>
      <c r="GA154" s="196">
        <f>COUNTIF($FZ$2:$FZ$92, FZ154)/(COUNTIF($FZ$2:$FZ$92, "&lt;&gt;""") - COUNTIF($FZ$2:$FZ$92, ""))</f>
        <v>0.76666666666666672</v>
      </c>
      <c r="GB154" s="196" t="str">
        <f t="shared" si="105"/>
        <v>Low</v>
      </c>
      <c r="GC154" s="196">
        <f>COUNTIF($GB$2:$GB$92, GB154)/(COUNTIF($GB$2:$GB$92, "&lt;&gt;""") - COUNTIF($GB$2:$GB$92, ""))</f>
        <v>0.55555555555555558</v>
      </c>
      <c r="GD154" s="196" t="str">
        <f t="shared" si="106"/>
        <v>High</v>
      </c>
      <c r="GE154" s="196">
        <f>COUNTIF($GD$2:$GD$92, GD154)/(COUNTIF($GD$2:$GD$92, "&lt;&gt;""") - COUNTIF($GD$2:$GD$92, ""))</f>
        <v>0.8</v>
      </c>
      <c r="GF154" s="207"/>
      <c r="GG154" s="36"/>
      <c r="GH154" s="209" t="e">
        <f t="shared" ca="1" si="107"/>
        <v>#NAME?</v>
      </c>
      <c r="GI154" s="212" t="e">
        <f t="shared" ca="1" si="274"/>
        <v>#NAME?</v>
      </c>
    </row>
    <row r="155" spans="1:191" ht="15.75" customHeight="1">
      <c r="A155" s="171"/>
      <c r="B155" s="171" t="s">
        <v>501</v>
      </c>
      <c r="C155" s="16">
        <v>1733206</v>
      </c>
      <c r="D155" s="233" t="s">
        <v>1357</v>
      </c>
      <c r="E155" s="234">
        <v>43566.811805555553</v>
      </c>
      <c r="F155" s="16" t="s">
        <v>337</v>
      </c>
      <c r="G155" s="235" t="s">
        <v>1358</v>
      </c>
      <c r="H155" s="235" t="s">
        <v>1359</v>
      </c>
      <c r="I155" s="241">
        <v>43837</v>
      </c>
      <c r="J155" s="233" t="s">
        <v>1360</v>
      </c>
      <c r="K155" s="233" t="s">
        <v>1357</v>
      </c>
      <c r="M155" s="16" t="s">
        <v>1234</v>
      </c>
      <c r="N155" s="16" t="s">
        <v>172</v>
      </c>
      <c r="O155" s="16" t="s">
        <v>30</v>
      </c>
      <c r="P155" s="16" t="s">
        <v>174</v>
      </c>
      <c r="Q155" s="16" t="s">
        <v>35</v>
      </c>
      <c r="S155" s="16" t="s">
        <v>216</v>
      </c>
      <c r="T155" s="237"/>
      <c r="U155" s="213"/>
      <c r="V155" s="54">
        <v>11189805</v>
      </c>
      <c r="W155" s="54"/>
      <c r="X155" s="226"/>
      <c r="Y155" s="55" t="str">
        <f t="shared" si="158"/>
        <v/>
      </c>
      <c r="Z155" s="274">
        <f t="shared" si="159"/>
        <v>11189805</v>
      </c>
      <c r="AA155" s="183" t="e">
        <f t="shared" ca="1" si="160"/>
        <v>#NAME?</v>
      </c>
      <c r="AB155" s="16" t="s">
        <v>178</v>
      </c>
      <c r="AC155" s="16" t="s">
        <v>218</v>
      </c>
      <c r="AD155" s="16" t="s">
        <v>180</v>
      </c>
      <c r="AE155" s="16" t="s">
        <v>227</v>
      </c>
      <c r="AF155" s="16" t="s">
        <v>39</v>
      </c>
      <c r="AG155" s="16" t="s">
        <v>181</v>
      </c>
      <c r="AH155" s="16" t="s">
        <v>190</v>
      </c>
      <c r="AI155" s="54"/>
      <c r="AJ155" s="278">
        <v>200000000000</v>
      </c>
      <c r="AK155" s="224" t="e">
        <f t="shared" ca="1" si="161"/>
        <v>#NAME?</v>
      </c>
      <c r="AL155" s="278">
        <v>1134000000</v>
      </c>
      <c r="AM155" s="224" t="e">
        <f t="shared" ca="1" si="162"/>
        <v>#NAME?</v>
      </c>
      <c r="AN155" s="278">
        <v>0.13</v>
      </c>
      <c r="AO155" s="185" t="e">
        <f t="shared" ca="1" si="63"/>
        <v>#NAME?</v>
      </c>
      <c r="AP155" s="185" t="s">
        <v>192</v>
      </c>
      <c r="AQ155" s="16" t="s">
        <v>181</v>
      </c>
      <c r="AR155" s="16" t="s">
        <v>181</v>
      </c>
      <c r="AS155" s="16" t="s">
        <v>42</v>
      </c>
      <c r="AT155" s="159"/>
      <c r="AU155" s="159"/>
      <c r="AV155" s="16" t="s">
        <v>190</v>
      </c>
      <c r="AW155" s="16" t="s">
        <v>227</v>
      </c>
      <c r="AX155" s="16" t="s">
        <v>190</v>
      </c>
      <c r="AY155" s="16" t="s">
        <v>190</v>
      </c>
      <c r="AZ155" s="54">
        <v>0</v>
      </c>
      <c r="BA155" s="55" t="e">
        <f t="shared" ca="1" si="163"/>
        <v>#NAME?</v>
      </c>
      <c r="BB155" s="278">
        <v>12219</v>
      </c>
      <c r="BC155" s="278">
        <v>171000</v>
      </c>
      <c r="BD155" s="62" t="e">
        <f t="shared" ca="1" si="164"/>
        <v>#NAME?</v>
      </c>
      <c r="BE155" s="277">
        <f t="shared" si="165"/>
        <v>7.145614035087719E-2</v>
      </c>
      <c r="BF155" s="62" t="e">
        <f t="shared" ca="1" si="166"/>
        <v>#NAME?</v>
      </c>
      <c r="BG155" s="16" t="s">
        <v>183</v>
      </c>
      <c r="BI155" s="16" t="s">
        <v>190</v>
      </c>
      <c r="BJ155" s="16">
        <v>0</v>
      </c>
      <c r="BK155" s="278">
        <v>2</v>
      </c>
      <c r="BL155" s="16" t="s">
        <v>227</v>
      </c>
      <c r="BM155" s="16" t="s">
        <v>190</v>
      </c>
      <c r="BN155" s="16" t="s">
        <v>190</v>
      </c>
      <c r="BO155" s="16" t="s">
        <v>190</v>
      </c>
      <c r="BP155" s="16">
        <v>3</v>
      </c>
      <c r="BQ155" s="16">
        <v>5</v>
      </c>
      <c r="BR155" s="16">
        <v>1</v>
      </c>
      <c r="BS155" s="16">
        <v>0</v>
      </c>
      <c r="BT155" s="205"/>
      <c r="BU155" s="16">
        <v>5</v>
      </c>
      <c r="BV155" s="16">
        <v>0</v>
      </c>
      <c r="BW155" s="16">
        <v>32</v>
      </c>
      <c r="BX155" s="16" t="s">
        <v>227</v>
      </c>
      <c r="BY155" s="205"/>
      <c r="BZ155" s="16">
        <v>25</v>
      </c>
      <c r="CA155" s="16">
        <v>1</v>
      </c>
      <c r="CB155" s="16">
        <v>58</v>
      </c>
      <c r="CC155" s="16" t="s">
        <v>190</v>
      </c>
      <c r="CD155" s="205"/>
      <c r="CI155" s="205"/>
      <c r="CN155" s="205"/>
      <c r="CS155" s="205"/>
      <c r="CX155" s="205"/>
      <c r="DC155" s="205"/>
      <c r="DH155" s="205"/>
      <c r="DM155" s="205"/>
      <c r="DN155" s="205"/>
      <c r="DO155" s="205"/>
      <c r="DQ155" s="206"/>
      <c r="DR155" s="188">
        <f t="shared" si="64"/>
        <v>15</v>
      </c>
      <c r="DS155" s="188"/>
      <c r="DT155" s="189">
        <f t="shared" si="65"/>
        <v>1</v>
      </c>
      <c r="DU155" s="189"/>
      <c r="DV155" s="188">
        <f t="shared" si="66"/>
        <v>45</v>
      </c>
      <c r="DW155" s="183" t="e">
        <f t="shared" ca="1" si="67"/>
        <v>#NAME?</v>
      </c>
      <c r="DX155" s="207"/>
      <c r="DY155" s="190" t="e">
        <f t="shared" ca="1" si="68"/>
        <v>#NAME?</v>
      </c>
      <c r="DZ155" s="191" t="str">
        <f t="shared" si="264"/>
        <v/>
      </c>
      <c r="EA155" s="191" t="str">
        <f t="shared" si="265"/>
        <v/>
      </c>
      <c r="EB155" s="191" t="str">
        <f t="shared" si="266"/>
        <v/>
      </c>
      <c r="EC155" s="208" t="e">
        <f t="shared" ca="1" si="72"/>
        <v>#NAME?</v>
      </c>
      <c r="ED155" s="36" t="str">
        <f t="shared" si="73"/>
        <v>Equity - Common</v>
      </c>
      <c r="EE155" s="193">
        <f>COUNTIF($ED$2:$ED$92, ED155)/(COUNTIF($ED$2:$ED$92, "&lt;&gt;""") - COUNTIF($ED$2:$ED$92, ""))</f>
        <v>0.32222222222222224</v>
      </c>
      <c r="EF155" s="36" t="str">
        <f t="shared" si="74"/>
        <v>Early</v>
      </c>
      <c r="EG155" s="207"/>
      <c r="EH155" s="194" t="e">
        <f t="shared" ca="1" si="75"/>
        <v>#NAME?</v>
      </c>
      <c r="EI155" s="194" t="e">
        <f t="shared" ca="1" si="76"/>
        <v>#NAME?</v>
      </c>
      <c r="EJ155" s="209" t="e">
        <f t="shared" ca="1" si="77"/>
        <v>#NAME?</v>
      </c>
      <c r="EK155" s="208" t="e">
        <f t="shared" ca="1" si="267"/>
        <v>#NAME?</v>
      </c>
      <c r="EL155" s="36" t="str">
        <f t="shared" si="79"/>
        <v>No</v>
      </c>
      <c r="EM155" s="207"/>
      <c r="EN155" s="192">
        <f t="shared" si="268"/>
        <v>2.4285714285714288</v>
      </c>
      <c r="EO155" s="192">
        <f t="shared" si="269"/>
        <v>2</v>
      </c>
      <c r="EP155" s="209">
        <f t="shared" si="82"/>
        <v>4.4285714285714288</v>
      </c>
      <c r="EQ155" s="210">
        <f t="shared" si="270"/>
        <v>2.906542056074767</v>
      </c>
      <c r="ER155" s="36" t="e">
        <f t="shared" ca="1" si="84"/>
        <v>#NAME?</v>
      </c>
      <c r="ES155" s="40">
        <f ca="1">COUNTIF($ER$2:$ER$92, ER155)/(COUNTIF($ER$2:$ER$92, "&lt;&gt;""") - COUNTIF($ER$2:$ER$92, ""))</f>
        <v>1</v>
      </c>
      <c r="ET155" s="36">
        <f t="shared" si="85"/>
        <v>2</v>
      </c>
      <c r="EU155" s="40">
        <f>COUNTIF($ET$2:$ET$92, ET155)/(COUNTIF($ET$2:$ET$92, "&lt;&gt;""") - COUNTIF($ET$2:$ET$92, ""))</f>
        <v>0.45555555555555555</v>
      </c>
      <c r="EV155" s="36">
        <f t="shared" si="86"/>
        <v>5</v>
      </c>
      <c r="EW155" s="40">
        <f>COUNTIF($EV$2:$EV$92, EV155)/(COUNTIF($EV$2:$EV$92, "&lt;&gt;""") - COUNTIF($EV$2:$EV$92, ""))</f>
        <v>0.13333333333333333</v>
      </c>
      <c r="EX155" s="36" t="str">
        <f t="shared" si="87"/>
        <v>Yes</v>
      </c>
      <c r="EY155" s="40">
        <f>COUNTIF($EX$2:$EX$92, EX155)/(COUNTIF($EX$2:$EX$92, "&lt;&gt;""") - COUNTIF($EX$2:$EX$92, ""))</f>
        <v>0.27777777777777779</v>
      </c>
      <c r="EZ155" s="36" t="str">
        <f t="shared" ref="EZ155:FB155" si="288">BM155</f>
        <v>No</v>
      </c>
      <c r="FA155" s="36" t="str">
        <f t="shared" si="288"/>
        <v>No</v>
      </c>
      <c r="FB155" s="36" t="str">
        <f t="shared" si="288"/>
        <v>No</v>
      </c>
      <c r="FC155" s="207"/>
      <c r="FD155" s="36" t="str">
        <f t="shared" si="89"/>
        <v>Recurring</v>
      </c>
      <c r="FE155" s="40">
        <f>COUNTIF($FD$2:$FD$92, FD155)/(COUNTIF($FD$2:$FD$92, "&lt;&gt;""") - COUNTIF($FD$2:$FD$92, ""))</f>
        <v>0.4</v>
      </c>
      <c r="FF155" s="36" t="str">
        <f t="shared" si="90"/>
        <v>B2B/B2C</v>
      </c>
      <c r="FG155" s="40">
        <f>COUNTIF($FF$2:$FF$92, FF155)/(COUNTIF($FF$2:$FF$92, "&lt;&gt;""") - COUNTIF($FF$2:$FF$92, ""))</f>
        <v>0.27777777777777779</v>
      </c>
      <c r="FH155" s="36" t="str">
        <f t="shared" si="91"/>
        <v>High</v>
      </c>
      <c r="FI155" s="40">
        <f>COUNTIF($FH$2:$FH$92, FH155)/(COUNTIF($FH$2:$FH$92, "&lt;&gt;""") - COUNTIF($FH$2:$FH$92, ""))</f>
        <v>0.53333333333333333</v>
      </c>
      <c r="FJ155" s="36" t="str">
        <f t="shared" si="92"/>
        <v>Low</v>
      </c>
      <c r="FK155" s="40">
        <f>COUNTIF($FJ$2:$FJ$92, FJ155)/(COUNTIF($FJ$2:$FJ$92, "&lt;&gt;""") - COUNTIF($FJ$2:$FJ$92, ""))</f>
        <v>0.41111111111111109</v>
      </c>
      <c r="FL155" s="207"/>
      <c r="FM155" s="192">
        <f t="shared" si="93"/>
        <v>1</v>
      </c>
      <c r="FN155" s="192" t="e">
        <f t="shared" ca="1" si="94"/>
        <v>#NAME?</v>
      </c>
      <c r="FO155" s="192" t="e">
        <f t="shared" ca="1" si="95"/>
        <v>#NAME?</v>
      </c>
      <c r="FP155" s="192" t="e">
        <f t="shared" ca="1" si="96"/>
        <v>#NAME?</v>
      </c>
      <c r="FQ155" s="209" t="e">
        <f t="shared" ca="1" si="97"/>
        <v>#NAME?</v>
      </c>
      <c r="FR155" s="208" t="e">
        <f t="shared" ca="1" si="272"/>
        <v>#NAME?</v>
      </c>
      <c r="FS155" s="36" t="str">
        <f t="shared" si="99"/>
        <v>Pre-Revenue</v>
      </c>
      <c r="FT155" s="196">
        <f>COUNTIF($FS$2:$FS$92, FS155)/(COUNTIF($FS$2:$FS$92, "&lt;&gt;""") - COUNTIF($FZ$2:$FZ$92, ""))</f>
        <v>0.2</v>
      </c>
      <c r="FU155" s="207"/>
      <c r="FV155" s="192" t="e">
        <f t="shared" ca="1" si="100"/>
        <v>#NAME?</v>
      </c>
      <c r="FW155" s="197" t="e">
        <f t="shared" ca="1" si="101"/>
        <v>#NAME?</v>
      </c>
      <c r="FX155" s="209" t="e">
        <f t="shared" ca="1" si="102"/>
        <v>#NAME?</v>
      </c>
      <c r="FY155" s="211" t="e">
        <f t="shared" ca="1" si="273"/>
        <v>#NAME?</v>
      </c>
      <c r="FZ155" s="36" t="str">
        <f t="shared" si="104"/>
        <v>Yes</v>
      </c>
      <c r="GA155" s="196">
        <f>COUNTIF($FZ$2:$FZ$92, FZ155)/(COUNTIF($FZ$2:$FZ$92, "&lt;&gt;""") - COUNTIF($FZ$2:$FZ$92, ""))</f>
        <v>0.23333333333333334</v>
      </c>
      <c r="GB155" s="196">
        <f t="shared" si="105"/>
        <v>0</v>
      </c>
      <c r="GC155" s="196">
        <f>COUNTIF($GB$2:$GB$92, GB155)/(COUNTIF($GB$2:$GB$92, "&lt;&gt;""") - COUNTIF($GB$2:$GB$92, ""))</f>
        <v>1.1111111111111112E-2</v>
      </c>
      <c r="GD155" s="196">
        <f t="shared" si="106"/>
        <v>0</v>
      </c>
      <c r="GE155" s="196">
        <f>COUNTIF($GD$2:$GD$92, GD155)/(COUNTIF($GD$2:$GD$92, "&lt;&gt;""") - COUNTIF($GD$2:$GD$92, ""))</f>
        <v>1.1111111111111112E-2</v>
      </c>
      <c r="GF155" s="207"/>
      <c r="GG155" s="36"/>
      <c r="GH155" s="209" t="e">
        <f t="shared" ca="1" si="107"/>
        <v>#NAME?</v>
      </c>
      <c r="GI155" s="212" t="e">
        <f t="shared" ca="1" si="274"/>
        <v>#NAME?</v>
      </c>
    </row>
    <row r="156" spans="1:191" ht="15.75" customHeight="1">
      <c r="A156" s="171"/>
      <c r="B156" s="171" t="s">
        <v>501</v>
      </c>
      <c r="C156" s="16">
        <v>1772451</v>
      </c>
      <c r="D156" s="233" t="s">
        <v>1361</v>
      </c>
      <c r="E156" s="234">
        <v>43577.59097222222</v>
      </c>
      <c r="F156" s="16" t="s">
        <v>325</v>
      </c>
      <c r="G156" s="235" t="s">
        <v>1362</v>
      </c>
      <c r="H156" s="235" t="s">
        <v>1363</v>
      </c>
      <c r="I156" s="241">
        <v>43577</v>
      </c>
      <c r="J156" s="233" t="s">
        <v>1364</v>
      </c>
      <c r="K156" s="233" t="s">
        <v>1361</v>
      </c>
      <c r="M156" s="29" t="s">
        <v>331</v>
      </c>
      <c r="N156" s="16" t="s">
        <v>168</v>
      </c>
      <c r="O156" s="16" t="s">
        <v>30</v>
      </c>
      <c r="P156" s="16" t="s">
        <v>31</v>
      </c>
      <c r="Q156" s="16" t="s">
        <v>35</v>
      </c>
      <c r="S156" s="16" t="s">
        <v>34</v>
      </c>
      <c r="T156" s="237"/>
      <c r="U156" s="213"/>
      <c r="V156" s="54"/>
      <c r="W156" s="54">
        <v>977500</v>
      </c>
      <c r="X156" s="226">
        <v>0</v>
      </c>
      <c r="Y156" s="55">
        <f t="shared" si="158"/>
        <v>977500</v>
      </c>
      <c r="Z156" s="274">
        <f t="shared" si="159"/>
        <v>977500</v>
      </c>
      <c r="AA156" s="183" t="e">
        <f t="shared" ca="1" si="160"/>
        <v>#NAME?</v>
      </c>
      <c r="AB156" s="16" t="s">
        <v>178</v>
      </c>
      <c r="AC156" s="16" t="s">
        <v>179</v>
      </c>
      <c r="AD156" s="16" t="s">
        <v>38</v>
      </c>
      <c r="AE156" s="16" t="s">
        <v>227</v>
      </c>
      <c r="AF156" s="16" t="s">
        <v>39</v>
      </c>
      <c r="AG156" s="16" t="s">
        <v>181</v>
      </c>
      <c r="AH156" s="16" t="s">
        <v>190</v>
      </c>
      <c r="AI156" s="54"/>
      <c r="AJ156" s="278">
        <v>273500000000</v>
      </c>
      <c r="AK156" s="224" t="e">
        <f t="shared" ca="1" si="161"/>
        <v>#NAME?</v>
      </c>
      <c r="AL156" s="278">
        <v>30000000000</v>
      </c>
      <c r="AM156" s="224" t="e">
        <f t="shared" ca="1" si="162"/>
        <v>#NAME?</v>
      </c>
      <c r="AN156" s="278">
        <v>0.09</v>
      </c>
      <c r="AO156" s="185" t="e">
        <f t="shared" ca="1" si="63"/>
        <v>#NAME?</v>
      </c>
      <c r="AP156" s="185" t="s">
        <v>211</v>
      </c>
      <c r="AQ156" s="16" t="s">
        <v>181</v>
      </c>
      <c r="AR156" s="16" t="s">
        <v>181</v>
      </c>
      <c r="AS156" s="16" t="s">
        <v>42</v>
      </c>
      <c r="AT156" s="159"/>
      <c r="AU156" s="159"/>
      <c r="AV156" s="16" t="s">
        <v>227</v>
      </c>
      <c r="AW156" s="16" t="s">
        <v>190</v>
      </c>
      <c r="AX156" s="16" t="s">
        <v>190</v>
      </c>
      <c r="AY156" s="16" t="s">
        <v>190</v>
      </c>
      <c r="AZ156" s="54">
        <v>0</v>
      </c>
      <c r="BA156" s="55" t="e">
        <f t="shared" ca="1" si="163"/>
        <v>#NAME?</v>
      </c>
      <c r="BB156" s="278">
        <v>0</v>
      </c>
      <c r="BC156" s="278">
        <v>0</v>
      </c>
      <c r="BD156" s="62" t="e">
        <f t="shared" ca="1" si="164"/>
        <v>#NAME?</v>
      </c>
      <c r="BE156" s="277">
        <f t="shared" si="165"/>
        <v>1</v>
      </c>
      <c r="BF156" s="62" t="e">
        <f t="shared" ca="1" si="166"/>
        <v>#NAME?</v>
      </c>
      <c r="BG156" s="16" t="s">
        <v>43</v>
      </c>
      <c r="BI156" s="16" t="s">
        <v>190</v>
      </c>
      <c r="BJ156" s="16">
        <v>0</v>
      </c>
      <c r="BK156" s="278">
        <v>1</v>
      </c>
      <c r="BL156" s="16" t="s">
        <v>227</v>
      </c>
      <c r="BM156" s="16" t="s">
        <v>190</v>
      </c>
      <c r="BN156" s="16" t="s">
        <v>227</v>
      </c>
      <c r="BO156" s="16" t="s">
        <v>190</v>
      </c>
      <c r="BP156" s="16">
        <v>0</v>
      </c>
      <c r="BQ156" s="16">
        <v>3</v>
      </c>
      <c r="BR156" s="16">
        <v>0</v>
      </c>
      <c r="BS156" s="16">
        <v>0</v>
      </c>
      <c r="BT156" s="205"/>
      <c r="BU156" s="16">
        <v>1</v>
      </c>
      <c r="BV156" s="16">
        <v>0</v>
      </c>
      <c r="BW156" s="16">
        <v>42</v>
      </c>
      <c r="BX156" s="16" t="s">
        <v>190</v>
      </c>
      <c r="BY156" s="205"/>
      <c r="CD156" s="205"/>
      <c r="CI156" s="205"/>
      <c r="CN156" s="205"/>
      <c r="CS156" s="205"/>
      <c r="CX156" s="205"/>
      <c r="DC156" s="205"/>
      <c r="DH156" s="205"/>
      <c r="DM156" s="205"/>
      <c r="DN156" s="205"/>
      <c r="DO156" s="205"/>
      <c r="DQ156" s="206"/>
      <c r="DR156" s="188">
        <f t="shared" si="64"/>
        <v>1</v>
      </c>
      <c r="DS156" s="188"/>
      <c r="DT156" s="189">
        <f t="shared" si="65"/>
        <v>0</v>
      </c>
      <c r="DU156" s="189"/>
      <c r="DV156" s="188">
        <f t="shared" si="66"/>
        <v>42</v>
      </c>
      <c r="DW156" s="183" t="e">
        <f t="shared" ca="1" si="67"/>
        <v>#NAME?</v>
      </c>
      <c r="DX156" s="207"/>
      <c r="DY156" s="190" t="e">
        <f t="shared" ca="1" si="68"/>
        <v>#NAME?</v>
      </c>
      <c r="DZ156" s="191">
        <f t="shared" si="264"/>
        <v>1</v>
      </c>
      <c r="EA156" s="191" t="str">
        <f t="shared" si="265"/>
        <v/>
      </c>
      <c r="EB156" s="191" t="str">
        <f t="shared" si="266"/>
        <v/>
      </c>
      <c r="EC156" s="208" t="e">
        <f t="shared" ca="1" si="72"/>
        <v>#NAME?</v>
      </c>
      <c r="ED156" s="36" t="str">
        <f t="shared" si="73"/>
        <v>CAFES</v>
      </c>
      <c r="EE156" s="193">
        <f>COUNTIF($ED$2:$ED$92, ED156)/(COUNTIF($ED$2:$ED$92, "&lt;&gt;""") - COUNTIF($ED$2:$ED$92, ""))</f>
        <v>0.1</v>
      </c>
      <c r="EF156" s="36" t="str">
        <f t="shared" si="74"/>
        <v>Early</v>
      </c>
      <c r="EG156" s="207"/>
      <c r="EH156" s="194" t="e">
        <f t="shared" ca="1" si="75"/>
        <v>#NAME?</v>
      </c>
      <c r="EI156" s="194" t="e">
        <f t="shared" ca="1" si="76"/>
        <v>#NAME?</v>
      </c>
      <c r="EJ156" s="209" t="e">
        <f t="shared" ca="1" si="77"/>
        <v>#NAME?</v>
      </c>
      <c r="EK156" s="208" t="e">
        <f t="shared" ca="1" si="267"/>
        <v>#NAME?</v>
      </c>
      <c r="EL156" s="36" t="str">
        <f t="shared" si="79"/>
        <v>Yes</v>
      </c>
      <c r="EM156" s="207"/>
      <c r="EN156" s="192">
        <f t="shared" si="268"/>
        <v>1.0952380952380953</v>
      </c>
      <c r="EO156" s="192">
        <f t="shared" si="269"/>
        <v>1</v>
      </c>
      <c r="EP156" s="209">
        <f t="shared" si="82"/>
        <v>2.0952380952380953</v>
      </c>
      <c r="EQ156" s="210">
        <f t="shared" si="270"/>
        <v>1.0747663551401869</v>
      </c>
      <c r="ER156" s="36" t="e">
        <f t="shared" ca="1" si="84"/>
        <v>#NAME?</v>
      </c>
      <c r="ES156" s="40">
        <f ca="1">COUNTIF($ER$2:$ER$92, ER156)/(COUNTIF($ER$2:$ER$92, "&lt;&gt;""") - COUNTIF($ER$2:$ER$92, ""))</f>
        <v>1</v>
      </c>
      <c r="ET156" s="36">
        <f t="shared" si="85"/>
        <v>1</v>
      </c>
      <c r="EU156" s="40">
        <f>COUNTIF($ET$2:$ET$92, ET156)/(COUNTIF($ET$2:$ET$92, "&lt;&gt;""") - COUNTIF($ET$2:$ET$92, ""))</f>
        <v>0.45555555555555555</v>
      </c>
      <c r="EV156" s="36">
        <f t="shared" si="86"/>
        <v>3</v>
      </c>
      <c r="EW156" s="40">
        <f>COUNTIF($EV$2:$EV$92, EV156)/(COUNTIF($EV$2:$EV$92, "&lt;&gt;""") - COUNTIF($EV$2:$EV$92, ""))</f>
        <v>8.8888888888888892E-2</v>
      </c>
      <c r="EX156" s="36" t="str">
        <f t="shared" si="87"/>
        <v>Yes</v>
      </c>
      <c r="EY156" s="40">
        <f>COUNTIF($EX$2:$EX$92, EX156)/(COUNTIF($EX$2:$EX$92, "&lt;&gt;""") - COUNTIF($EX$2:$EX$92, ""))</f>
        <v>0.27777777777777779</v>
      </c>
      <c r="EZ156" s="36" t="str">
        <f t="shared" ref="EZ156:FB156" si="289">BM156</f>
        <v>No</v>
      </c>
      <c r="FA156" s="36" t="str">
        <f t="shared" si="289"/>
        <v>Yes</v>
      </c>
      <c r="FB156" s="36" t="str">
        <f t="shared" si="289"/>
        <v>No</v>
      </c>
      <c r="FC156" s="207"/>
      <c r="FD156" s="36" t="str">
        <f t="shared" si="89"/>
        <v>Recurring</v>
      </c>
      <c r="FE156" s="40">
        <f>COUNTIF($FD$2:$FD$92, FD156)/(COUNTIF($FD$2:$FD$92, "&lt;&gt;""") - COUNTIF($FD$2:$FD$92, ""))</f>
        <v>0.4</v>
      </c>
      <c r="FF156" s="36" t="str">
        <f t="shared" si="90"/>
        <v>B2C</v>
      </c>
      <c r="FG156" s="40">
        <f>COUNTIF($FF$2:$FF$92, FF156)/(COUNTIF($FF$2:$FF$92, "&lt;&gt;""") - COUNTIF($FF$2:$FF$92, ""))</f>
        <v>0.41111111111111109</v>
      </c>
      <c r="FH156" s="36" t="str">
        <f t="shared" si="91"/>
        <v>High</v>
      </c>
      <c r="FI156" s="40">
        <f>COUNTIF($FH$2:$FH$92, FH156)/(COUNTIF($FH$2:$FH$92, "&lt;&gt;""") - COUNTIF($FH$2:$FH$92, ""))</f>
        <v>0.53333333333333333</v>
      </c>
      <c r="FJ156" s="36" t="str">
        <f t="shared" si="92"/>
        <v>Low</v>
      </c>
      <c r="FK156" s="40">
        <f>COUNTIF($FJ$2:$FJ$92, FJ156)/(COUNTIF($FJ$2:$FJ$92, "&lt;&gt;""") - COUNTIF($FJ$2:$FJ$92, ""))</f>
        <v>0.41111111111111109</v>
      </c>
      <c r="FL156" s="207"/>
      <c r="FM156" s="192">
        <f t="shared" si="93"/>
        <v>1</v>
      </c>
      <c r="FN156" s="192" t="e">
        <f t="shared" ca="1" si="94"/>
        <v>#NAME?</v>
      </c>
      <c r="FO156" s="192" t="e">
        <f t="shared" ca="1" si="95"/>
        <v>#NAME?</v>
      </c>
      <c r="FP156" s="192" t="e">
        <f t="shared" ca="1" si="96"/>
        <v>#NAME?</v>
      </c>
      <c r="FQ156" s="209" t="e">
        <f t="shared" ca="1" si="97"/>
        <v>#NAME?</v>
      </c>
      <c r="FR156" s="208" t="e">
        <f t="shared" ca="1" si="272"/>
        <v>#NAME?</v>
      </c>
      <c r="FS156" s="36" t="str">
        <f t="shared" si="99"/>
        <v>Pre-Product</v>
      </c>
      <c r="FT156" s="196">
        <f>COUNTIF($FS$2:$FS$92, FS156)/(COUNTIF($FS$2:$FS$92, "&lt;&gt;""") - COUNTIF($FZ$2:$FZ$92, ""))</f>
        <v>0.22222222222222221</v>
      </c>
      <c r="FU156" s="207"/>
      <c r="FV156" s="192" t="e">
        <f t="shared" ca="1" si="100"/>
        <v>#NAME?</v>
      </c>
      <c r="FW156" s="197" t="e">
        <f t="shared" ca="1" si="101"/>
        <v>#NAME?</v>
      </c>
      <c r="FX156" s="209" t="e">
        <f t="shared" ca="1" si="102"/>
        <v>#NAME?</v>
      </c>
      <c r="FY156" s="211" t="e">
        <f t="shared" ca="1" si="273"/>
        <v>#NAME?</v>
      </c>
      <c r="FZ156" s="36" t="str">
        <f t="shared" si="104"/>
        <v>No</v>
      </c>
      <c r="GA156" s="196">
        <f>COUNTIF($FZ$2:$FZ$92, FZ156)/(COUNTIF($FZ$2:$FZ$92, "&lt;&gt;""") - COUNTIF($FZ$2:$FZ$92, ""))</f>
        <v>0.76666666666666672</v>
      </c>
      <c r="GB156" s="196">
        <f t="shared" si="105"/>
        <v>0</v>
      </c>
      <c r="GC156" s="196">
        <f>COUNTIF($GB$2:$GB$92, GB156)/(COUNTIF($GB$2:$GB$92, "&lt;&gt;""") - COUNTIF($GB$2:$GB$92, ""))</f>
        <v>1.1111111111111112E-2</v>
      </c>
      <c r="GD156" s="196">
        <f t="shared" si="106"/>
        <v>0</v>
      </c>
      <c r="GE156" s="196">
        <f>COUNTIF($GD$2:$GD$92, GD156)/(COUNTIF($GD$2:$GD$92, "&lt;&gt;""") - COUNTIF($GD$2:$GD$92, ""))</f>
        <v>1.1111111111111112E-2</v>
      </c>
      <c r="GF156" s="207"/>
      <c r="GG156" s="36"/>
      <c r="GH156" s="209" t="e">
        <f t="shared" ca="1" si="107"/>
        <v>#NAME?</v>
      </c>
      <c r="GI156" s="212" t="e">
        <f t="shared" ca="1" si="274"/>
        <v>#NAME?</v>
      </c>
    </row>
    <row r="157" spans="1:191" ht="15.75" customHeight="1">
      <c r="A157" s="171"/>
      <c r="B157" s="171" t="s">
        <v>501</v>
      </c>
      <c r="C157" s="16">
        <v>1767762</v>
      </c>
      <c r="D157" s="233" t="s">
        <v>1365</v>
      </c>
      <c r="E157" s="234">
        <v>43586.397916666669</v>
      </c>
      <c r="F157" s="16" t="s">
        <v>329</v>
      </c>
      <c r="G157" s="235" t="s">
        <v>1366</v>
      </c>
      <c r="H157" s="235" t="s">
        <v>1367</v>
      </c>
      <c r="I157" s="241">
        <v>43822</v>
      </c>
      <c r="J157" s="233" t="s">
        <v>1368</v>
      </c>
      <c r="K157" s="233" t="s">
        <v>1365</v>
      </c>
      <c r="M157" s="16" t="s">
        <v>319</v>
      </c>
      <c r="N157" s="16" t="s">
        <v>29</v>
      </c>
      <c r="O157" s="16" t="s">
        <v>30</v>
      </c>
      <c r="P157" s="16" t="s">
        <v>174</v>
      </c>
      <c r="Q157" s="16" t="s">
        <v>35</v>
      </c>
      <c r="S157" s="16" t="s">
        <v>269</v>
      </c>
      <c r="T157" s="237"/>
      <c r="U157" s="213"/>
      <c r="V157" s="54"/>
      <c r="W157" s="54">
        <v>5000000</v>
      </c>
      <c r="X157" s="226">
        <v>0.2</v>
      </c>
      <c r="Y157" s="55">
        <f t="shared" si="158"/>
        <v>4000000</v>
      </c>
      <c r="Z157" s="274">
        <f t="shared" si="159"/>
        <v>4000000</v>
      </c>
      <c r="AA157" s="183" t="e">
        <f t="shared" ca="1" si="160"/>
        <v>#NAME?</v>
      </c>
      <c r="AB157" s="16" t="s">
        <v>178</v>
      </c>
      <c r="AC157" s="16" t="s">
        <v>179</v>
      </c>
      <c r="AD157" s="16" t="s">
        <v>180</v>
      </c>
      <c r="AE157" s="16" t="s">
        <v>227</v>
      </c>
      <c r="AF157" s="16" t="s">
        <v>39</v>
      </c>
      <c r="AG157" s="16" t="s">
        <v>181</v>
      </c>
      <c r="AH157" s="16" t="s">
        <v>227</v>
      </c>
      <c r="AI157" s="54"/>
      <c r="AJ157" s="278">
        <v>6500000000</v>
      </c>
      <c r="AK157" s="224" t="e">
        <f t="shared" ca="1" si="161"/>
        <v>#NAME?</v>
      </c>
      <c r="AL157" s="278">
        <v>6500000000</v>
      </c>
      <c r="AM157" s="224" t="e">
        <f t="shared" ca="1" si="162"/>
        <v>#NAME?</v>
      </c>
      <c r="AN157" s="278">
        <v>0.32</v>
      </c>
      <c r="AO157" s="185" t="e">
        <f t="shared" ca="1" si="63"/>
        <v>#NAME?</v>
      </c>
      <c r="AP157" s="185" t="s">
        <v>264</v>
      </c>
      <c r="AQ157" s="16" t="s">
        <v>181</v>
      </c>
      <c r="AR157" s="16" t="s">
        <v>181</v>
      </c>
      <c r="AS157" s="16" t="s">
        <v>42</v>
      </c>
      <c r="AT157" s="159"/>
      <c r="AU157" s="159"/>
      <c r="AV157" s="16" t="s">
        <v>190</v>
      </c>
      <c r="AW157" s="16" t="s">
        <v>190</v>
      </c>
      <c r="AX157" s="16" t="s">
        <v>227</v>
      </c>
      <c r="AY157" s="16" t="s">
        <v>227</v>
      </c>
      <c r="AZ157" s="54">
        <v>0</v>
      </c>
      <c r="BA157" s="55" t="e">
        <f t="shared" ca="1" si="163"/>
        <v>#NAME?</v>
      </c>
      <c r="BB157" s="278">
        <v>1057</v>
      </c>
      <c r="BC157" s="278">
        <v>1200000</v>
      </c>
      <c r="BD157" s="62" t="e">
        <f t="shared" ca="1" si="164"/>
        <v>#NAME?</v>
      </c>
      <c r="BE157" s="277">
        <f t="shared" si="165"/>
        <v>8.8083333333333329E-4</v>
      </c>
      <c r="BF157" s="62" t="e">
        <f t="shared" ca="1" si="166"/>
        <v>#NAME?</v>
      </c>
      <c r="BG157" s="16" t="s">
        <v>202</v>
      </c>
      <c r="BI157" s="16" t="s">
        <v>227</v>
      </c>
      <c r="BJ157" s="16">
        <v>1</v>
      </c>
      <c r="BK157" s="278">
        <v>2</v>
      </c>
      <c r="BL157" s="16" t="s">
        <v>227</v>
      </c>
      <c r="BM157" s="16" t="s">
        <v>190</v>
      </c>
      <c r="BN157" s="16" t="s">
        <v>227</v>
      </c>
      <c r="BO157" s="16" t="s">
        <v>190</v>
      </c>
      <c r="BP157" s="16">
        <v>3</v>
      </c>
      <c r="BQ157" s="16">
        <v>24</v>
      </c>
      <c r="BR157" s="16">
        <v>3</v>
      </c>
      <c r="BS157" s="16">
        <v>0</v>
      </c>
      <c r="BT157" s="205"/>
      <c r="BU157" s="16">
        <v>2</v>
      </c>
      <c r="BV157" s="16">
        <v>0</v>
      </c>
      <c r="BW157" s="16">
        <v>34</v>
      </c>
      <c r="BX157" s="16" t="s">
        <v>227</v>
      </c>
      <c r="BY157" s="205"/>
      <c r="BZ157" s="16">
        <v>4</v>
      </c>
      <c r="CA157" s="16">
        <v>0</v>
      </c>
      <c r="CB157" s="16">
        <v>30</v>
      </c>
      <c r="CC157" s="16" t="s">
        <v>227</v>
      </c>
      <c r="CD157" s="205"/>
      <c r="CI157" s="205"/>
      <c r="CN157" s="205"/>
      <c r="CS157" s="205"/>
      <c r="CX157" s="205"/>
      <c r="DC157" s="205"/>
      <c r="DH157" s="205"/>
      <c r="DM157" s="205"/>
      <c r="DN157" s="205"/>
      <c r="DO157" s="205"/>
      <c r="DQ157" s="206"/>
      <c r="DR157" s="188">
        <f t="shared" si="64"/>
        <v>3</v>
      </c>
      <c r="DS157" s="188"/>
      <c r="DT157" s="189">
        <f t="shared" si="65"/>
        <v>0</v>
      </c>
      <c r="DU157" s="189"/>
      <c r="DV157" s="188">
        <f t="shared" si="66"/>
        <v>32</v>
      </c>
      <c r="DW157" s="183" t="e">
        <f t="shared" ca="1" si="67"/>
        <v>#NAME?</v>
      </c>
      <c r="DX157" s="207"/>
      <c r="DY157" s="190" t="e">
        <f t="shared" ca="1" si="68"/>
        <v>#NAME?</v>
      </c>
      <c r="DZ157" s="191">
        <f t="shared" si="264"/>
        <v>3.1052631578947367</v>
      </c>
      <c r="EA157" s="191" t="str">
        <f t="shared" si="265"/>
        <v/>
      </c>
      <c r="EB157" s="191" t="str">
        <f t="shared" si="266"/>
        <v/>
      </c>
      <c r="EC157" s="208" t="e">
        <f t="shared" ca="1" si="72"/>
        <v>#NAME?</v>
      </c>
      <c r="ED157" s="36" t="str">
        <f t="shared" si="73"/>
        <v>SAFE</v>
      </c>
      <c r="EE157" s="193">
        <f>COUNTIF($ED$2:$ED$92, ED157)/(COUNTIF($ED$2:$ED$92, "&lt;&gt;""") - COUNTIF($ED$2:$ED$92, ""))</f>
        <v>0.37777777777777777</v>
      </c>
      <c r="EF157" s="36" t="str">
        <f t="shared" si="74"/>
        <v>Early</v>
      </c>
      <c r="EG157" s="207"/>
      <c r="EH157" s="194" t="e">
        <f t="shared" ca="1" si="75"/>
        <v>#NAME?</v>
      </c>
      <c r="EI157" s="194" t="e">
        <f t="shared" ca="1" si="76"/>
        <v>#NAME?</v>
      </c>
      <c r="EJ157" s="209" t="e">
        <f t="shared" ca="1" si="77"/>
        <v>#NAME?</v>
      </c>
      <c r="EK157" s="208" t="e">
        <f t="shared" ca="1" si="267"/>
        <v>#NAME?</v>
      </c>
      <c r="EL157" s="36" t="str">
        <f t="shared" si="79"/>
        <v>No</v>
      </c>
      <c r="EM157" s="207"/>
      <c r="EN157" s="192">
        <f t="shared" si="268"/>
        <v>1.2857142857142856</v>
      </c>
      <c r="EO157" s="192">
        <f t="shared" si="269"/>
        <v>1</v>
      </c>
      <c r="EP157" s="209">
        <f t="shared" si="82"/>
        <v>2.2857142857142856</v>
      </c>
      <c r="EQ157" s="210">
        <f t="shared" si="270"/>
        <v>1.2242990654205608</v>
      </c>
      <c r="ER157" s="36" t="e">
        <f t="shared" ca="1" si="84"/>
        <v>#NAME?</v>
      </c>
      <c r="ES157" s="40">
        <f ca="1">COUNTIF($ER$2:$ER$92, ER157)/(COUNTIF($ER$2:$ER$92, "&lt;&gt;""") - COUNTIF($ER$2:$ER$92, ""))</f>
        <v>1</v>
      </c>
      <c r="ET157" s="36">
        <f t="shared" si="85"/>
        <v>2</v>
      </c>
      <c r="EU157" s="40">
        <f>COUNTIF($ET$2:$ET$92, ET157)/(COUNTIF($ET$2:$ET$92, "&lt;&gt;""") - COUNTIF($ET$2:$ET$92, ""))</f>
        <v>0.45555555555555555</v>
      </c>
      <c r="EV157" s="36">
        <f t="shared" si="86"/>
        <v>24</v>
      </c>
      <c r="EW157" s="40">
        <f>COUNTIF($EV$2:$EV$92, EV157)/(COUNTIF($EV$2:$EV$92, "&lt;&gt;""") - COUNTIF($EV$2:$EV$92, ""))</f>
        <v>0</v>
      </c>
      <c r="EX157" s="36" t="str">
        <f t="shared" si="87"/>
        <v>Yes</v>
      </c>
      <c r="EY157" s="40">
        <f>COUNTIF($EX$2:$EX$92, EX157)/(COUNTIF($EX$2:$EX$92, "&lt;&gt;""") - COUNTIF($EX$2:$EX$92, ""))</f>
        <v>0.27777777777777779</v>
      </c>
      <c r="EZ157" s="36" t="str">
        <f t="shared" ref="EZ157:FB157" si="290">BM157</f>
        <v>No</v>
      </c>
      <c r="FA157" s="36" t="str">
        <f t="shared" si="290"/>
        <v>Yes</v>
      </c>
      <c r="FB157" s="36" t="str">
        <f t="shared" si="290"/>
        <v>No</v>
      </c>
      <c r="FC157" s="207"/>
      <c r="FD157" s="36" t="str">
        <f t="shared" si="89"/>
        <v>Recurring</v>
      </c>
      <c r="FE157" s="40">
        <f>COUNTIF($FD$2:$FD$92, FD157)/(COUNTIF($FD$2:$FD$92, "&lt;&gt;""") - COUNTIF($FD$2:$FD$92, ""))</f>
        <v>0.4</v>
      </c>
      <c r="FF157" s="36" t="str">
        <f t="shared" si="90"/>
        <v>B2C</v>
      </c>
      <c r="FG157" s="40">
        <f>COUNTIF($FF$2:$FF$92, FF157)/(COUNTIF($FF$2:$FF$92, "&lt;&gt;""") - COUNTIF($FF$2:$FF$92, ""))</f>
        <v>0.41111111111111109</v>
      </c>
      <c r="FH157" s="36" t="str">
        <f t="shared" si="91"/>
        <v>High</v>
      </c>
      <c r="FI157" s="40">
        <f>COUNTIF($FH$2:$FH$92, FH157)/(COUNTIF($FH$2:$FH$92, "&lt;&gt;""") - COUNTIF($FH$2:$FH$92, ""))</f>
        <v>0.53333333333333333</v>
      </c>
      <c r="FJ157" s="36" t="str">
        <f t="shared" si="92"/>
        <v>Low</v>
      </c>
      <c r="FK157" s="40">
        <f>COUNTIF($FJ$2:$FJ$92, FJ157)/(COUNTIF($FJ$2:$FJ$92, "&lt;&gt;""") - COUNTIF($FJ$2:$FJ$92, ""))</f>
        <v>0.41111111111111109</v>
      </c>
      <c r="FL157" s="207"/>
      <c r="FM157" s="192">
        <f t="shared" si="93"/>
        <v>5</v>
      </c>
      <c r="FN157" s="192" t="e">
        <f t="shared" ca="1" si="94"/>
        <v>#NAME?</v>
      </c>
      <c r="FO157" s="192" t="e">
        <f t="shared" ca="1" si="95"/>
        <v>#NAME?</v>
      </c>
      <c r="FP157" s="192" t="e">
        <f t="shared" ca="1" si="96"/>
        <v>#NAME?</v>
      </c>
      <c r="FQ157" s="209" t="e">
        <f t="shared" ca="1" si="97"/>
        <v>#NAME?</v>
      </c>
      <c r="FR157" s="208" t="e">
        <f t="shared" ca="1" si="272"/>
        <v>#NAME?</v>
      </c>
      <c r="FS157" s="36" t="str">
        <f t="shared" si="99"/>
        <v>Pre-Profit</v>
      </c>
      <c r="FT157" s="196">
        <f>COUNTIF($FS$2:$FS$92, FS157)/(COUNTIF($FS$2:$FS$92, "&lt;&gt;""") - COUNTIF($FZ$2:$FZ$92, ""))</f>
        <v>0.51111111111111107</v>
      </c>
      <c r="FU157" s="207"/>
      <c r="FV157" s="192" t="e">
        <f t="shared" ca="1" si="100"/>
        <v>#NAME?</v>
      </c>
      <c r="FW157" s="197" t="e">
        <f t="shared" ca="1" si="101"/>
        <v>#NAME?</v>
      </c>
      <c r="FX157" s="209" t="e">
        <f t="shared" ca="1" si="102"/>
        <v>#NAME?</v>
      </c>
      <c r="FY157" s="211" t="e">
        <f t="shared" ca="1" si="273"/>
        <v>#NAME?</v>
      </c>
      <c r="FZ157" s="36" t="str">
        <f t="shared" si="104"/>
        <v>No</v>
      </c>
      <c r="GA157" s="196">
        <f>COUNTIF($FZ$2:$FZ$92, FZ157)/(COUNTIF($FZ$2:$FZ$92, "&lt;&gt;""") - COUNTIF($FZ$2:$FZ$92, ""))</f>
        <v>0.76666666666666672</v>
      </c>
      <c r="GB157" s="196">
        <f t="shared" si="105"/>
        <v>0</v>
      </c>
      <c r="GC157" s="196">
        <f>COUNTIF($GB$2:$GB$92, GB157)/(COUNTIF($GB$2:$GB$92, "&lt;&gt;""") - COUNTIF($GB$2:$GB$92, ""))</f>
        <v>1.1111111111111112E-2</v>
      </c>
      <c r="GD157" s="196">
        <f t="shared" si="106"/>
        <v>0</v>
      </c>
      <c r="GE157" s="196">
        <f>COUNTIF($GD$2:$GD$92, GD157)/(COUNTIF($GD$2:$GD$92, "&lt;&gt;""") - COUNTIF($GD$2:$GD$92, ""))</f>
        <v>1.1111111111111112E-2</v>
      </c>
      <c r="GF157" s="207"/>
      <c r="GG157" s="36"/>
      <c r="GH157" s="209" t="e">
        <f t="shared" ca="1" si="107"/>
        <v>#NAME?</v>
      </c>
      <c r="GI157" s="212" t="e">
        <f t="shared" ca="1" si="274"/>
        <v>#NAME?</v>
      </c>
    </row>
    <row r="158" spans="1:191" ht="15.75" customHeight="1">
      <c r="A158" s="171"/>
      <c r="B158" s="171" t="s">
        <v>501</v>
      </c>
      <c r="C158" s="16">
        <v>1773714</v>
      </c>
      <c r="D158" s="233" t="s">
        <v>1369</v>
      </c>
      <c r="E158" s="234">
        <v>43586.436111111114</v>
      </c>
      <c r="F158" s="16" t="s">
        <v>270</v>
      </c>
      <c r="G158" s="235" t="s">
        <v>1370</v>
      </c>
      <c r="H158" s="235" t="s">
        <v>1371</v>
      </c>
      <c r="I158" s="241">
        <v>43882</v>
      </c>
      <c r="J158" s="233" t="s">
        <v>1372</v>
      </c>
      <c r="K158" s="233" t="s">
        <v>1373</v>
      </c>
      <c r="M158" s="243" t="s">
        <v>28</v>
      </c>
      <c r="N158" s="16" t="s">
        <v>230</v>
      </c>
      <c r="O158" s="16" t="s">
        <v>173</v>
      </c>
      <c r="P158" s="16" t="s">
        <v>214</v>
      </c>
      <c r="Q158" s="16" t="s">
        <v>35</v>
      </c>
      <c r="S158" s="16" t="s">
        <v>232</v>
      </c>
      <c r="T158" s="237"/>
      <c r="U158" s="213"/>
      <c r="V158" s="54">
        <v>4054000</v>
      </c>
      <c r="W158" s="54"/>
      <c r="X158" s="226"/>
      <c r="Y158" s="55" t="str">
        <f t="shared" si="158"/>
        <v/>
      </c>
      <c r="Z158" s="274">
        <f t="shared" si="159"/>
        <v>4054000</v>
      </c>
      <c r="AA158" s="183" t="e">
        <f t="shared" ca="1" si="160"/>
        <v>#NAME?</v>
      </c>
      <c r="AB158" s="16" t="s">
        <v>178</v>
      </c>
      <c r="AC158" s="16" t="s">
        <v>218</v>
      </c>
      <c r="AD158" s="16" t="s">
        <v>180</v>
      </c>
      <c r="AE158" s="16" t="s">
        <v>227</v>
      </c>
      <c r="AF158" s="16" t="s">
        <v>39</v>
      </c>
      <c r="AG158" s="16" t="s">
        <v>181</v>
      </c>
      <c r="AH158" s="16" t="s">
        <v>190</v>
      </c>
      <c r="AI158" s="54"/>
      <c r="AJ158" s="278">
        <v>200000000000</v>
      </c>
      <c r="AK158" s="224" t="e">
        <f t="shared" ca="1" si="161"/>
        <v>#NAME?</v>
      </c>
      <c r="AL158" s="278">
        <v>200000000000</v>
      </c>
      <c r="AM158" s="224" t="e">
        <f t="shared" ca="1" si="162"/>
        <v>#NAME?</v>
      </c>
      <c r="AN158" s="278">
        <v>0.13</v>
      </c>
      <c r="AO158" s="185" t="e">
        <f t="shared" ca="1" si="63"/>
        <v>#NAME?</v>
      </c>
      <c r="AP158" s="185" t="s">
        <v>211</v>
      </c>
      <c r="AQ158" s="16" t="s">
        <v>181</v>
      </c>
      <c r="AR158" s="16" t="s">
        <v>181</v>
      </c>
      <c r="AS158" s="16" t="s">
        <v>42</v>
      </c>
      <c r="AT158" s="159"/>
      <c r="AU158" s="159"/>
      <c r="AV158" s="16" t="s">
        <v>190</v>
      </c>
      <c r="AW158" s="16" t="s">
        <v>190</v>
      </c>
      <c r="AX158" s="16" t="s">
        <v>227</v>
      </c>
      <c r="AY158" s="16" t="s">
        <v>227</v>
      </c>
      <c r="AZ158" s="54">
        <v>0</v>
      </c>
      <c r="BA158" s="55" t="e">
        <f t="shared" ca="1" si="163"/>
        <v>#NAME?</v>
      </c>
      <c r="BB158" s="278">
        <v>83</v>
      </c>
      <c r="BC158" s="278">
        <v>3005000</v>
      </c>
      <c r="BD158" s="62" t="e">
        <f t="shared" ca="1" si="164"/>
        <v>#NAME?</v>
      </c>
      <c r="BE158" s="277">
        <f t="shared" si="165"/>
        <v>2.7620632279534109E-5</v>
      </c>
      <c r="BF158" s="62" t="e">
        <f t="shared" ca="1" si="166"/>
        <v>#NAME?</v>
      </c>
      <c r="BG158" s="16" t="s">
        <v>183</v>
      </c>
      <c r="BI158" s="16" t="s">
        <v>227</v>
      </c>
      <c r="BJ158" s="16">
        <v>1</v>
      </c>
      <c r="BK158" s="278">
        <v>2</v>
      </c>
      <c r="BL158" s="16" t="s">
        <v>227</v>
      </c>
      <c r="BM158" s="16" t="s">
        <v>190</v>
      </c>
      <c r="BN158" s="16" t="s">
        <v>227</v>
      </c>
      <c r="BO158" s="16" t="s">
        <v>190</v>
      </c>
      <c r="BP158" s="16">
        <v>1</v>
      </c>
      <c r="BQ158" s="16">
        <v>29</v>
      </c>
      <c r="BR158" s="16">
        <v>0</v>
      </c>
      <c r="BS158" s="16">
        <v>0</v>
      </c>
      <c r="BT158" s="205"/>
      <c r="BU158" s="16">
        <v>10</v>
      </c>
      <c r="BV158" s="16">
        <v>0</v>
      </c>
      <c r="BW158" s="16">
        <v>42</v>
      </c>
      <c r="BX158" s="16" t="s">
        <v>190</v>
      </c>
      <c r="BY158" s="205"/>
      <c r="BZ158" s="16">
        <v>3</v>
      </c>
      <c r="CA158" s="16">
        <v>0</v>
      </c>
      <c r="CC158" s="16" t="s">
        <v>190</v>
      </c>
      <c r="CD158" s="205"/>
      <c r="CI158" s="205"/>
      <c r="CN158" s="205"/>
      <c r="CS158" s="205"/>
      <c r="CX158" s="205"/>
      <c r="DC158" s="205"/>
      <c r="DH158" s="205"/>
      <c r="DM158" s="205"/>
      <c r="DN158" s="205"/>
      <c r="DO158" s="205"/>
      <c r="DQ158" s="206"/>
      <c r="DR158" s="188">
        <f t="shared" si="64"/>
        <v>6.5</v>
      </c>
      <c r="DS158" s="188"/>
      <c r="DT158" s="189">
        <f t="shared" si="65"/>
        <v>0</v>
      </c>
      <c r="DU158" s="189"/>
      <c r="DV158" s="188">
        <f t="shared" si="66"/>
        <v>42</v>
      </c>
      <c r="DW158" s="183" t="e">
        <f t="shared" ca="1" si="67"/>
        <v>#NAME?</v>
      </c>
      <c r="DX158" s="207"/>
      <c r="DY158" s="190" t="e">
        <f t="shared" ca="1" si="68"/>
        <v>#NAME?</v>
      </c>
      <c r="DZ158" s="191" t="str">
        <f t="shared" si="264"/>
        <v/>
      </c>
      <c r="EA158" s="191" t="str">
        <f t="shared" si="265"/>
        <v/>
      </c>
      <c r="EB158" s="191" t="str">
        <f t="shared" si="266"/>
        <v/>
      </c>
      <c r="EC158" s="208" t="e">
        <f t="shared" ca="1" si="72"/>
        <v>#NAME?</v>
      </c>
      <c r="ED158" s="36" t="str">
        <f t="shared" si="73"/>
        <v>Equity - Preferred</v>
      </c>
      <c r="EE158" s="193">
        <f>COUNTIF($ED$2:$ED$92, ED158)/(COUNTIF($ED$2:$ED$92, "&lt;&gt;""") - COUNTIF($ED$2:$ED$92, ""))</f>
        <v>6.6666666666666666E-2</v>
      </c>
      <c r="EF158" s="36" t="str">
        <f t="shared" si="74"/>
        <v>Growth</v>
      </c>
      <c r="EG158" s="207"/>
      <c r="EH158" s="194" t="e">
        <f t="shared" ca="1" si="75"/>
        <v>#NAME?</v>
      </c>
      <c r="EI158" s="194" t="e">
        <f t="shared" ca="1" si="76"/>
        <v>#NAME?</v>
      </c>
      <c r="EJ158" s="209" t="e">
        <f t="shared" ca="1" si="77"/>
        <v>#NAME?</v>
      </c>
      <c r="EK158" s="208" t="e">
        <f t="shared" ca="1" si="267"/>
        <v>#NAME?</v>
      </c>
      <c r="EL158" s="36" t="str">
        <f t="shared" si="79"/>
        <v>No</v>
      </c>
      <c r="EM158" s="207"/>
      <c r="EN158" s="192">
        <f t="shared" si="268"/>
        <v>1.6190476190476191</v>
      </c>
      <c r="EO158" s="192">
        <f t="shared" si="269"/>
        <v>1</v>
      </c>
      <c r="EP158" s="209">
        <f t="shared" si="82"/>
        <v>2.6190476190476191</v>
      </c>
      <c r="EQ158" s="210">
        <f t="shared" si="270"/>
        <v>1.485981308411215</v>
      </c>
      <c r="ER158" s="36" t="e">
        <f t="shared" ca="1" si="84"/>
        <v>#NAME?</v>
      </c>
      <c r="ES158" s="40">
        <f ca="1">COUNTIF($ER$2:$ER$92, ER158)/(COUNTIF($ER$2:$ER$92, "&lt;&gt;""") - COUNTIF($ER$2:$ER$92, ""))</f>
        <v>1</v>
      </c>
      <c r="ET158" s="36">
        <f t="shared" si="85"/>
        <v>2</v>
      </c>
      <c r="EU158" s="40">
        <f>COUNTIF($ET$2:$ET$92, ET158)/(COUNTIF($ET$2:$ET$92, "&lt;&gt;""") - COUNTIF($ET$2:$ET$92, ""))</f>
        <v>0.45555555555555555</v>
      </c>
      <c r="EV158" s="36">
        <f t="shared" si="86"/>
        <v>29</v>
      </c>
      <c r="EW158" s="40">
        <f>COUNTIF($EV$2:$EV$92, EV158)/(COUNTIF($EV$2:$EV$92, "&lt;&gt;""") - COUNTIF($EV$2:$EV$92, ""))</f>
        <v>1.1111111111111112E-2</v>
      </c>
      <c r="EX158" s="36" t="str">
        <f t="shared" si="87"/>
        <v>Yes</v>
      </c>
      <c r="EY158" s="40">
        <f>COUNTIF($EX$2:$EX$92, EX158)/(COUNTIF($EX$2:$EX$92, "&lt;&gt;""") - COUNTIF($EX$2:$EX$92, ""))</f>
        <v>0.27777777777777779</v>
      </c>
      <c r="EZ158" s="36" t="str">
        <f t="shared" ref="EZ158:FB158" si="291">BM158</f>
        <v>No</v>
      </c>
      <c r="FA158" s="36" t="str">
        <f t="shared" si="291"/>
        <v>Yes</v>
      </c>
      <c r="FB158" s="36" t="str">
        <f t="shared" si="291"/>
        <v>No</v>
      </c>
      <c r="FC158" s="207"/>
      <c r="FD158" s="36" t="str">
        <f t="shared" si="89"/>
        <v>Recurring</v>
      </c>
      <c r="FE158" s="40">
        <f>COUNTIF($FD$2:$FD$92, FD158)/(COUNTIF($FD$2:$FD$92, "&lt;&gt;""") - COUNTIF($FD$2:$FD$92, ""))</f>
        <v>0.4</v>
      </c>
      <c r="FF158" s="36" t="str">
        <f t="shared" si="90"/>
        <v>B2B/B2C</v>
      </c>
      <c r="FG158" s="40">
        <f>COUNTIF($FF$2:$FF$92, FF158)/(COUNTIF($FF$2:$FF$92, "&lt;&gt;""") - COUNTIF($FF$2:$FF$92, ""))</f>
        <v>0.27777777777777779</v>
      </c>
      <c r="FH158" s="36" t="str">
        <f t="shared" si="91"/>
        <v>High</v>
      </c>
      <c r="FI158" s="40">
        <f>COUNTIF($FH$2:$FH$92, FH158)/(COUNTIF($FH$2:$FH$92, "&lt;&gt;""") - COUNTIF($FH$2:$FH$92, ""))</f>
        <v>0.53333333333333333</v>
      </c>
      <c r="FJ158" s="36" t="str">
        <f t="shared" si="92"/>
        <v>Low</v>
      </c>
      <c r="FK158" s="40">
        <f>COUNTIF($FJ$2:$FJ$92, FJ158)/(COUNTIF($FJ$2:$FJ$92, "&lt;&gt;""") - COUNTIF($FJ$2:$FJ$92, ""))</f>
        <v>0.41111111111111109</v>
      </c>
      <c r="FL158" s="207"/>
      <c r="FM158" s="192">
        <f t="shared" si="93"/>
        <v>5</v>
      </c>
      <c r="FN158" s="192" t="e">
        <f t="shared" ca="1" si="94"/>
        <v>#NAME?</v>
      </c>
      <c r="FO158" s="192" t="e">
        <f t="shared" ca="1" si="95"/>
        <v>#NAME?</v>
      </c>
      <c r="FP158" s="192" t="e">
        <f t="shared" ca="1" si="96"/>
        <v>#NAME?</v>
      </c>
      <c r="FQ158" s="209" t="e">
        <f t="shared" ca="1" si="97"/>
        <v>#NAME?</v>
      </c>
      <c r="FR158" s="208" t="e">
        <f t="shared" ca="1" si="272"/>
        <v>#NAME?</v>
      </c>
      <c r="FS158" s="36" t="str">
        <f t="shared" si="99"/>
        <v>Pre-Revenue</v>
      </c>
      <c r="FT158" s="196">
        <f>COUNTIF($FS$2:$FS$92, FS158)/(COUNTIF($FS$2:$FS$92, "&lt;&gt;""") - COUNTIF($FZ$2:$FZ$92, ""))</f>
        <v>0.2</v>
      </c>
      <c r="FU158" s="207"/>
      <c r="FV158" s="192" t="e">
        <f t="shared" ca="1" si="100"/>
        <v>#NAME?</v>
      </c>
      <c r="FW158" s="197" t="e">
        <f t="shared" ca="1" si="101"/>
        <v>#NAME?</v>
      </c>
      <c r="FX158" s="209" t="e">
        <f t="shared" ca="1" si="102"/>
        <v>#NAME?</v>
      </c>
      <c r="FY158" s="211" t="e">
        <f t="shared" ca="1" si="273"/>
        <v>#NAME?</v>
      </c>
      <c r="FZ158" s="36" t="str">
        <f t="shared" si="104"/>
        <v>No</v>
      </c>
      <c r="GA158" s="196">
        <f>COUNTIF($FZ$2:$FZ$92, FZ158)/(COUNTIF($FZ$2:$FZ$92, "&lt;&gt;""") - COUNTIF($FZ$2:$FZ$92, ""))</f>
        <v>0.76666666666666672</v>
      </c>
      <c r="GB158" s="196">
        <f t="shared" si="105"/>
        <v>0</v>
      </c>
      <c r="GC158" s="196">
        <f>COUNTIF($GB$2:$GB$92, GB158)/(COUNTIF($GB$2:$GB$92, "&lt;&gt;""") - COUNTIF($GB$2:$GB$92, ""))</f>
        <v>1.1111111111111112E-2</v>
      </c>
      <c r="GD158" s="196">
        <f t="shared" si="106"/>
        <v>0</v>
      </c>
      <c r="GE158" s="196">
        <f>COUNTIF($GD$2:$GD$92, GD158)/(COUNTIF($GD$2:$GD$92, "&lt;&gt;""") - COUNTIF($GD$2:$GD$92, ""))</f>
        <v>1.1111111111111112E-2</v>
      </c>
      <c r="GF158" s="207"/>
      <c r="GG158" s="36"/>
      <c r="GH158" s="209" t="e">
        <f t="shared" ca="1" si="107"/>
        <v>#NAME?</v>
      </c>
      <c r="GI158" s="212" t="e">
        <f t="shared" ca="1" si="274"/>
        <v>#NAME?</v>
      </c>
    </row>
    <row r="159" spans="1:191" ht="15.75" customHeight="1">
      <c r="A159" s="171"/>
      <c r="B159" s="171" t="s">
        <v>501</v>
      </c>
      <c r="C159" s="16">
        <v>1775091</v>
      </c>
      <c r="D159" s="233" t="s">
        <v>1374</v>
      </c>
      <c r="E159" s="234">
        <v>43600.459027777775</v>
      </c>
      <c r="F159" s="16" t="s">
        <v>270</v>
      </c>
      <c r="G159" s="235" t="s">
        <v>1375</v>
      </c>
      <c r="H159" s="235" t="s">
        <v>1376</v>
      </c>
      <c r="I159" s="241">
        <v>43843</v>
      </c>
      <c r="J159" s="233" t="s">
        <v>1377</v>
      </c>
      <c r="K159" s="233" t="s">
        <v>1374</v>
      </c>
      <c r="M159" s="29" t="s">
        <v>331</v>
      </c>
      <c r="N159" s="16" t="s">
        <v>168</v>
      </c>
      <c r="O159" s="16" t="s">
        <v>30</v>
      </c>
      <c r="P159" s="16" t="s">
        <v>31</v>
      </c>
      <c r="Q159" s="16" t="s">
        <v>35</v>
      </c>
      <c r="S159" s="16" t="s">
        <v>176</v>
      </c>
      <c r="T159" s="237"/>
      <c r="U159" s="213"/>
      <c r="V159" s="54"/>
      <c r="W159" s="54">
        <v>2500000</v>
      </c>
      <c r="X159" s="226">
        <v>0.1</v>
      </c>
      <c r="Y159" s="55">
        <f t="shared" si="158"/>
        <v>2250000</v>
      </c>
      <c r="Z159" s="274">
        <f t="shared" si="159"/>
        <v>2250000</v>
      </c>
      <c r="AA159" s="183" t="e">
        <f t="shared" ca="1" si="160"/>
        <v>#NAME?</v>
      </c>
      <c r="AB159" s="16" t="s">
        <v>178</v>
      </c>
      <c r="AC159" s="16" t="s">
        <v>37</v>
      </c>
      <c r="AD159" s="16" t="s">
        <v>38</v>
      </c>
      <c r="AE159" s="16" t="s">
        <v>227</v>
      </c>
      <c r="AF159" s="16" t="s">
        <v>39</v>
      </c>
      <c r="AG159" s="16" t="s">
        <v>39</v>
      </c>
      <c r="AH159" s="16" t="s">
        <v>190</v>
      </c>
      <c r="AI159" s="54"/>
      <c r="AJ159" s="278">
        <v>200000000000</v>
      </c>
      <c r="AK159" s="224" t="e">
        <f t="shared" ca="1" si="161"/>
        <v>#NAME?</v>
      </c>
      <c r="AL159" s="278">
        <v>4710000000</v>
      </c>
      <c r="AM159" s="224" t="e">
        <f t="shared" ca="1" si="162"/>
        <v>#NAME?</v>
      </c>
      <c r="AN159" s="278">
        <v>0.16</v>
      </c>
      <c r="AO159" s="185" t="e">
        <f t="shared" ca="1" si="63"/>
        <v>#NAME?</v>
      </c>
      <c r="AP159" s="185" t="s">
        <v>192</v>
      </c>
      <c r="AQ159" s="16" t="s">
        <v>181</v>
      </c>
      <c r="AR159" s="16" t="s">
        <v>181</v>
      </c>
      <c r="AS159" s="16" t="s">
        <v>42</v>
      </c>
      <c r="AT159" s="159"/>
      <c r="AU159" s="159"/>
      <c r="AV159" s="16" t="s">
        <v>190</v>
      </c>
      <c r="AW159" s="16" t="s">
        <v>190</v>
      </c>
      <c r="AX159" s="16" t="s">
        <v>190</v>
      </c>
      <c r="AY159" s="16" t="s">
        <v>190</v>
      </c>
      <c r="AZ159" s="54">
        <v>0</v>
      </c>
      <c r="BA159" s="55" t="e">
        <f t="shared" ca="1" si="163"/>
        <v>#NAME?</v>
      </c>
      <c r="BB159" s="278">
        <v>50</v>
      </c>
      <c r="BC159" s="278">
        <v>0</v>
      </c>
      <c r="BD159" s="62" t="e">
        <f t="shared" ca="1" si="164"/>
        <v>#NAME?</v>
      </c>
      <c r="BE159" s="277">
        <f t="shared" si="165"/>
        <v>1</v>
      </c>
      <c r="BF159" s="62" t="e">
        <f t="shared" ca="1" si="166"/>
        <v>#NAME?</v>
      </c>
      <c r="BG159" s="16" t="s">
        <v>183</v>
      </c>
      <c r="BI159" s="16" t="s">
        <v>190</v>
      </c>
      <c r="BJ159" s="16">
        <v>0</v>
      </c>
      <c r="BK159" s="278">
        <v>1</v>
      </c>
      <c r="BL159" s="16" t="s">
        <v>190</v>
      </c>
      <c r="BM159" s="16" t="s">
        <v>190</v>
      </c>
      <c r="BN159" s="16" t="s">
        <v>227</v>
      </c>
      <c r="BO159" s="16" t="s">
        <v>190</v>
      </c>
      <c r="BP159" s="16">
        <v>2</v>
      </c>
      <c r="BQ159" s="16">
        <v>1</v>
      </c>
      <c r="BR159" s="16">
        <v>0</v>
      </c>
      <c r="BS159" s="16">
        <v>0</v>
      </c>
      <c r="BT159" s="205"/>
      <c r="BU159" s="16">
        <v>0</v>
      </c>
      <c r="BV159" s="16">
        <v>0</v>
      </c>
      <c r="BW159" s="16">
        <v>55</v>
      </c>
      <c r="BX159" s="16" t="s">
        <v>190</v>
      </c>
      <c r="BY159" s="205"/>
      <c r="CD159" s="205"/>
      <c r="CI159" s="205"/>
      <c r="CN159" s="205"/>
      <c r="CS159" s="205"/>
      <c r="CX159" s="205"/>
      <c r="DC159" s="205"/>
      <c r="DH159" s="205"/>
      <c r="DM159" s="205"/>
      <c r="DN159" s="205"/>
      <c r="DO159" s="205"/>
      <c r="DQ159" s="206"/>
      <c r="DR159" s="188">
        <f t="shared" si="64"/>
        <v>0</v>
      </c>
      <c r="DS159" s="188"/>
      <c r="DT159" s="189">
        <f t="shared" si="65"/>
        <v>0</v>
      </c>
      <c r="DU159" s="189"/>
      <c r="DV159" s="188">
        <f t="shared" si="66"/>
        <v>55</v>
      </c>
      <c r="DW159" s="183" t="e">
        <f t="shared" ca="1" si="67"/>
        <v>#NAME?</v>
      </c>
      <c r="DX159" s="207"/>
      <c r="DY159" s="190" t="e">
        <f t="shared" ca="1" si="68"/>
        <v>#NAME?</v>
      </c>
      <c r="DZ159" s="191">
        <f t="shared" si="264"/>
        <v>2.0526315789473681</v>
      </c>
      <c r="EA159" s="191" t="str">
        <f t="shared" si="265"/>
        <v/>
      </c>
      <c r="EB159" s="191" t="str">
        <f t="shared" si="266"/>
        <v/>
      </c>
      <c r="EC159" s="208" t="e">
        <f t="shared" ca="1" si="72"/>
        <v>#NAME?</v>
      </c>
      <c r="ED159" s="36" t="str">
        <f t="shared" si="73"/>
        <v>Convertible Note</v>
      </c>
      <c r="EE159" s="193">
        <f>COUNTIF($ED$2:$ED$92, ED159)/(COUNTIF($ED$2:$ED$92, "&lt;&gt;""") - COUNTIF($ED$2:$ED$92, ""))</f>
        <v>0.13333333333333333</v>
      </c>
      <c r="EF159" s="36" t="str">
        <f t="shared" si="74"/>
        <v>Early</v>
      </c>
      <c r="EG159" s="207"/>
      <c r="EH159" s="194" t="e">
        <f t="shared" ca="1" si="75"/>
        <v>#NAME?</v>
      </c>
      <c r="EI159" s="194" t="e">
        <f t="shared" ca="1" si="76"/>
        <v>#NAME?</v>
      </c>
      <c r="EJ159" s="209" t="e">
        <f t="shared" ca="1" si="77"/>
        <v>#NAME?</v>
      </c>
      <c r="EK159" s="208" t="e">
        <f t="shared" ca="1" si="267"/>
        <v>#NAME?</v>
      </c>
      <c r="EL159" s="36" t="str">
        <f t="shared" si="79"/>
        <v>No</v>
      </c>
      <c r="EM159" s="207"/>
      <c r="EN159" s="192">
        <f t="shared" si="268"/>
        <v>1</v>
      </c>
      <c r="EO159" s="192">
        <f t="shared" si="269"/>
        <v>1</v>
      </c>
      <c r="EP159" s="209">
        <f t="shared" si="82"/>
        <v>2</v>
      </c>
      <c r="EQ159" s="210">
        <f t="shared" si="270"/>
        <v>1</v>
      </c>
      <c r="ER159" s="36" t="e">
        <f t="shared" ca="1" si="84"/>
        <v>#NAME?</v>
      </c>
      <c r="ES159" s="40">
        <f ca="1">COUNTIF($ER$2:$ER$92, ER159)/(COUNTIF($ER$2:$ER$92, "&lt;&gt;""") - COUNTIF($ER$2:$ER$92, ""))</f>
        <v>1</v>
      </c>
      <c r="ET159" s="36">
        <f t="shared" si="85"/>
        <v>1</v>
      </c>
      <c r="EU159" s="40">
        <f>COUNTIF($ET$2:$ET$92, ET159)/(COUNTIF($ET$2:$ET$92, "&lt;&gt;""") - COUNTIF($ET$2:$ET$92, ""))</f>
        <v>0.45555555555555555</v>
      </c>
      <c r="EV159" s="36">
        <f t="shared" si="86"/>
        <v>1</v>
      </c>
      <c r="EW159" s="40">
        <f>COUNTIF($EV$2:$EV$92, EV159)/(COUNTIF($EV$2:$EV$92, "&lt;&gt;""") - COUNTIF($EV$2:$EV$92, ""))</f>
        <v>7.7777777777777779E-2</v>
      </c>
      <c r="EX159" s="36" t="str">
        <f t="shared" si="87"/>
        <v>No</v>
      </c>
      <c r="EY159" s="40">
        <f>COUNTIF($EX$2:$EX$92, EX159)/(COUNTIF($EX$2:$EX$92, "&lt;&gt;""") - COUNTIF($EX$2:$EX$92, ""))</f>
        <v>0.72222222222222221</v>
      </c>
      <c r="EZ159" s="36" t="str">
        <f t="shared" ref="EZ159:FB159" si="292">BM159</f>
        <v>No</v>
      </c>
      <c r="FA159" s="36" t="str">
        <f t="shared" si="292"/>
        <v>Yes</v>
      </c>
      <c r="FB159" s="36" t="str">
        <f t="shared" si="292"/>
        <v>No</v>
      </c>
      <c r="FC159" s="207"/>
      <c r="FD159" s="36" t="str">
        <f t="shared" si="89"/>
        <v>Recurring</v>
      </c>
      <c r="FE159" s="40">
        <f>COUNTIF($FD$2:$FD$92, FD159)/(COUNTIF($FD$2:$FD$92, "&lt;&gt;""") - COUNTIF($FD$2:$FD$92, ""))</f>
        <v>0.4</v>
      </c>
      <c r="FF159" s="36" t="str">
        <f t="shared" si="90"/>
        <v>B2B</v>
      </c>
      <c r="FG159" s="40">
        <f>COUNTIF($FF$2:$FF$92, FF159)/(COUNTIF($FF$2:$FF$92, "&lt;&gt;""") - COUNTIF($FF$2:$FF$92, ""))</f>
        <v>0.24444444444444444</v>
      </c>
      <c r="FH159" s="36" t="str">
        <f t="shared" si="91"/>
        <v>High</v>
      </c>
      <c r="FI159" s="40">
        <f>COUNTIF($FH$2:$FH$92, FH159)/(COUNTIF($FH$2:$FH$92, "&lt;&gt;""") - COUNTIF($FH$2:$FH$92, ""))</f>
        <v>0.53333333333333333</v>
      </c>
      <c r="FJ159" s="36" t="str">
        <f t="shared" si="92"/>
        <v>High</v>
      </c>
      <c r="FK159" s="40">
        <f>COUNTIF($FJ$2:$FJ$92, FJ159)/(COUNTIF($FJ$2:$FJ$92, "&lt;&gt;""") - COUNTIF($FJ$2:$FJ$92, ""))</f>
        <v>0.58888888888888891</v>
      </c>
      <c r="FL159" s="207"/>
      <c r="FM159" s="192">
        <f t="shared" si="93"/>
        <v>1</v>
      </c>
      <c r="FN159" s="192" t="e">
        <f t="shared" ca="1" si="94"/>
        <v>#NAME?</v>
      </c>
      <c r="FO159" s="192" t="e">
        <f t="shared" ca="1" si="95"/>
        <v>#NAME?</v>
      </c>
      <c r="FP159" s="192" t="e">
        <f t="shared" ca="1" si="96"/>
        <v>#NAME?</v>
      </c>
      <c r="FQ159" s="209" t="e">
        <f t="shared" ca="1" si="97"/>
        <v>#NAME?</v>
      </c>
      <c r="FR159" s="208" t="e">
        <f t="shared" ca="1" si="272"/>
        <v>#NAME?</v>
      </c>
      <c r="FS159" s="36" t="str">
        <f t="shared" si="99"/>
        <v>Pre-Revenue</v>
      </c>
      <c r="FT159" s="196">
        <f>COUNTIF($FS$2:$FS$92, FS159)/(COUNTIF($FS$2:$FS$92, "&lt;&gt;""") - COUNTIF($FZ$2:$FZ$92, ""))</f>
        <v>0.2</v>
      </c>
      <c r="FU159" s="207"/>
      <c r="FV159" s="192" t="e">
        <f t="shared" ca="1" si="100"/>
        <v>#NAME?</v>
      </c>
      <c r="FW159" s="197" t="e">
        <f t="shared" ca="1" si="101"/>
        <v>#NAME?</v>
      </c>
      <c r="FX159" s="209" t="e">
        <f t="shared" ca="1" si="102"/>
        <v>#NAME?</v>
      </c>
      <c r="FY159" s="211" t="e">
        <f t="shared" ca="1" si="273"/>
        <v>#NAME?</v>
      </c>
      <c r="FZ159" s="36" t="str">
        <f t="shared" si="104"/>
        <v>No</v>
      </c>
      <c r="GA159" s="196">
        <f>COUNTIF($FZ$2:$FZ$92, FZ159)/(COUNTIF($FZ$2:$FZ$92, "&lt;&gt;""") - COUNTIF($FZ$2:$FZ$92, ""))</f>
        <v>0.76666666666666672</v>
      </c>
      <c r="GB159" s="196">
        <f t="shared" si="105"/>
        <v>0</v>
      </c>
      <c r="GC159" s="196">
        <f>COUNTIF($GB$2:$GB$92, GB159)/(COUNTIF($GB$2:$GB$92, "&lt;&gt;""") - COUNTIF($GB$2:$GB$92, ""))</f>
        <v>1.1111111111111112E-2</v>
      </c>
      <c r="GD159" s="196">
        <f t="shared" si="106"/>
        <v>0</v>
      </c>
      <c r="GE159" s="196">
        <f>COUNTIF($GD$2:$GD$92, GD159)/(COUNTIF($GD$2:$GD$92, "&lt;&gt;""") - COUNTIF($GD$2:$GD$92, ""))</f>
        <v>1.1111111111111112E-2</v>
      </c>
      <c r="GF159" s="207"/>
      <c r="GG159" s="36"/>
      <c r="GH159" s="209" t="e">
        <f t="shared" ca="1" si="107"/>
        <v>#NAME?</v>
      </c>
      <c r="GI159" s="212" t="e">
        <f t="shared" ca="1" si="274"/>
        <v>#NAME?</v>
      </c>
    </row>
    <row r="160" spans="1:191" ht="15.75" customHeight="1">
      <c r="A160" s="171"/>
      <c r="B160" s="171" t="s">
        <v>501</v>
      </c>
      <c r="C160" s="16">
        <v>1773062</v>
      </c>
      <c r="D160" s="233" t="s">
        <v>1378</v>
      </c>
      <c r="E160" s="234">
        <v>43601.490277777775</v>
      </c>
      <c r="F160" s="16" t="s">
        <v>312</v>
      </c>
      <c r="G160" s="235" t="s">
        <v>1379</v>
      </c>
      <c r="H160" s="235" t="s">
        <v>1380</v>
      </c>
      <c r="I160" s="241">
        <v>43598</v>
      </c>
      <c r="J160" s="233" t="s">
        <v>1381</v>
      </c>
      <c r="K160" s="233" t="s">
        <v>1378</v>
      </c>
      <c r="M160" s="16" t="s">
        <v>1072</v>
      </c>
      <c r="N160" s="16" t="s">
        <v>168</v>
      </c>
      <c r="O160" s="16" t="s">
        <v>173</v>
      </c>
      <c r="P160" s="16" t="s">
        <v>197</v>
      </c>
      <c r="Q160" s="16" t="s">
        <v>35</v>
      </c>
      <c r="S160" s="16" t="s">
        <v>216</v>
      </c>
      <c r="T160" s="237"/>
      <c r="U160" s="213"/>
      <c r="V160" s="54">
        <v>2400000</v>
      </c>
      <c r="W160" s="54"/>
      <c r="X160" s="226"/>
      <c r="Y160" s="55" t="str">
        <f t="shared" si="158"/>
        <v/>
      </c>
      <c r="Z160" s="274">
        <f t="shared" si="159"/>
        <v>2400000</v>
      </c>
      <c r="AA160" s="183" t="e">
        <f t="shared" ca="1" si="160"/>
        <v>#NAME?</v>
      </c>
      <c r="AB160" s="16" t="s">
        <v>178</v>
      </c>
      <c r="AC160" s="16" t="s">
        <v>37</v>
      </c>
      <c r="AD160" s="16" t="s">
        <v>38</v>
      </c>
      <c r="AE160" s="16" t="s">
        <v>227</v>
      </c>
      <c r="AF160" s="16" t="s">
        <v>181</v>
      </c>
      <c r="AG160" s="16" t="s">
        <v>181</v>
      </c>
      <c r="AH160" s="16" t="s">
        <v>190</v>
      </c>
      <c r="AI160" s="54"/>
      <c r="AJ160" s="278">
        <v>28000000000</v>
      </c>
      <c r="AK160" s="224" t="e">
        <f t="shared" ca="1" si="161"/>
        <v>#NAME?</v>
      </c>
      <c r="AL160" s="278">
        <v>28000000000</v>
      </c>
      <c r="AM160" s="224" t="e">
        <f t="shared" ca="1" si="162"/>
        <v>#NAME?</v>
      </c>
      <c r="AN160" s="278">
        <v>-0.05</v>
      </c>
      <c r="AO160" s="185" t="e">
        <f t="shared" ca="1" si="63"/>
        <v>#NAME?</v>
      </c>
      <c r="AP160" s="185" t="s">
        <v>264</v>
      </c>
      <c r="AQ160" s="16" t="s">
        <v>181</v>
      </c>
      <c r="AR160" s="16" t="s">
        <v>181</v>
      </c>
      <c r="AS160" s="16" t="s">
        <v>182</v>
      </c>
      <c r="AT160" s="159"/>
      <c r="AU160" s="159"/>
      <c r="AV160" s="16" t="s">
        <v>227</v>
      </c>
      <c r="AW160" s="16" t="s">
        <v>190</v>
      </c>
      <c r="AX160" s="16" t="s">
        <v>227</v>
      </c>
      <c r="AY160" s="16" t="s">
        <v>227</v>
      </c>
      <c r="AZ160" s="54">
        <v>305370</v>
      </c>
      <c r="BA160" s="55" t="e">
        <f t="shared" ca="1" si="163"/>
        <v>#NAME?</v>
      </c>
      <c r="BB160" s="278">
        <v>0</v>
      </c>
      <c r="BC160" s="278">
        <v>0</v>
      </c>
      <c r="BD160" s="62" t="e">
        <f t="shared" ca="1" si="164"/>
        <v>#NAME?</v>
      </c>
      <c r="BE160" s="277">
        <f t="shared" si="165"/>
        <v>1</v>
      </c>
      <c r="BF160" s="62" t="e">
        <f t="shared" ca="1" si="166"/>
        <v>#NAME?</v>
      </c>
      <c r="BG160" s="16" t="s">
        <v>219</v>
      </c>
      <c r="BI160" s="16" t="s">
        <v>227</v>
      </c>
      <c r="BJ160" s="16">
        <v>4</v>
      </c>
      <c r="BK160" s="278">
        <v>2</v>
      </c>
      <c r="BL160" s="16" t="s">
        <v>227</v>
      </c>
      <c r="BM160" s="16" t="s">
        <v>227</v>
      </c>
      <c r="BN160" s="16" t="s">
        <v>190</v>
      </c>
      <c r="BO160" s="16" t="s">
        <v>190</v>
      </c>
      <c r="BP160" s="16">
        <v>3</v>
      </c>
      <c r="BQ160" s="16">
        <v>3</v>
      </c>
      <c r="BR160" s="16">
        <v>0</v>
      </c>
      <c r="BS160" s="16">
        <v>0</v>
      </c>
      <c r="BT160" s="205"/>
      <c r="BU160" s="16">
        <v>11</v>
      </c>
      <c r="BV160" s="16">
        <v>0</v>
      </c>
      <c r="BW160" s="16">
        <v>44</v>
      </c>
      <c r="BX160" s="16" t="s">
        <v>190</v>
      </c>
      <c r="BY160" s="205"/>
      <c r="BZ160" s="16">
        <v>0</v>
      </c>
      <c r="CA160" s="16">
        <v>0</v>
      </c>
      <c r="CB160" s="16">
        <v>44</v>
      </c>
      <c r="CC160" s="16" t="s">
        <v>190</v>
      </c>
      <c r="CD160" s="205"/>
      <c r="CI160" s="205"/>
      <c r="CN160" s="205"/>
      <c r="CS160" s="205"/>
      <c r="CX160" s="205"/>
      <c r="DC160" s="205"/>
      <c r="DH160" s="205"/>
      <c r="DM160" s="205"/>
      <c r="DN160" s="205"/>
      <c r="DO160" s="205"/>
      <c r="DQ160" s="206"/>
      <c r="DR160" s="188">
        <f t="shared" si="64"/>
        <v>5.5</v>
      </c>
      <c r="DS160" s="188"/>
      <c r="DT160" s="189">
        <f t="shared" si="65"/>
        <v>0</v>
      </c>
      <c r="DU160" s="189"/>
      <c r="DV160" s="188">
        <f t="shared" si="66"/>
        <v>44</v>
      </c>
      <c r="DW160" s="183" t="e">
        <f t="shared" ca="1" si="67"/>
        <v>#NAME?</v>
      </c>
      <c r="DX160" s="207"/>
      <c r="DY160" s="190" t="e">
        <f t="shared" ca="1" si="68"/>
        <v>#NAME?</v>
      </c>
      <c r="DZ160" s="191" t="str">
        <f t="shared" si="264"/>
        <v/>
      </c>
      <c r="EA160" s="191" t="str">
        <f t="shared" si="265"/>
        <v/>
      </c>
      <c r="EB160" s="191" t="str">
        <f t="shared" si="266"/>
        <v/>
      </c>
      <c r="EC160" s="208" t="e">
        <f t="shared" ca="1" si="72"/>
        <v>#NAME?</v>
      </c>
      <c r="ED160" s="36" t="str">
        <f t="shared" si="73"/>
        <v>Equity - Common</v>
      </c>
      <c r="EE160" s="193">
        <f>COUNTIF($ED$2:$ED$92, ED160)/(COUNTIF($ED$2:$ED$92, "&lt;&gt;""") - COUNTIF($ED$2:$ED$92, ""))</f>
        <v>0.32222222222222224</v>
      </c>
      <c r="EF160" s="36" t="str">
        <f t="shared" si="74"/>
        <v>Growth</v>
      </c>
      <c r="EG160" s="207"/>
      <c r="EH160" s="194" t="e">
        <f t="shared" ca="1" si="75"/>
        <v>#NAME?</v>
      </c>
      <c r="EI160" s="194" t="e">
        <f t="shared" ca="1" si="76"/>
        <v>#NAME?</v>
      </c>
      <c r="EJ160" s="209" t="e">
        <f t="shared" ca="1" si="77"/>
        <v>#NAME?</v>
      </c>
      <c r="EK160" s="208" t="e">
        <f t="shared" ca="1" si="267"/>
        <v>#NAME?</v>
      </c>
      <c r="EL160" s="36" t="str">
        <f t="shared" si="79"/>
        <v>Yes</v>
      </c>
      <c r="EM160" s="207"/>
      <c r="EN160" s="192">
        <f t="shared" si="268"/>
        <v>1.5238095238095237</v>
      </c>
      <c r="EO160" s="192">
        <f t="shared" si="269"/>
        <v>1</v>
      </c>
      <c r="EP160" s="209">
        <f t="shared" si="82"/>
        <v>2.5238095238095237</v>
      </c>
      <c r="EQ160" s="210">
        <f t="shared" si="270"/>
        <v>1.4112149532710281</v>
      </c>
      <c r="ER160" s="36" t="e">
        <f t="shared" ca="1" si="84"/>
        <v>#NAME?</v>
      </c>
      <c r="ES160" s="40">
        <f ca="1">COUNTIF($ER$2:$ER$92, ER160)/(COUNTIF($ER$2:$ER$92, "&lt;&gt;""") - COUNTIF($ER$2:$ER$92, ""))</f>
        <v>1</v>
      </c>
      <c r="ET160" s="36">
        <f t="shared" si="85"/>
        <v>2</v>
      </c>
      <c r="EU160" s="40">
        <f>COUNTIF($ET$2:$ET$92, ET160)/(COUNTIF($ET$2:$ET$92, "&lt;&gt;""") - COUNTIF($ET$2:$ET$92, ""))</f>
        <v>0.45555555555555555</v>
      </c>
      <c r="EV160" s="36">
        <f t="shared" si="86"/>
        <v>3</v>
      </c>
      <c r="EW160" s="40">
        <f>COUNTIF($EV$2:$EV$92, EV160)/(COUNTIF($EV$2:$EV$92, "&lt;&gt;""") - COUNTIF($EV$2:$EV$92, ""))</f>
        <v>8.8888888888888892E-2</v>
      </c>
      <c r="EX160" s="36" t="str">
        <f t="shared" si="87"/>
        <v>Yes</v>
      </c>
      <c r="EY160" s="40">
        <f>COUNTIF($EX$2:$EX$92, EX160)/(COUNTIF($EX$2:$EX$92, "&lt;&gt;""") - COUNTIF($EX$2:$EX$92, ""))</f>
        <v>0.27777777777777779</v>
      </c>
      <c r="EZ160" s="36" t="str">
        <f t="shared" ref="EZ160:FB160" si="293">BM160</f>
        <v>Yes</v>
      </c>
      <c r="FA160" s="36" t="str">
        <f t="shared" si="293"/>
        <v>No</v>
      </c>
      <c r="FB160" s="36" t="str">
        <f t="shared" si="293"/>
        <v>No</v>
      </c>
      <c r="FC160" s="207"/>
      <c r="FD160" s="36" t="str">
        <f t="shared" si="89"/>
        <v>Recurring</v>
      </c>
      <c r="FE160" s="40">
        <f>COUNTIF($FD$2:$FD$92, FD160)/(COUNTIF($FD$2:$FD$92, "&lt;&gt;""") - COUNTIF($FD$2:$FD$92, ""))</f>
        <v>0.4</v>
      </c>
      <c r="FF160" s="36" t="str">
        <f t="shared" si="90"/>
        <v>B2B</v>
      </c>
      <c r="FG160" s="40">
        <f>COUNTIF($FF$2:$FF$92, FF160)/(COUNTIF($FF$2:$FF$92, "&lt;&gt;""") - COUNTIF($FF$2:$FF$92, ""))</f>
        <v>0.24444444444444444</v>
      </c>
      <c r="FH160" s="36" t="str">
        <f t="shared" si="91"/>
        <v>Low</v>
      </c>
      <c r="FI160" s="40">
        <f>COUNTIF($FH$2:$FH$92, FH160)/(COUNTIF($FH$2:$FH$92, "&lt;&gt;""") - COUNTIF($FH$2:$FH$92, ""))</f>
        <v>0.46666666666666667</v>
      </c>
      <c r="FJ160" s="36" t="str">
        <f t="shared" si="92"/>
        <v>Low</v>
      </c>
      <c r="FK160" s="40">
        <f>COUNTIF($FJ$2:$FJ$92, FJ160)/(COUNTIF($FJ$2:$FJ$92, "&lt;&gt;""") - COUNTIF($FJ$2:$FJ$92, ""))</f>
        <v>0.41111111111111109</v>
      </c>
      <c r="FL160" s="207"/>
      <c r="FM160" s="192">
        <f t="shared" si="93"/>
        <v>5</v>
      </c>
      <c r="FN160" s="192" t="e">
        <f t="shared" ca="1" si="94"/>
        <v>#NAME?</v>
      </c>
      <c r="FO160" s="192" t="e">
        <f t="shared" ca="1" si="95"/>
        <v>#NAME?</v>
      </c>
      <c r="FP160" s="192" t="e">
        <f t="shared" ca="1" si="96"/>
        <v>#NAME?</v>
      </c>
      <c r="FQ160" s="209" t="e">
        <f t="shared" ca="1" si="97"/>
        <v>#NAME?</v>
      </c>
      <c r="FR160" s="208" t="e">
        <f t="shared" ca="1" si="272"/>
        <v>#NAME?</v>
      </c>
      <c r="FS160" s="36" t="str">
        <f t="shared" si="99"/>
        <v>Profitable</v>
      </c>
      <c r="FT160" s="196">
        <f>COUNTIF($FS$2:$FS$92, FS160)/(COUNTIF($FS$2:$FS$92, "&lt;&gt;""") - COUNTIF($FZ$2:$FZ$92, ""))</f>
        <v>6.6666666666666666E-2</v>
      </c>
      <c r="FU160" s="207"/>
      <c r="FV160" s="192" t="e">
        <f t="shared" ca="1" si="100"/>
        <v>#NAME?</v>
      </c>
      <c r="FW160" s="197" t="e">
        <f t="shared" ca="1" si="101"/>
        <v>#NAME?</v>
      </c>
      <c r="FX160" s="209" t="e">
        <f t="shared" ca="1" si="102"/>
        <v>#NAME?</v>
      </c>
      <c r="FY160" s="211" t="e">
        <f t="shared" ca="1" si="273"/>
        <v>#NAME?</v>
      </c>
      <c r="FZ160" s="36" t="str">
        <f t="shared" si="104"/>
        <v>No</v>
      </c>
      <c r="GA160" s="196">
        <f>COUNTIF($FZ$2:$FZ$92, FZ160)/(COUNTIF($FZ$2:$FZ$92, "&lt;&gt;""") - COUNTIF($FZ$2:$FZ$92, ""))</f>
        <v>0.76666666666666672</v>
      </c>
      <c r="GB160" s="196">
        <f t="shared" si="105"/>
        <v>0</v>
      </c>
      <c r="GC160" s="196">
        <f>COUNTIF($GB$2:$GB$92, GB160)/(COUNTIF($GB$2:$GB$92, "&lt;&gt;""") - COUNTIF($GB$2:$GB$92, ""))</f>
        <v>1.1111111111111112E-2</v>
      </c>
      <c r="GD160" s="196">
        <f t="shared" si="106"/>
        <v>0</v>
      </c>
      <c r="GE160" s="196">
        <f>COUNTIF($GD$2:$GD$92, GD160)/(COUNTIF($GD$2:$GD$92, "&lt;&gt;""") - COUNTIF($GD$2:$GD$92, ""))</f>
        <v>1.1111111111111112E-2</v>
      </c>
      <c r="GF160" s="207"/>
      <c r="GG160" s="36"/>
      <c r="GH160" s="209" t="e">
        <f t="shared" ca="1" si="107"/>
        <v>#NAME?</v>
      </c>
      <c r="GI160" s="212" t="e">
        <f t="shared" ca="1" si="274"/>
        <v>#NAME?</v>
      </c>
    </row>
    <row r="161" spans="1:191" ht="15.75" customHeight="1">
      <c r="A161" s="171"/>
      <c r="B161" s="171" t="s">
        <v>501</v>
      </c>
      <c r="C161" s="16">
        <v>1776148</v>
      </c>
      <c r="D161" s="233" t="s">
        <v>1382</v>
      </c>
      <c r="E161" s="234">
        <v>43605.588888888888</v>
      </c>
      <c r="F161" s="16" t="s">
        <v>325</v>
      </c>
      <c r="G161" s="235" t="s">
        <v>1383</v>
      </c>
      <c r="H161" s="235" t="s">
        <v>1384</v>
      </c>
      <c r="I161" s="241">
        <v>43605</v>
      </c>
      <c r="J161" s="233" t="s">
        <v>1385</v>
      </c>
      <c r="K161" s="233" t="s">
        <v>1382</v>
      </c>
      <c r="M161" s="16" t="s">
        <v>929</v>
      </c>
      <c r="N161" s="16" t="s">
        <v>213</v>
      </c>
      <c r="O161" s="16" t="s">
        <v>30</v>
      </c>
      <c r="P161" s="16" t="s">
        <v>174</v>
      </c>
      <c r="Q161" s="16" t="s">
        <v>35</v>
      </c>
      <c r="S161" s="16" t="s">
        <v>34</v>
      </c>
      <c r="T161" s="237"/>
      <c r="U161" s="213"/>
      <c r="V161" s="54"/>
      <c r="W161" s="54">
        <v>760000</v>
      </c>
      <c r="X161" s="226">
        <v>0</v>
      </c>
      <c r="Y161" s="55">
        <f t="shared" si="158"/>
        <v>760000</v>
      </c>
      <c r="Z161" s="274">
        <f t="shared" si="159"/>
        <v>760000</v>
      </c>
      <c r="AA161" s="183" t="e">
        <f t="shared" ca="1" si="160"/>
        <v>#NAME?</v>
      </c>
      <c r="AB161" s="16" t="s">
        <v>178</v>
      </c>
      <c r="AC161" s="16" t="s">
        <v>200</v>
      </c>
      <c r="AD161" s="16" t="s">
        <v>180</v>
      </c>
      <c r="AE161" s="16" t="s">
        <v>227</v>
      </c>
      <c r="AF161" s="16" t="s">
        <v>181</v>
      </c>
      <c r="AG161" s="16" t="s">
        <v>39</v>
      </c>
      <c r="AH161" s="16" t="s">
        <v>190</v>
      </c>
      <c r="AI161" s="54"/>
      <c r="AJ161" s="278">
        <v>11740000000</v>
      </c>
      <c r="AK161" s="224" t="e">
        <f t="shared" ca="1" si="161"/>
        <v>#NAME?</v>
      </c>
      <c r="AL161" s="278">
        <v>832000000</v>
      </c>
      <c r="AM161" s="224" t="e">
        <f t="shared" ca="1" si="162"/>
        <v>#NAME?</v>
      </c>
      <c r="AN161" s="278">
        <v>0.32</v>
      </c>
      <c r="AO161" s="185" t="e">
        <f t="shared" ca="1" si="63"/>
        <v>#NAME?</v>
      </c>
      <c r="AP161" s="185" t="s">
        <v>192</v>
      </c>
      <c r="AQ161" s="16" t="s">
        <v>181</v>
      </c>
      <c r="AR161" s="16" t="s">
        <v>181</v>
      </c>
      <c r="AS161" s="16" t="s">
        <v>42</v>
      </c>
      <c r="AT161" s="159"/>
      <c r="AU161" s="159"/>
      <c r="AV161" s="16" t="s">
        <v>227</v>
      </c>
      <c r="AW161" s="16" t="s">
        <v>190</v>
      </c>
      <c r="AX161" s="16" t="s">
        <v>190</v>
      </c>
      <c r="AY161" s="16" t="s">
        <v>190</v>
      </c>
      <c r="AZ161" s="54">
        <v>0</v>
      </c>
      <c r="BA161" s="55" t="e">
        <f t="shared" ca="1" si="163"/>
        <v>#NAME?</v>
      </c>
      <c r="BB161" s="278">
        <v>32</v>
      </c>
      <c r="BC161" s="278">
        <v>0</v>
      </c>
      <c r="BD161" s="62" t="e">
        <f t="shared" ca="1" si="164"/>
        <v>#NAME?</v>
      </c>
      <c r="BE161" s="277">
        <f t="shared" si="165"/>
        <v>1</v>
      </c>
      <c r="BF161" s="62" t="e">
        <f t="shared" ca="1" si="166"/>
        <v>#NAME?</v>
      </c>
      <c r="BG161" s="16" t="s">
        <v>183</v>
      </c>
      <c r="BI161" s="16" t="s">
        <v>190</v>
      </c>
      <c r="BJ161" s="16">
        <v>0</v>
      </c>
      <c r="BK161" s="278">
        <v>1</v>
      </c>
      <c r="BL161" s="16" t="s">
        <v>190</v>
      </c>
      <c r="BM161" s="16" t="s">
        <v>190</v>
      </c>
      <c r="BN161" s="16" t="s">
        <v>190</v>
      </c>
      <c r="BO161" s="16" t="s">
        <v>190</v>
      </c>
      <c r="BP161" s="16">
        <v>0</v>
      </c>
      <c r="BQ161" s="16">
        <v>3</v>
      </c>
      <c r="BR161" s="16">
        <v>0</v>
      </c>
      <c r="BS161" s="16">
        <v>0</v>
      </c>
      <c r="BT161" s="205"/>
      <c r="BU161" s="16">
        <v>0</v>
      </c>
      <c r="BV161" s="16">
        <v>0</v>
      </c>
      <c r="BW161" s="16">
        <v>42</v>
      </c>
      <c r="BX161" s="16" t="s">
        <v>190</v>
      </c>
      <c r="BY161" s="205"/>
      <c r="CD161" s="205"/>
      <c r="CI161" s="205"/>
      <c r="CN161" s="205"/>
      <c r="CS161" s="205"/>
      <c r="CX161" s="205"/>
      <c r="DC161" s="205"/>
      <c r="DH161" s="205"/>
      <c r="DM161" s="205"/>
      <c r="DN161" s="205"/>
      <c r="DO161" s="205"/>
      <c r="DQ161" s="206"/>
      <c r="DR161" s="188">
        <f t="shared" si="64"/>
        <v>0</v>
      </c>
      <c r="DS161" s="188"/>
      <c r="DT161" s="189">
        <f t="shared" si="65"/>
        <v>0</v>
      </c>
      <c r="DU161" s="189"/>
      <c r="DV161" s="188">
        <f t="shared" si="66"/>
        <v>42</v>
      </c>
      <c r="DW161" s="183" t="e">
        <f t="shared" ca="1" si="67"/>
        <v>#NAME?</v>
      </c>
      <c r="DX161" s="207"/>
      <c r="DY161" s="190" t="e">
        <f t="shared" ca="1" si="68"/>
        <v>#NAME?</v>
      </c>
      <c r="DZ161" s="191">
        <f t="shared" si="264"/>
        <v>1</v>
      </c>
      <c r="EA161" s="191" t="str">
        <f t="shared" si="265"/>
        <v/>
      </c>
      <c r="EB161" s="191" t="str">
        <f t="shared" si="266"/>
        <v/>
      </c>
      <c r="EC161" s="208" t="e">
        <f t="shared" ca="1" si="72"/>
        <v>#NAME?</v>
      </c>
      <c r="ED161" s="36" t="str">
        <f t="shared" si="73"/>
        <v>CAFES</v>
      </c>
      <c r="EE161" s="193">
        <f>COUNTIF($ED$2:$ED$92, ED161)/(COUNTIF($ED$2:$ED$92, "&lt;&gt;""") - COUNTIF($ED$2:$ED$92, ""))</f>
        <v>0.1</v>
      </c>
      <c r="EF161" s="36" t="str">
        <f t="shared" si="74"/>
        <v>Early</v>
      </c>
      <c r="EG161" s="207"/>
      <c r="EH161" s="194" t="e">
        <f t="shared" ca="1" si="75"/>
        <v>#NAME?</v>
      </c>
      <c r="EI161" s="194" t="e">
        <f t="shared" ca="1" si="76"/>
        <v>#NAME?</v>
      </c>
      <c r="EJ161" s="209" t="e">
        <f t="shared" ca="1" si="77"/>
        <v>#NAME?</v>
      </c>
      <c r="EK161" s="208" t="e">
        <f t="shared" ca="1" si="267"/>
        <v>#NAME?</v>
      </c>
      <c r="EL161" s="36" t="str">
        <f t="shared" si="79"/>
        <v>Yes</v>
      </c>
      <c r="EM161" s="207"/>
      <c r="EN161" s="192">
        <f t="shared" si="268"/>
        <v>1</v>
      </c>
      <c r="EO161" s="192">
        <f t="shared" si="269"/>
        <v>1</v>
      </c>
      <c r="EP161" s="209">
        <f t="shared" si="82"/>
        <v>2</v>
      </c>
      <c r="EQ161" s="210">
        <f t="shared" si="270"/>
        <v>1</v>
      </c>
      <c r="ER161" s="36" t="e">
        <f t="shared" ca="1" si="84"/>
        <v>#NAME?</v>
      </c>
      <c r="ES161" s="40">
        <f ca="1">COUNTIF($ER$2:$ER$92, ER161)/(COUNTIF($ER$2:$ER$92, "&lt;&gt;""") - COUNTIF($ER$2:$ER$92, ""))</f>
        <v>1</v>
      </c>
      <c r="ET161" s="36">
        <f t="shared" si="85"/>
        <v>1</v>
      </c>
      <c r="EU161" s="40">
        <f>COUNTIF($ET$2:$ET$92, ET161)/(COUNTIF($ET$2:$ET$92, "&lt;&gt;""") - COUNTIF($ET$2:$ET$92, ""))</f>
        <v>0.45555555555555555</v>
      </c>
      <c r="EV161" s="36">
        <f t="shared" si="86"/>
        <v>3</v>
      </c>
      <c r="EW161" s="40">
        <f>COUNTIF($EV$2:$EV$92, EV161)/(COUNTIF($EV$2:$EV$92, "&lt;&gt;""") - COUNTIF($EV$2:$EV$92, ""))</f>
        <v>8.8888888888888892E-2</v>
      </c>
      <c r="EX161" s="36" t="str">
        <f t="shared" si="87"/>
        <v>No</v>
      </c>
      <c r="EY161" s="40">
        <f>COUNTIF($EX$2:$EX$92, EX161)/(COUNTIF($EX$2:$EX$92, "&lt;&gt;""") - COUNTIF($EX$2:$EX$92, ""))</f>
        <v>0.72222222222222221</v>
      </c>
      <c r="EZ161" s="36" t="str">
        <f t="shared" ref="EZ161:FB161" si="294">BM161</f>
        <v>No</v>
      </c>
      <c r="FA161" s="36" t="str">
        <f t="shared" si="294"/>
        <v>No</v>
      </c>
      <c r="FB161" s="36" t="str">
        <f t="shared" si="294"/>
        <v>No</v>
      </c>
      <c r="FC161" s="207"/>
      <c r="FD161" s="36" t="str">
        <f t="shared" si="89"/>
        <v>Recurring</v>
      </c>
      <c r="FE161" s="40">
        <f>COUNTIF($FD$2:$FD$92, FD161)/(COUNTIF($FD$2:$FD$92, "&lt;&gt;""") - COUNTIF($FD$2:$FD$92, ""))</f>
        <v>0.4</v>
      </c>
      <c r="FF161" s="36" t="str">
        <f t="shared" si="90"/>
        <v>B2B2C</v>
      </c>
      <c r="FG161" s="40">
        <f>COUNTIF($FF$2:$FF$92, FF161)/(COUNTIF($FF$2:$FF$92, "&lt;&gt;""") - COUNTIF($FF$2:$FF$92, ""))</f>
        <v>6.6666666666666666E-2</v>
      </c>
      <c r="FH161" s="36" t="str">
        <f t="shared" si="91"/>
        <v>Low</v>
      </c>
      <c r="FI161" s="40">
        <f>COUNTIF($FH$2:$FH$92, FH161)/(COUNTIF($FH$2:$FH$92, "&lt;&gt;""") - COUNTIF($FH$2:$FH$92, ""))</f>
        <v>0.46666666666666667</v>
      </c>
      <c r="FJ161" s="36" t="str">
        <f t="shared" si="92"/>
        <v>High</v>
      </c>
      <c r="FK161" s="40">
        <f>COUNTIF($FJ$2:$FJ$92, FJ161)/(COUNTIF($FJ$2:$FJ$92, "&lt;&gt;""") - COUNTIF($FJ$2:$FJ$92, ""))</f>
        <v>0.58888888888888891</v>
      </c>
      <c r="FL161" s="207"/>
      <c r="FM161" s="192">
        <f t="shared" si="93"/>
        <v>1</v>
      </c>
      <c r="FN161" s="192" t="e">
        <f t="shared" ca="1" si="94"/>
        <v>#NAME?</v>
      </c>
      <c r="FO161" s="192" t="e">
        <f t="shared" ca="1" si="95"/>
        <v>#NAME?</v>
      </c>
      <c r="FP161" s="192" t="e">
        <f t="shared" ca="1" si="96"/>
        <v>#NAME?</v>
      </c>
      <c r="FQ161" s="209" t="e">
        <f t="shared" ca="1" si="97"/>
        <v>#NAME?</v>
      </c>
      <c r="FR161" s="208" t="e">
        <f t="shared" ca="1" si="272"/>
        <v>#NAME?</v>
      </c>
      <c r="FS161" s="36" t="str">
        <f t="shared" si="99"/>
        <v>Pre-Revenue</v>
      </c>
      <c r="FT161" s="196">
        <f>COUNTIF($FS$2:$FS$92, FS161)/(COUNTIF($FS$2:$FS$92, "&lt;&gt;""") - COUNTIF($FZ$2:$FZ$92, ""))</f>
        <v>0.2</v>
      </c>
      <c r="FU161" s="207"/>
      <c r="FV161" s="192" t="e">
        <f t="shared" ca="1" si="100"/>
        <v>#NAME?</v>
      </c>
      <c r="FW161" s="197" t="e">
        <f t="shared" ca="1" si="101"/>
        <v>#NAME?</v>
      </c>
      <c r="FX161" s="209" t="e">
        <f t="shared" ca="1" si="102"/>
        <v>#NAME?</v>
      </c>
      <c r="FY161" s="211" t="e">
        <f t="shared" ca="1" si="273"/>
        <v>#NAME?</v>
      </c>
      <c r="FZ161" s="36" t="str">
        <f t="shared" si="104"/>
        <v>No</v>
      </c>
      <c r="GA161" s="196">
        <f>COUNTIF($FZ$2:$FZ$92, FZ161)/(COUNTIF($FZ$2:$FZ$92, "&lt;&gt;""") - COUNTIF($FZ$2:$FZ$92, ""))</f>
        <v>0.76666666666666672</v>
      </c>
      <c r="GB161" s="196">
        <f t="shared" si="105"/>
        <v>0</v>
      </c>
      <c r="GC161" s="196">
        <f>COUNTIF($GB$2:$GB$92, GB161)/(COUNTIF($GB$2:$GB$92, "&lt;&gt;""") - COUNTIF($GB$2:$GB$92, ""))</f>
        <v>1.1111111111111112E-2</v>
      </c>
      <c r="GD161" s="196">
        <f t="shared" si="106"/>
        <v>0</v>
      </c>
      <c r="GE161" s="196">
        <f>COUNTIF($GD$2:$GD$92, GD161)/(COUNTIF($GD$2:$GD$92, "&lt;&gt;""") - COUNTIF($GD$2:$GD$92, ""))</f>
        <v>1.1111111111111112E-2</v>
      </c>
      <c r="GF161" s="207"/>
      <c r="GG161" s="36"/>
      <c r="GH161" s="209" t="e">
        <f t="shared" ca="1" si="107"/>
        <v>#NAME?</v>
      </c>
      <c r="GI161" s="212" t="e">
        <f t="shared" ca="1" si="274"/>
        <v>#NAME?</v>
      </c>
    </row>
    <row r="162" spans="1:191" ht="15.75" customHeight="1">
      <c r="A162" s="171"/>
      <c r="B162" s="171" t="s">
        <v>501</v>
      </c>
      <c r="C162" s="16">
        <v>1742637</v>
      </c>
      <c r="D162" s="233" t="s">
        <v>1386</v>
      </c>
      <c r="E162" s="234">
        <v>43622.45416666667</v>
      </c>
      <c r="F162" s="16" t="s">
        <v>204</v>
      </c>
      <c r="G162" s="235" t="s">
        <v>1387</v>
      </c>
      <c r="H162" s="235" t="s">
        <v>1388</v>
      </c>
      <c r="I162" s="241">
        <v>43621</v>
      </c>
      <c r="J162" s="233" t="s">
        <v>1389</v>
      </c>
      <c r="K162" s="233" t="s">
        <v>1390</v>
      </c>
      <c r="M162" s="16" t="s">
        <v>1391</v>
      </c>
      <c r="N162" s="16" t="s">
        <v>168</v>
      </c>
      <c r="O162" s="16" t="s">
        <v>173</v>
      </c>
      <c r="P162" s="16" t="s">
        <v>197</v>
      </c>
      <c r="Q162" s="16" t="s">
        <v>35</v>
      </c>
      <c r="S162" s="16" t="s">
        <v>216</v>
      </c>
      <c r="T162" s="237"/>
      <c r="U162" s="213"/>
      <c r="V162" s="54">
        <v>5000000</v>
      </c>
      <c r="W162" s="54"/>
      <c r="X162" s="226"/>
      <c r="Y162" s="55" t="str">
        <f t="shared" si="158"/>
        <v/>
      </c>
      <c r="Z162" s="274">
        <f t="shared" si="159"/>
        <v>5000000</v>
      </c>
      <c r="AA162" s="183" t="e">
        <f t="shared" ca="1" si="160"/>
        <v>#NAME?</v>
      </c>
      <c r="AB162" s="16" t="s">
        <v>178</v>
      </c>
      <c r="AC162" s="16" t="s">
        <v>37</v>
      </c>
      <c r="AD162" s="16" t="s">
        <v>38</v>
      </c>
      <c r="AE162" s="16" t="s">
        <v>227</v>
      </c>
      <c r="AF162" s="16" t="s">
        <v>181</v>
      </c>
      <c r="AG162" s="16" t="s">
        <v>181</v>
      </c>
      <c r="AH162" s="16" t="s">
        <v>190</v>
      </c>
      <c r="AI162" s="54"/>
      <c r="AJ162" s="278">
        <v>621142000000</v>
      </c>
      <c r="AK162" s="224" t="e">
        <f t="shared" ca="1" si="161"/>
        <v>#NAME?</v>
      </c>
      <c r="AL162" s="278">
        <v>244000000000</v>
      </c>
      <c r="AM162" s="224" t="e">
        <f t="shared" ca="1" si="162"/>
        <v>#NAME?</v>
      </c>
      <c r="AN162" s="278">
        <v>0.05</v>
      </c>
      <c r="AO162" s="185" t="e">
        <f t="shared" ca="1" si="63"/>
        <v>#NAME?</v>
      </c>
      <c r="AP162" s="185" t="s">
        <v>264</v>
      </c>
      <c r="AQ162" s="16" t="s">
        <v>181</v>
      </c>
      <c r="AR162" s="16" t="s">
        <v>181</v>
      </c>
      <c r="AS162" s="16" t="s">
        <v>42</v>
      </c>
      <c r="AT162" s="159"/>
      <c r="AU162" s="159"/>
      <c r="AV162" s="16" t="s">
        <v>190</v>
      </c>
      <c r="AW162" s="16" t="s">
        <v>190</v>
      </c>
      <c r="AX162" s="16" t="s">
        <v>227</v>
      </c>
      <c r="AY162" s="16" t="s">
        <v>227</v>
      </c>
      <c r="AZ162" s="54">
        <v>782715</v>
      </c>
      <c r="BA162" s="55" t="e">
        <f t="shared" ca="1" si="163"/>
        <v>#NAME?</v>
      </c>
      <c r="BB162" s="278">
        <v>0</v>
      </c>
      <c r="BC162" s="278">
        <v>0</v>
      </c>
      <c r="BD162" s="62" t="e">
        <f t="shared" ca="1" si="164"/>
        <v>#NAME?</v>
      </c>
      <c r="BE162" s="277">
        <f t="shared" si="165"/>
        <v>1</v>
      </c>
      <c r="BF162" s="62" t="e">
        <f t="shared" ca="1" si="166"/>
        <v>#NAME?</v>
      </c>
      <c r="BG162" s="16" t="s">
        <v>219</v>
      </c>
      <c r="BI162" s="16" t="s">
        <v>190</v>
      </c>
      <c r="BJ162" s="16">
        <v>0</v>
      </c>
      <c r="BK162" s="278">
        <v>1</v>
      </c>
      <c r="BL162" s="16" t="s">
        <v>227</v>
      </c>
      <c r="BM162" s="16" t="s">
        <v>190</v>
      </c>
      <c r="BN162" s="16" t="s">
        <v>190</v>
      </c>
      <c r="BO162" s="16" t="s">
        <v>190</v>
      </c>
      <c r="BP162" s="16">
        <v>2</v>
      </c>
      <c r="BQ162" s="16">
        <v>9</v>
      </c>
      <c r="BR162" s="16">
        <v>0</v>
      </c>
      <c r="BS162" s="16">
        <v>0</v>
      </c>
      <c r="BT162" s="205"/>
      <c r="BU162" s="16">
        <v>24</v>
      </c>
      <c r="BV162" s="16">
        <v>1</v>
      </c>
      <c r="BW162" s="16">
        <v>72</v>
      </c>
      <c r="BX162" s="16" t="s">
        <v>190</v>
      </c>
      <c r="BY162" s="205"/>
      <c r="CD162" s="205"/>
      <c r="CI162" s="205"/>
      <c r="CN162" s="205"/>
      <c r="CS162" s="205"/>
      <c r="CX162" s="205"/>
      <c r="DC162" s="205"/>
      <c r="DH162" s="205"/>
      <c r="DM162" s="205"/>
      <c r="DN162" s="205"/>
      <c r="DO162" s="205"/>
      <c r="DQ162" s="206"/>
      <c r="DR162" s="188">
        <f t="shared" si="64"/>
        <v>24</v>
      </c>
      <c r="DS162" s="188"/>
      <c r="DT162" s="189">
        <f t="shared" si="65"/>
        <v>1</v>
      </c>
      <c r="DU162" s="189"/>
      <c r="DV162" s="188">
        <f t="shared" si="66"/>
        <v>72</v>
      </c>
      <c r="DW162" s="183" t="e">
        <f t="shared" ca="1" si="67"/>
        <v>#NAME?</v>
      </c>
      <c r="DX162" s="207"/>
      <c r="DY162" s="190" t="e">
        <f t="shared" ca="1" si="68"/>
        <v>#NAME?</v>
      </c>
      <c r="DZ162" s="191" t="str">
        <f t="shared" si="264"/>
        <v/>
      </c>
      <c r="EA162" s="191" t="str">
        <f t="shared" si="265"/>
        <v/>
      </c>
      <c r="EB162" s="191" t="str">
        <f t="shared" si="266"/>
        <v/>
      </c>
      <c r="EC162" s="208" t="e">
        <f t="shared" ca="1" si="72"/>
        <v>#NAME?</v>
      </c>
      <c r="ED162" s="36" t="str">
        <f t="shared" si="73"/>
        <v>Equity - Common</v>
      </c>
      <c r="EE162" s="193">
        <f>COUNTIF($ED$2:$ED$92, ED162)/(COUNTIF($ED$2:$ED$92, "&lt;&gt;""") - COUNTIF($ED$2:$ED$92, ""))</f>
        <v>0.32222222222222224</v>
      </c>
      <c r="EF162" s="36" t="str">
        <f t="shared" si="74"/>
        <v>Growth</v>
      </c>
      <c r="EG162" s="207"/>
      <c r="EH162" s="194" t="e">
        <f t="shared" ca="1" si="75"/>
        <v>#NAME?</v>
      </c>
      <c r="EI162" s="194" t="e">
        <f t="shared" ca="1" si="76"/>
        <v>#NAME?</v>
      </c>
      <c r="EJ162" s="209" t="e">
        <f t="shared" ca="1" si="77"/>
        <v>#NAME?</v>
      </c>
      <c r="EK162" s="208" t="e">
        <f t="shared" ca="1" si="267"/>
        <v>#NAME?</v>
      </c>
      <c r="EL162" s="36" t="str">
        <f t="shared" si="79"/>
        <v>No</v>
      </c>
      <c r="EM162" s="207"/>
      <c r="EN162" s="192">
        <f t="shared" si="268"/>
        <v>3.2857142857142856</v>
      </c>
      <c r="EO162" s="192">
        <f t="shared" si="269"/>
        <v>2</v>
      </c>
      <c r="EP162" s="209">
        <f t="shared" si="82"/>
        <v>5.2857142857142856</v>
      </c>
      <c r="EQ162" s="210">
        <f t="shared" si="270"/>
        <v>3.5794392523364489</v>
      </c>
      <c r="ER162" s="36" t="e">
        <f t="shared" ca="1" si="84"/>
        <v>#NAME?</v>
      </c>
      <c r="ES162" s="40">
        <f ca="1">COUNTIF($ER$2:$ER$92, ER162)/(COUNTIF($ER$2:$ER$92, "&lt;&gt;""") - COUNTIF($ER$2:$ER$92, ""))</f>
        <v>1</v>
      </c>
      <c r="ET162" s="36">
        <f t="shared" si="85"/>
        <v>1</v>
      </c>
      <c r="EU162" s="40">
        <f>COUNTIF($ET$2:$ET$92, ET162)/(COUNTIF($ET$2:$ET$92, "&lt;&gt;""") - COUNTIF($ET$2:$ET$92, ""))</f>
        <v>0.45555555555555555</v>
      </c>
      <c r="EV162" s="36">
        <f t="shared" si="86"/>
        <v>9</v>
      </c>
      <c r="EW162" s="40">
        <f>COUNTIF($EV$2:$EV$92, EV162)/(COUNTIF($EV$2:$EV$92, "&lt;&gt;""") - COUNTIF($EV$2:$EV$92, ""))</f>
        <v>5.5555555555555552E-2</v>
      </c>
      <c r="EX162" s="36" t="str">
        <f t="shared" si="87"/>
        <v>Yes</v>
      </c>
      <c r="EY162" s="40">
        <f>COUNTIF($EX$2:$EX$92, EX162)/(COUNTIF($EX$2:$EX$92, "&lt;&gt;""") - COUNTIF($EX$2:$EX$92, ""))</f>
        <v>0.27777777777777779</v>
      </c>
      <c r="EZ162" s="36" t="str">
        <f t="shared" ref="EZ162:FB162" si="295">BM162</f>
        <v>No</v>
      </c>
      <c r="FA162" s="36" t="str">
        <f t="shared" si="295"/>
        <v>No</v>
      </c>
      <c r="FB162" s="36" t="str">
        <f t="shared" si="295"/>
        <v>No</v>
      </c>
      <c r="FC162" s="207"/>
      <c r="FD162" s="36" t="str">
        <f t="shared" si="89"/>
        <v>Recurring</v>
      </c>
      <c r="FE162" s="40">
        <f>COUNTIF($FD$2:$FD$92, FD162)/(COUNTIF($FD$2:$FD$92, "&lt;&gt;""") - COUNTIF($FD$2:$FD$92, ""))</f>
        <v>0.4</v>
      </c>
      <c r="FF162" s="36" t="str">
        <f t="shared" si="90"/>
        <v>B2B</v>
      </c>
      <c r="FG162" s="40">
        <f>COUNTIF($FF$2:$FF$92, FF162)/(COUNTIF($FF$2:$FF$92, "&lt;&gt;""") - COUNTIF($FF$2:$FF$92, ""))</f>
        <v>0.24444444444444444</v>
      </c>
      <c r="FH162" s="36" t="str">
        <f t="shared" si="91"/>
        <v>Low</v>
      </c>
      <c r="FI162" s="40">
        <f>COUNTIF($FH$2:$FH$92, FH162)/(COUNTIF($FH$2:$FH$92, "&lt;&gt;""") - COUNTIF($FH$2:$FH$92, ""))</f>
        <v>0.46666666666666667</v>
      </c>
      <c r="FJ162" s="36" t="str">
        <f t="shared" si="92"/>
        <v>Low</v>
      </c>
      <c r="FK162" s="40">
        <f>COUNTIF($FJ$2:$FJ$92, FJ162)/(COUNTIF($FJ$2:$FJ$92, "&lt;&gt;""") - COUNTIF($FJ$2:$FJ$92, ""))</f>
        <v>0.41111111111111109</v>
      </c>
      <c r="FL162" s="207"/>
      <c r="FM162" s="192">
        <f t="shared" si="93"/>
        <v>5</v>
      </c>
      <c r="FN162" s="192" t="e">
        <f t="shared" ca="1" si="94"/>
        <v>#NAME?</v>
      </c>
      <c r="FO162" s="192" t="e">
        <f t="shared" ca="1" si="95"/>
        <v>#NAME?</v>
      </c>
      <c r="FP162" s="192" t="e">
        <f t="shared" ca="1" si="96"/>
        <v>#NAME?</v>
      </c>
      <c r="FQ162" s="209" t="e">
        <f t="shared" ca="1" si="97"/>
        <v>#NAME?</v>
      </c>
      <c r="FR162" s="208" t="e">
        <f t="shared" ca="1" si="272"/>
        <v>#NAME?</v>
      </c>
      <c r="FS162" s="36" t="str">
        <f t="shared" si="99"/>
        <v>Profitable</v>
      </c>
      <c r="FT162" s="196">
        <f>COUNTIF($FS$2:$FS$92, FS162)/(COUNTIF($FS$2:$FS$92, "&lt;&gt;""") - COUNTIF($FZ$2:$FZ$92, ""))</f>
        <v>6.6666666666666666E-2</v>
      </c>
      <c r="FU162" s="207"/>
      <c r="FV162" s="192" t="e">
        <f t="shared" ca="1" si="100"/>
        <v>#NAME?</v>
      </c>
      <c r="FW162" s="197" t="e">
        <f t="shared" ca="1" si="101"/>
        <v>#NAME?</v>
      </c>
      <c r="FX162" s="209" t="e">
        <f t="shared" ca="1" si="102"/>
        <v>#NAME?</v>
      </c>
      <c r="FY162" s="211" t="e">
        <f t="shared" ca="1" si="273"/>
        <v>#NAME?</v>
      </c>
      <c r="FZ162" s="36" t="str">
        <f t="shared" si="104"/>
        <v>No</v>
      </c>
      <c r="GA162" s="196">
        <f>COUNTIF($FZ$2:$FZ$92, FZ162)/(COUNTIF($FZ$2:$FZ$92, "&lt;&gt;""") - COUNTIF($FZ$2:$FZ$92, ""))</f>
        <v>0.76666666666666672</v>
      </c>
      <c r="GB162" s="196">
        <f t="shared" si="105"/>
        <v>0</v>
      </c>
      <c r="GC162" s="196">
        <f>COUNTIF($GB$2:$GB$92, GB162)/(COUNTIF($GB$2:$GB$92, "&lt;&gt;""") - COUNTIF($GB$2:$GB$92, ""))</f>
        <v>1.1111111111111112E-2</v>
      </c>
      <c r="GD162" s="196">
        <f t="shared" si="106"/>
        <v>0</v>
      </c>
      <c r="GE162" s="196">
        <f>COUNTIF($GD$2:$GD$92, GD162)/(COUNTIF($GD$2:$GD$92, "&lt;&gt;""") - COUNTIF($GD$2:$GD$92, ""))</f>
        <v>1.1111111111111112E-2</v>
      </c>
      <c r="GF162" s="207"/>
      <c r="GG162" s="36"/>
      <c r="GH162" s="209" t="e">
        <f t="shared" ca="1" si="107"/>
        <v>#NAME?</v>
      </c>
      <c r="GI162" s="212" t="e">
        <f t="shared" ca="1" si="274"/>
        <v>#NAME?</v>
      </c>
    </row>
    <row r="163" spans="1:191" ht="15.75" customHeight="1">
      <c r="A163" s="171"/>
      <c r="B163" s="171" t="s">
        <v>501</v>
      </c>
      <c r="C163" s="16">
        <v>1768911</v>
      </c>
      <c r="D163" s="233" t="s">
        <v>1392</v>
      </c>
      <c r="E163" s="234">
        <v>43636.35</v>
      </c>
      <c r="F163" s="16" t="s">
        <v>337</v>
      </c>
      <c r="G163" s="235" t="s">
        <v>1393</v>
      </c>
      <c r="H163" s="235" t="s">
        <v>1394</v>
      </c>
      <c r="I163" s="241">
        <v>43843</v>
      </c>
      <c r="J163" s="233" t="s">
        <v>1395</v>
      </c>
      <c r="K163" s="233" t="s">
        <v>1396</v>
      </c>
      <c r="M163" s="29" t="s">
        <v>747</v>
      </c>
      <c r="N163" s="16" t="s">
        <v>168</v>
      </c>
      <c r="O163" s="16" t="s">
        <v>30</v>
      </c>
      <c r="P163" s="16" t="s">
        <v>174</v>
      </c>
      <c r="Q163" s="16" t="s">
        <v>35</v>
      </c>
      <c r="S163" s="16" t="s">
        <v>216</v>
      </c>
      <c r="T163" s="237"/>
      <c r="U163" s="213"/>
      <c r="V163" s="54">
        <v>6561600</v>
      </c>
      <c r="W163" s="54"/>
      <c r="X163" s="226"/>
      <c r="Y163" s="55" t="str">
        <f t="shared" si="158"/>
        <v/>
      </c>
      <c r="Z163" s="274">
        <f t="shared" si="159"/>
        <v>6561600</v>
      </c>
      <c r="AA163" s="183" t="e">
        <f t="shared" ca="1" si="160"/>
        <v>#NAME?</v>
      </c>
      <c r="AB163" s="16" t="s">
        <v>36</v>
      </c>
      <c r="AC163" s="16" t="s">
        <v>37</v>
      </c>
      <c r="AD163" s="16" t="s">
        <v>38</v>
      </c>
      <c r="AE163" s="16" t="s">
        <v>227</v>
      </c>
      <c r="AF163" s="16" t="s">
        <v>181</v>
      </c>
      <c r="AG163" s="16" t="s">
        <v>181</v>
      </c>
      <c r="AH163" s="16" t="s">
        <v>190</v>
      </c>
      <c r="AI163" s="54"/>
      <c r="AJ163" s="278">
        <v>10970000000</v>
      </c>
      <c r="AK163" s="224" t="e">
        <f t="shared" ca="1" si="161"/>
        <v>#NAME?</v>
      </c>
      <c r="AL163" s="278">
        <v>10970000000</v>
      </c>
      <c r="AM163" s="224" t="e">
        <f t="shared" ca="1" si="162"/>
        <v>#NAME?</v>
      </c>
      <c r="AN163" s="278">
        <v>0.05</v>
      </c>
      <c r="AO163" s="185" t="e">
        <f t="shared" ca="1" si="63"/>
        <v>#NAME?</v>
      </c>
      <c r="AP163" s="185" t="s">
        <v>169</v>
      </c>
      <c r="AQ163" s="16" t="s">
        <v>39</v>
      </c>
      <c r="AR163" s="16" t="s">
        <v>181</v>
      </c>
      <c r="AS163" s="16" t="s">
        <v>182</v>
      </c>
      <c r="AT163" s="159"/>
      <c r="AU163" s="159"/>
      <c r="AV163" s="16" t="s">
        <v>227</v>
      </c>
      <c r="AW163" s="16" t="s">
        <v>227</v>
      </c>
      <c r="AX163" s="16" t="s">
        <v>227</v>
      </c>
      <c r="AY163" s="16" t="s">
        <v>190</v>
      </c>
      <c r="AZ163" s="54">
        <v>0</v>
      </c>
      <c r="BA163" s="55" t="e">
        <f t="shared" ca="1" si="163"/>
        <v>#NAME?</v>
      </c>
      <c r="BB163" s="278">
        <v>24248</v>
      </c>
      <c r="BC163" s="278">
        <v>500686</v>
      </c>
      <c r="BD163" s="62" t="e">
        <f t="shared" ca="1" si="164"/>
        <v>#NAME?</v>
      </c>
      <c r="BE163" s="277">
        <f t="shared" si="165"/>
        <v>4.8429554651018801E-2</v>
      </c>
      <c r="BF163" s="62" t="e">
        <f t="shared" ca="1" si="166"/>
        <v>#NAME?</v>
      </c>
      <c r="BG163" s="16" t="s">
        <v>183</v>
      </c>
      <c r="BI163" s="16" t="s">
        <v>227</v>
      </c>
      <c r="BJ163" s="16">
        <v>1</v>
      </c>
      <c r="BK163" s="278">
        <v>2</v>
      </c>
      <c r="BL163" s="16" t="s">
        <v>227</v>
      </c>
      <c r="BM163" s="16" t="s">
        <v>227</v>
      </c>
      <c r="BN163" s="16" t="s">
        <v>190</v>
      </c>
      <c r="BO163" s="16" t="s">
        <v>190</v>
      </c>
      <c r="BP163" s="16">
        <v>3</v>
      </c>
      <c r="BQ163" s="16">
        <v>2</v>
      </c>
      <c r="BR163" s="16">
        <v>3</v>
      </c>
      <c r="BS163" s="16">
        <v>0</v>
      </c>
      <c r="BT163" s="205"/>
      <c r="BU163" s="16">
        <v>34</v>
      </c>
      <c r="BV163" s="16">
        <v>0</v>
      </c>
      <c r="BW163" s="16">
        <v>58</v>
      </c>
      <c r="BX163" s="16" t="s">
        <v>227</v>
      </c>
      <c r="BY163" s="205"/>
      <c r="BZ163" s="16">
        <v>0</v>
      </c>
      <c r="CA163" s="16">
        <v>0</v>
      </c>
      <c r="CB163" s="16">
        <v>60</v>
      </c>
      <c r="CC163" s="16" t="s">
        <v>190</v>
      </c>
      <c r="CD163" s="205"/>
      <c r="CI163" s="205"/>
      <c r="CN163" s="205"/>
      <c r="CS163" s="205"/>
      <c r="CX163" s="205"/>
      <c r="DC163" s="205"/>
      <c r="DH163" s="205"/>
      <c r="DM163" s="205"/>
      <c r="DN163" s="205"/>
      <c r="DO163" s="205"/>
      <c r="DQ163" s="206"/>
      <c r="DR163" s="188">
        <f t="shared" si="64"/>
        <v>17</v>
      </c>
      <c r="DS163" s="188"/>
      <c r="DT163" s="189">
        <f t="shared" si="65"/>
        <v>0</v>
      </c>
      <c r="DU163" s="189"/>
      <c r="DV163" s="188">
        <f t="shared" si="66"/>
        <v>59</v>
      </c>
      <c r="DW163" s="183" t="e">
        <f t="shared" ca="1" si="67"/>
        <v>#NAME?</v>
      </c>
      <c r="DX163" s="207"/>
      <c r="DY163" s="190" t="e">
        <f t="shared" ca="1" si="68"/>
        <v>#NAME?</v>
      </c>
      <c r="DZ163" s="191" t="str">
        <f t="shared" si="264"/>
        <v/>
      </c>
      <c r="EA163" s="191" t="str">
        <f t="shared" si="265"/>
        <v/>
      </c>
      <c r="EB163" s="191" t="str">
        <f t="shared" si="266"/>
        <v/>
      </c>
      <c r="EC163" s="208" t="e">
        <f t="shared" ca="1" si="72"/>
        <v>#NAME?</v>
      </c>
      <c r="ED163" s="36" t="str">
        <f t="shared" si="73"/>
        <v>Equity - Common</v>
      </c>
      <c r="EE163" s="193">
        <f>COUNTIF($ED$2:$ED$92, ED163)/(COUNTIF($ED$2:$ED$92, "&lt;&gt;""") - COUNTIF($ED$2:$ED$92, ""))</f>
        <v>0.32222222222222224</v>
      </c>
      <c r="EF163" s="36" t="str">
        <f t="shared" si="74"/>
        <v>Early</v>
      </c>
      <c r="EG163" s="207"/>
      <c r="EH163" s="194" t="e">
        <f t="shared" ca="1" si="75"/>
        <v>#NAME?</v>
      </c>
      <c r="EI163" s="194" t="e">
        <f t="shared" ca="1" si="76"/>
        <v>#NAME?</v>
      </c>
      <c r="EJ163" s="209" t="e">
        <f t="shared" ca="1" si="77"/>
        <v>#NAME?</v>
      </c>
      <c r="EK163" s="208" t="e">
        <f t="shared" ca="1" si="267"/>
        <v>#NAME?</v>
      </c>
      <c r="EL163" s="36" t="str">
        <f t="shared" si="79"/>
        <v>Yes</v>
      </c>
      <c r="EM163" s="207"/>
      <c r="EN163" s="192">
        <f t="shared" si="268"/>
        <v>2.6190476190476191</v>
      </c>
      <c r="EO163" s="192">
        <f t="shared" si="269"/>
        <v>1</v>
      </c>
      <c r="EP163" s="209">
        <f t="shared" si="82"/>
        <v>3.6190476190476191</v>
      </c>
      <c r="EQ163" s="210">
        <f t="shared" si="270"/>
        <v>2.2710280373831777</v>
      </c>
      <c r="ER163" s="36" t="e">
        <f t="shared" ca="1" si="84"/>
        <v>#NAME?</v>
      </c>
      <c r="ES163" s="40">
        <f ca="1">COUNTIF($ER$2:$ER$92, ER163)/(COUNTIF($ER$2:$ER$92, "&lt;&gt;""") - COUNTIF($ER$2:$ER$92, ""))</f>
        <v>1</v>
      </c>
      <c r="ET163" s="36">
        <f t="shared" si="85"/>
        <v>2</v>
      </c>
      <c r="EU163" s="40">
        <f>COUNTIF($ET$2:$ET$92, ET163)/(COUNTIF($ET$2:$ET$92, "&lt;&gt;""") - COUNTIF($ET$2:$ET$92, ""))</f>
        <v>0.45555555555555555</v>
      </c>
      <c r="EV163" s="36">
        <f t="shared" si="86"/>
        <v>2</v>
      </c>
      <c r="EW163" s="40">
        <f>COUNTIF($EV$2:$EV$92, EV163)/(COUNTIF($EV$2:$EV$92, "&lt;&gt;""") - COUNTIF($EV$2:$EV$92, ""))</f>
        <v>0.15555555555555556</v>
      </c>
      <c r="EX163" s="36" t="str">
        <f t="shared" si="87"/>
        <v>Yes</v>
      </c>
      <c r="EY163" s="40">
        <f>COUNTIF($EX$2:$EX$92, EX163)/(COUNTIF($EX$2:$EX$92, "&lt;&gt;""") - COUNTIF($EX$2:$EX$92, ""))</f>
        <v>0.27777777777777779</v>
      </c>
      <c r="EZ163" s="36" t="str">
        <f t="shared" ref="EZ163:FB163" si="296">BM163</f>
        <v>Yes</v>
      </c>
      <c r="FA163" s="36" t="str">
        <f t="shared" si="296"/>
        <v>No</v>
      </c>
      <c r="FB163" s="36" t="str">
        <f t="shared" si="296"/>
        <v>No</v>
      </c>
      <c r="FC163" s="207"/>
      <c r="FD163" s="36" t="str">
        <f t="shared" si="89"/>
        <v>Transactional</v>
      </c>
      <c r="FE163" s="40">
        <f>COUNTIF($FD$2:$FD$92, FD163)/(COUNTIF($FD$2:$FD$92, "&lt;&gt;""") - COUNTIF($FD$2:$FD$92, ""))</f>
        <v>0.6</v>
      </c>
      <c r="FF163" s="36" t="str">
        <f t="shared" si="90"/>
        <v>B2B</v>
      </c>
      <c r="FG163" s="40">
        <f>COUNTIF($FF$2:$FF$92, FF163)/(COUNTIF($FF$2:$FF$92, "&lt;&gt;""") - COUNTIF($FF$2:$FF$92, ""))</f>
        <v>0.24444444444444444</v>
      </c>
      <c r="FH163" s="36" t="str">
        <f t="shared" si="91"/>
        <v>Low</v>
      </c>
      <c r="FI163" s="40">
        <f>COUNTIF($FH$2:$FH$92, FH163)/(COUNTIF($FH$2:$FH$92, "&lt;&gt;""") - COUNTIF($FH$2:$FH$92, ""))</f>
        <v>0.46666666666666667</v>
      </c>
      <c r="FJ163" s="36" t="str">
        <f t="shared" si="92"/>
        <v>Low</v>
      </c>
      <c r="FK163" s="40">
        <f>COUNTIF($FJ$2:$FJ$92, FJ163)/(COUNTIF($FJ$2:$FJ$92, "&lt;&gt;""") - COUNTIF($FJ$2:$FJ$92, ""))</f>
        <v>0.41111111111111109</v>
      </c>
      <c r="FL163" s="207"/>
      <c r="FM163" s="192">
        <f t="shared" si="93"/>
        <v>3</v>
      </c>
      <c r="FN163" s="192" t="e">
        <f t="shared" ca="1" si="94"/>
        <v>#NAME?</v>
      </c>
      <c r="FO163" s="192" t="e">
        <f t="shared" ca="1" si="95"/>
        <v>#NAME?</v>
      </c>
      <c r="FP163" s="192" t="e">
        <f t="shared" ca="1" si="96"/>
        <v>#NAME?</v>
      </c>
      <c r="FQ163" s="209" t="e">
        <f t="shared" ca="1" si="97"/>
        <v>#NAME?</v>
      </c>
      <c r="FR163" s="208" t="e">
        <f t="shared" ca="1" si="272"/>
        <v>#NAME?</v>
      </c>
      <c r="FS163" s="36" t="str">
        <f t="shared" si="99"/>
        <v>Pre-Revenue</v>
      </c>
      <c r="FT163" s="196">
        <f>COUNTIF($FS$2:$FS$92, FS163)/(COUNTIF($FS$2:$FS$92, "&lt;&gt;""") - COUNTIF($FZ$2:$FZ$92, ""))</f>
        <v>0.2</v>
      </c>
      <c r="FU163" s="207"/>
      <c r="FV163" s="192">
        <f t="shared" si="100"/>
        <v>3</v>
      </c>
      <c r="FW163" s="197" t="e">
        <f t="shared" ca="1" si="101"/>
        <v>#NAME?</v>
      </c>
      <c r="FX163" s="209" t="e">
        <f t="shared" ca="1" si="102"/>
        <v>#NAME?</v>
      </c>
      <c r="FY163" s="211" t="e">
        <f t="shared" ca="1" si="273"/>
        <v>#NAME?</v>
      </c>
      <c r="FZ163" s="36" t="str">
        <f t="shared" si="104"/>
        <v>Yes</v>
      </c>
      <c r="GA163" s="196">
        <f>COUNTIF($FZ$2:$FZ$92, FZ163)/(COUNTIF($FZ$2:$FZ$92, "&lt;&gt;""") - COUNTIF($FZ$2:$FZ$92, ""))</f>
        <v>0.23333333333333334</v>
      </c>
      <c r="GB163" s="196">
        <f t="shared" si="105"/>
        <v>0</v>
      </c>
      <c r="GC163" s="196">
        <f>COUNTIF($GB$2:$GB$92, GB163)/(COUNTIF($GB$2:$GB$92, "&lt;&gt;""") - COUNTIF($GB$2:$GB$92, ""))</f>
        <v>1.1111111111111112E-2</v>
      </c>
      <c r="GD163" s="196">
        <f t="shared" si="106"/>
        <v>0</v>
      </c>
      <c r="GE163" s="196">
        <f>COUNTIF($GD$2:$GD$92, GD163)/(COUNTIF($GD$2:$GD$92, "&lt;&gt;""") - COUNTIF($GD$2:$GD$92, ""))</f>
        <v>1.1111111111111112E-2</v>
      </c>
      <c r="GF163" s="207"/>
      <c r="GG163" s="36"/>
      <c r="GH163" s="209" t="e">
        <f t="shared" ca="1" si="107"/>
        <v>#NAME?</v>
      </c>
      <c r="GI163" s="212" t="e">
        <f t="shared" ca="1" si="274"/>
        <v>#NAME?</v>
      </c>
    </row>
    <row r="164" spans="1:191" ht="15.75" customHeight="1">
      <c r="A164" s="171"/>
      <c r="B164" s="171" t="s">
        <v>501</v>
      </c>
      <c r="C164" s="16">
        <v>1787023</v>
      </c>
      <c r="D164" s="233" t="s">
        <v>1397</v>
      </c>
      <c r="E164" s="234">
        <v>43726.419444444444</v>
      </c>
      <c r="F164" s="16" t="s">
        <v>270</v>
      </c>
      <c r="G164" s="235" t="s">
        <v>1398</v>
      </c>
      <c r="H164" s="235" t="s">
        <v>1399</v>
      </c>
      <c r="I164" s="241">
        <v>43844</v>
      </c>
      <c r="J164" s="233" t="s">
        <v>1400</v>
      </c>
      <c r="K164" s="233" t="s">
        <v>1401</v>
      </c>
      <c r="M164" s="29" t="s">
        <v>331</v>
      </c>
      <c r="N164" s="16" t="s">
        <v>168</v>
      </c>
      <c r="O164" s="16" t="s">
        <v>30</v>
      </c>
      <c r="P164" s="16" t="s">
        <v>31</v>
      </c>
      <c r="Q164" s="16" t="s">
        <v>35</v>
      </c>
      <c r="S164" s="16" t="s">
        <v>176</v>
      </c>
      <c r="T164" s="237"/>
      <c r="U164" s="213"/>
      <c r="W164" s="54">
        <v>3998304</v>
      </c>
      <c r="X164" s="226">
        <v>0</v>
      </c>
      <c r="Y164" s="55">
        <f t="shared" si="158"/>
        <v>3998304</v>
      </c>
      <c r="Z164" s="274">
        <f t="shared" si="159"/>
        <v>3998304</v>
      </c>
      <c r="AA164" s="183" t="e">
        <f t="shared" ca="1" si="160"/>
        <v>#NAME?</v>
      </c>
      <c r="AB164" s="16" t="s">
        <v>178</v>
      </c>
      <c r="AC164" s="16" t="s">
        <v>37</v>
      </c>
      <c r="AD164" s="16" t="s">
        <v>38</v>
      </c>
      <c r="AE164" s="16" t="s">
        <v>227</v>
      </c>
      <c r="AF164" s="16" t="s">
        <v>39</v>
      </c>
      <c r="AG164" s="16" t="s">
        <v>39</v>
      </c>
      <c r="AH164" s="16" t="s">
        <v>190</v>
      </c>
      <c r="AI164" s="54"/>
      <c r="AJ164" s="278">
        <v>200000000000</v>
      </c>
      <c r="AK164" s="224" t="e">
        <f t="shared" ca="1" si="161"/>
        <v>#NAME?</v>
      </c>
      <c r="AL164" s="278">
        <v>345000000</v>
      </c>
      <c r="AM164" s="224" t="e">
        <f t="shared" ca="1" si="162"/>
        <v>#NAME?</v>
      </c>
      <c r="AN164" s="278">
        <v>0.16</v>
      </c>
      <c r="AO164" s="185" t="e">
        <f t="shared" ca="1" si="63"/>
        <v>#NAME?</v>
      </c>
      <c r="AP164" s="185" t="s">
        <v>169</v>
      </c>
      <c r="AQ164" s="16" t="s">
        <v>181</v>
      </c>
      <c r="AR164" s="16" t="s">
        <v>181</v>
      </c>
      <c r="AS164" s="16" t="s">
        <v>42</v>
      </c>
      <c r="AT164" s="159"/>
      <c r="AU164" s="159"/>
      <c r="AV164" s="16" t="s">
        <v>190</v>
      </c>
      <c r="AW164" s="16" t="s">
        <v>190</v>
      </c>
      <c r="AX164" s="16" t="s">
        <v>190</v>
      </c>
      <c r="AY164" s="16" t="s">
        <v>190</v>
      </c>
      <c r="AZ164" s="54">
        <v>0</v>
      </c>
      <c r="BA164" s="55" t="e">
        <f t="shared" ca="1" si="163"/>
        <v>#NAME?</v>
      </c>
      <c r="BB164" s="278">
        <v>514</v>
      </c>
      <c r="BC164" s="278">
        <v>0</v>
      </c>
      <c r="BD164" s="62" t="e">
        <f t="shared" ca="1" si="164"/>
        <v>#NAME?</v>
      </c>
      <c r="BE164" s="277">
        <f t="shared" si="165"/>
        <v>1</v>
      </c>
      <c r="BF164" s="62" t="e">
        <f t="shared" ca="1" si="166"/>
        <v>#NAME?</v>
      </c>
      <c r="BG164" s="16" t="s">
        <v>43</v>
      </c>
      <c r="BI164" s="16" t="s">
        <v>190</v>
      </c>
      <c r="BJ164" s="16">
        <v>0</v>
      </c>
      <c r="BK164" s="278">
        <v>1</v>
      </c>
      <c r="BL164" s="16" t="s">
        <v>190</v>
      </c>
      <c r="BM164" s="16" t="s">
        <v>227</v>
      </c>
      <c r="BN164" s="16" t="s">
        <v>190</v>
      </c>
      <c r="BO164" s="16" t="s">
        <v>190</v>
      </c>
      <c r="BP164" s="16">
        <v>2</v>
      </c>
      <c r="BQ164" s="16">
        <v>1</v>
      </c>
      <c r="BR164" s="16">
        <v>0</v>
      </c>
      <c r="BS164" s="16">
        <v>0</v>
      </c>
      <c r="BT164" s="205"/>
      <c r="BU164" s="16">
        <v>0</v>
      </c>
      <c r="BV164" s="16">
        <v>0</v>
      </c>
      <c r="BW164" s="16">
        <v>44</v>
      </c>
      <c r="BX164" s="16" t="s">
        <v>190</v>
      </c>
      <c r="BY164" s="205"/>
      <c r="CD164" s="205"/>
      <c r="CI164" s="205"/>
      <c r="CN164" s="205"/>
      <c r="CS164" s="205"/>
      <c r="CX164" s="205"/>
      <c r="DC164" s="205"/>
      <c r="DH164" s="205"/>
      <c r="DM164" s="205"/>
      <c r="DN164" s="205"/>
      <c r="DO164" s="205"/>
      <c r="DQ164" s="206"/>
      <c r="DR164" s="188">
        <f t="shared" si="64"/>
        <v>0</v>
      </c>
      <c r="DS164" s="188"/>
      <c r="DT164" s="189">
        <f t="shared" si="65"/>
        <v>0</v>
      </c>
      <c r="DU164" s="189"/>
      <c r="DV164" s="188">
        <f t="shared" si="66"/>
        <v>44</v>
      </c>
      <c r="DW164" s="183" t="e">
        <f t="shared" ca="1" si="67"/>
        <v>#NAME?</v>
      </c>
      <c r="DX164" s="207"/>
      <c r="DY164" s="190" t="e">
        <f t="shared" ca="1" si="68"/>
        <v>#NAME?</v>
      </c>
      <c r="DZ164" s="191">
        <f t="shared" si="264"/>
        <v>1</v>
      </c>
      <c r="EA164" s="191" t="str">
        <f t="shared" si="265"/>
        <v/>
      </c>
      <c r="EB164" s="191" t="str">
        <f t="shared" si="266"/>
        <v/>
      </c>
      <c r="EC164" s="208" t="e">
        <f t="shared" ca="1" si="72"/>
        <v>#NAME?</v>
      </c>
      <c r="ED164" s="36" t="str">
        <f t="shared" si="73"/>
        <v>Convertible Note</v>
      </c>
      <c r="EE164" s="193">
        <f>COUNTIF($ED$2:$ED$92, ED164)/(COUNTIF($ED$2:$ED$92, "&lt;&gt;""") - COUNTIF($ED$2:$ED$92, ""))</f>
        <v>0.13333333333333333</v>
      </c>
      <c r="EF164" s="36" t="str">
        <f t="shared" si="74"/>
        <v>Early</v>
      </c>
      <c r="EG164" s="207"/>
      <c r="EH164" s="194" t="e">
        <f t="shared" ca="1" si="75"/>
        <v>#NAME?</v>
      </c>
      <c r="EI164" s="194" t="e">
        <f t="shared" ca="1" si="76"/>
        <v>#NAME?</v>
      </c>
      <c r="EJ164" s="209" t="e">
        <f t="shared" ca="1" si="77"/>
        <v>#NAME?</v>
      </c>
      <c r="EK164" s="208" t="e">
        <f t="shared" ca="1" si="267"/>
        <v>#NAME?</v>
      </c>
      <c r="EL164" s="36" t="str">
        <f t="shared" si="79"/>
        <v>No</v>
      </c>
      <c r="EM164" s="207"/>
      <c r="EN164" s="192">
        <f t="shared" si="268"/>
        <v>1</v>
      </c>
      <c r="EO164" s="192">
        <f t="shared" si="269"/>
        <v>1</v>
      </c>
      <c r="EP164" s="209">
        <f t="shared" si="82"/>
        <v>2</v>
      </c>
      <c r="EQ164" s="210">
        <f t="shared" si="270"/>
        <v>1</v>
      </c>
      <c r="ER164" s="36" t="e">
        <f t="shared" ca="1" si="84"/>
        <v>#NAME?</v>
      </c>
      <c r="ES164" s="40">
        <f ca="1">COUNTIF($ER$2:$ER$92, ER164)/(COUNTIF($ER$2:$ER$92, "&lt;&gt;""") - COUNTIF($ER$2:$ER$92, ""))</f>
        <v>1</v>
      </c>
      <c r="ET164" s="36">
        <f t="shared" si="85"/>
        <v>1</v>
      </c>
      <c r="EU164" s="40">
        <f>COUNTIF($ET$2:$ET$92, ET164)/(COUNTIF($ET$2:$ET$92, "&lt;&gt;""") - COUNTIF($ET$2:$ET$92, ""))</f>
        <v>0.45555555555555555</v>
      </c>
      <c r="EV164" s="36">
        <f t="shared" si="86"/>
        <v>1</v>
      </c>
      <c r="EW164" s="40">
        <f>COUNTIF($EV$2:$EV$92, EV164)/(COUNTIF($EV$2:$EV$92, "&lt;&gt;""") - COUNTIF($EV$2:$EV$92, ""))</f>
        <v>7.7777777777777779E-2</v>
      </c>
      <c r="EX164" s="36" t="str">
        <f t="shared" si="87"/>
        <v>No</v>
      </c>
      <c r="EY164" s="40">
        <f>COUNTIF($EX$2:$EX$92, EX164)/(COUNTIF($EX$2:$EX$92, "&lt;&gt;""") - COUNTIF($EX$2:$EX$92, ""))</f>
        <v>0.72222222222222221</v>
      </c>
      <c r="EZ164" s="36" t="str">
        <f t="shared" ref="EZ164:FB164" si="297">BM164</f>
        <v>Yes</v>
      </c>
      <c r="FA164" s="36" t="str">
        <f t="shared" si="297"/>
        <v>No</v>
      </c>
      <c r="FB164" s="36" t="str">
        <f t="shared" si="297"/>
        <v>No</v>
      </c>
      <c r="FC164" s="207"/>
      <c r="FD164" s="36" t="str">
        <f t="shared" si="89"/>
        <v>Recurring</v>
      </c>
      <c r="FE164" s="40">
        <f>COUNTIF($FD$2:$FD$92, FD164)/(COUNTIF($FD$2:$FD$92, "&lt;&gt;""") - COUNTIF($FD$2:$FD$92, ""))</f>
        <v>0.4</v>
      </c>
      <c r="FF164" s="36" t="str">
        <f t="shared" si="90"/>
        <v>B2B</v>
      </c>
      <c r="FG164" s="40">
        <f>COUNTIF($FF$2:$FF$92, FF164)/(COUNTIF($FF$2:$FF$92, "&lt;&gt;""") - COUNTIF($FF$2:$FF$92, ""))</f>
        <v>0.24444444444444444</v>
      </c>
      <c r="FH164" s="36" t="str">
        <f t="shared" si="91"/>
        <v>High</v>
      </c>
      <c r="FI164" s="40">
        <f>COUNTIF($FH$2:$FH$92, FH164)/(COUNTIF($FH$2:$FH$92, "&lt;&gt;""") - COUNTIF($FH$2:$FH$92, ""))</f>
        <v>0.53333333333333333</v>
      </c>
      <c r="FJ164" s="36" t="str">
        <f t="shared" si="92"/>
        <v>High</v>
      </c>
      <c r="FK164" s="40">
        <f>COUNTIF($FJ$2:$FJ$92, FJ164)/(COUNTIF($FJ$2:$FJ$92, "&lt;&gt;""") - COUNTIF($FJ$2:$FJ$92, ""))</f>
        <v>0.58888888888888891</v>
      </c>
      <c r="FL164" s="207"/>
      <c r="FM164" s="192">
        <f t="shared" si="93"/>
        <v>1</v>
      </c>
      <c r="FN164" s="192" t="e">
        <f t="shared" ca="1" si="94"/>
        <v>#NAME?</v>
      </c>
      <c r="FO164" s="192" t="e">
        <f t="shared" ca="1" si="95"/>
        <v>#NAME?</v>
      </c>
      <c r="FP164" s="192" t="e">
        <f t="shared" ca="1" si="96"/>
        <v>#NAME?</v>
      </c>
      <c r="FQ164" s="209" t="e">
        <f t="shared" ca="1" si="97"/>
        <v>#NAME?</v>
      </c>
      <c r="FR164" s="208" t="e">
        <f t="shared" ca="1" si="272"/>
        <v>#NAME?</v>
      </c>
      <c r="FS164" s="36" t="str">
        <f t="shared" si="99"/>
        <v>Pre-Product</v>
      </c>
      <c r="FT164" s="196">
        <f>COUNTIF($FS$2:$FS$92, FS164)/(COUNTIF($FS$2:$FS$92, "&lt;&gt;""") - COUNTIF($FZ$2:$FZ$92, ""))</f>
        <v>0.22222222222222221</v>
      </c>
      <c r="FU164" s="207"/>
      <c r="FV164" s="192" t="e">
        <f t="shared" ca="1" si="100"/>
        <v>#NAME?</v>
      </c>
      <c r="FW164" s="197" t="e">
        <f t="shared" ca="1" si="101"/>
        <v>#NAME?</v>
      </c>
      <c r="FX164" s="209" t="e">
        <f t="shared" ca="1" si="102"/>
        <v>#NAME?</v>
      </c>
      <c r="FY164" s="211" t="e">
        <f t="shared" ca="1" si="273"/>
        <v>#NAME?</v>
      </c>
      <c r="FZ164" s="36" t="str">
        <f t="shared" si="104"/>
        <v>No</v>
      </c>
      <c r="GA164" s="196">
        <f>COUNTIF($FZ$2:$FZ$92, FZ164)/(COUNTIF($FZ$2:$FZ$92, "&lt;&gt;""") - COUNTIF($FZ$2:$FZ$92, ""))</f>
        <v>0.76666666666666672</v>
      </c>
      <c r="GB164" s="196">
        <f t="shared" si="105"/>
        <v>0</v>
      </c>
      <c r="GC164" s="196">
        <f>COUNTIF($GB$2:$GB$92, GB164)/(COUNTIF($GB$2:$GB$92, "&lt;&gt;""") - COUNTIF($GB$2:$GB$92, ""))</f>
        <v>1.1111111111111112E-2</v>
      </c>
      <c r="GD164" s="196">
        <f t="shared" si="106"/>
        <v>0</v>
      </c>
      <c r="GE164" s="196">
        <f>COUNTIF($GD$2:$GD$92, GD164)/(COUNTIF($GD$2:$GD$92, "&lt;&gt;""") - COUNTIF($GD$2:$GD$92, ""))</f>
        <v>1.1111111111111112E-2</v>
      </c>
      <c r="GF164" s="207"/>
      <c r="GG164" s="36"/>
      <c r="GH164" s="209" t="e">
        <f t="shared" ca="1" si="107"/>
        <v>#NAME?</v>
      </c>
      <c r="GI164" s="212" t="e">
        <f t="shared" ca="1" si="274"/>
        <v>#NAME?</v>
      </c>
    </row>
    <row r="165" spans="1:191" ht="15.75" customHeight="1">
      <c r="A165" s="171"/>
      <c r="B165" s="171" t="s">
        <v>501</v>
      </c>
      <c r="C165" s="16">
        <v>1775538</v>
      </c>
      <c r="D165" s="233" t="s">
        <v>1402</v>
      </c>
      <c r="E165" s="234">
        <v>43728.428472222222</v>
      </c>
      <c r="F165" s="16" t="s">
        <v>337</v>
      </c>
      <c r="G165" s="235" t="s">
        <v>1403</v>
      </c>
      <c r="H165" s="235" t="s">
        <v>1404</v>
      </c>
      <c r="I165" s="241">
        <v>43873</v>
      </c>
      <c r="J165" s="233" t="s">
        <v>1405</v>
      </c>
      <c r="K165" s="233" t="s">
        <v>1402</v>
      </c>
      <c r="M165" s="16" t="s">
        <v>929</v>
      </c>
      <c r="N165" s="16" t="s">
        <v>213</v>
      </c>
      <c r="O165" s="16" t="s">
        <v>173</v>
      </c>
      <c r="P165" s="16" t="s">
        <v>197</v>
      </c>
      <c r="Q165" s="16" t="s">
        <v>35</v>
      </c>
      <c r="S165" s="16" t="s">
        <v>216</v>
      </c>
      <c r="T165" s="237"/>
      <c r="U165" s="213"/>
      <c r="V165" s="54">
        <v>19201088</v>
      </c>
      <c r="W165" s="54"/>
      <c r="X165" s="226"/>
      <c r="Y165" s="55" t="str">
        <f t="shared" si="158"/>
        <v/>
      </c>
      <c r="Z165" s="274">
        <f t="shared" si="159"/>
        <v>19201088</v>
      </c>
      <c r="AA165" s="183" t="e">
        <f t="shared" ca="1" si="160"/>
        <v>#NAME?</v>
      </c>
      <c r="AB165" s="16" t="s">
        <v>178</v>
      </c>
      <c r="AC165" s="16" t="s">
        <v>37</v>
      </c>
      <c r="AD165" s="16" t="s">
        <v>180</v>
      </c>
      <c r="AE165" s="16" t="s">
        <v>227</v>
      </c>
      <c r="AF165" s="16" t="s">
        <v>181</v>
      </c>
      <c r="AG165" s="16" t="s">
        <v>39</v>
      </c>
      <c r="AH165" s="16" t="s">
        <v>190</v>
      </c>
      <c r="AI165" s="54"/>
      <c r="AJ165" s="278">
        <v>50000000000</v>
      </c>
      <c r="AK165" s="224" t="e">
        <f t="shared" ca="1" si="161"/>
        <v>#NAME?</v>
      </c>
      <c r="AL165" s="278">
        <v>11000000000</v>
      </c>
      <c r="AM165" s="224" t="e">
        <f t="shared" ca="1" si="162"/>
        <v>#NAME?</v>
      </c>
      <c r="AN165" s="278">
        <v>0.3</v>
      </c>
      <c r="AO165" s="185" t="e">
        <f t="shared" ca="1" si="63"/>
        <v>#NAME?</v>
      </c>
      <c r="AP165" s="185" t="s">
        <v>228</v>
      </c>
      <c r="AQ165" s="16" t="s">
        <v>39</v>
      </c>
      <c r="AR165" s="16" t="s">
        <v>181</v>
      </c>
      <c r="AS165" s="16" t="s">
        <v>42</v>
      </c>
      <c r="AT165" s="159"/>
      <c r="AU165" s="159"/>
      <c r="AV165" s="16" t="s">
        <v>227</v>
      </c>
      <c r="AW165" s="16" t="s">
        <v>227</v>
      </c>
      <c r="AX165" s="16" t="s">
        <v>227</v>
      </c>
      <c r="AY165" s="16" t="s">
        <v>227</v>
      </c>
      <c r="AZ165" s="54">
        <v>813613</v>
      </c>
      <c r="BA165" s="55" t="e">
        <f t="shared" ca="1" si="163"/>
        <v>#NAME?</v>
      </c>
      <c r="BB165" s="278">
        <v>6280</v>
      </c>
      <c r="BC165" s="278">
        <v>3182473</v>
      </c>
      <c r="BD165" s="62" t="e">
        <f t="shared" ca="1" si="164"/>
        <v>#NAME?</v>
      </c>
      <c r="BE165" s="277">
        <f t="shared" si="165"/>
        <v>1.9733081788910699E-3</v>
      </c>
      <c r="BF165" s="62" t="e">
        <f t="shared" ca="1" si="166"/>
        <v>#NAME?</v>
      </c>
      <c r="BG165" s="16" t="s">
        <v>202</v>
      </c>
      <c r="BI165" s="16" t="s">
        <v>190</v>
      </c>
      <c r="BJ165" s="16">
        <v>0</v>
      </c>
      <c r="BK165" s="278">
        <v>1</v>
      </c>
      <c r="BL165" s="16" t="s">
        <v>227</v>
      </c>
      <c r="BM165" s="16" t="s">
        <v>190</v>
      </c>
      <c r="BN165" s="16" t="s">
        <v>190</v>
      </c>
      <c r="BO165" s="16" t="s">
        <v>190</v>
      </c>
      <c r="BP165" s="16">
        <v>1</v>
      </c>
      <c r="BQ165" s="16">
        <v>5</v>
      </c>
      <c r="BR165" s="16">
        <v>0</v>
      </c>
      <c r="BS165" s="16">
        <v>0</v>
      </c>
      <c r="BT165" s="205"/>
      <c r="BU165" s="16">
        <v>30</v>
      </c>
      <c r="BV165" s="16">
        <v>0</v>
      </c>
      <c r="BW165" s="16">
        <v>67</v>
      </c>
      <c r="BX165" s="16" t="s">
        <v>227</v>
      </c>
      <c r="BY165" s="205"/>
      <c r="CD165" s="205"/>
      <c r="CI165" s="205"/>
      <c r="CN165" s="205"/>
      <c r="CS165" s="205"/>
      <c r="CX165" s="205"/>
      <c r="DC165" s="205"/>
      <c r="DH165" s="205"/>
      <c r="DM165" s="205"/>
      <c r="DN165" s="205"/>
      <c r="DO165" s="205"/>
      <c r="DQ165" s="206"/>
      <c r="DR165" s="188">
        <f t="shared" si="64"/>
        <v>30</v>
      </c>
      <c r="DS165" s="188"/>
      <c r="DT165" s="189">
        <f t="shared" si="65"/>
        <v>0</v>
      </c>
      <c r="DU165" s="189"/>
      <c r="DV165" s="188">
        <f t="shared" si="66"/>
        <v>67</v>
      </c>
      <c r="DW165" s="183" t="e">
        <f t="shared" ca="1" si="67"/>
        <v>#NAME?</v>
      </c>
      <c r="DX165" s="207"/>
      <c r="DY165" s="190" t="e">
        <f t="shared" ca="1" si="68"/>
        <v>#NAME?</v>
      </c>
      <c r="DZ165" s="191" t="str">
        <f t="shared" si="264"/>
        <v/>
      </c>
      <c r="EA165" s="191" t="str">
        <f t="shared" si="265"/>
        <v/>
      </c>
      <c r="EB165" s="191" t="str">
        <f t="shared" si="266"/>
        <v/>
      </c>
      <c r="EC165" s="208" t="e">
        <f t="shared" ca="1" si="72"/>
        <v>#NAME?</v>
      </c>
      <c r="ED165" s="36" t="str">
        <f t="shared" si="73"/>
        <v>Equity - Common</v>
      </c>
      <c r="EE165" s="193">
        <f>COUNTIF($ED$2:$ED$92, ED165)/(COUNTIF($ED$2:$ED$92, "&lt;&gt;""") - COUNTIF($ED$2:$ED$92, ""))</f>
        <v>0.32222222222222224</v>
      </c>
      <c r="EF165" s="36" t="str">
        <f t="shared" si="74"/>
        <v>Growth</v>
      </c>
      <c r="EG165" s="207"/>
      <c r="EH165" s="194" t="e">
        <f t="shared" ca="1" si="75"/>
        <v>#NAME?</v>
      </c>
      <c r="EI165" s="194" t="e">
        <f t="shared" ca="1" si="76"/>
        <v>#NAME?</v>
      </c>
      <c r="EJ165" s="209" t="e">
        <f t="shared" ca="1" si="77"/>
        <v>#NAME?</v>
      </c>
      <c r="EK165" s="208" t="e">
        <f t="shared" ca="1" si="267"/>
        <v>#NAME?</v>
      </c>
      <c r="EL165" s="36" t="str">
        <f t="shared" si="79"/>
        <v>Yes</v>
      </c>
      <c r="EM165" s="207"/>
      <c r="EN165" s="192">
        <f t="shared" si="268"/>
        <v>3.8571428571428572</v>
      </c>
      <c r="EO165" s="192">
        <f t="shared" si="269"/>
        <v>1</v>
      </c>
      <c r="EP165" s="209">
        <f t="shared" si="82"/>
        <v>4.8571428571428577</v>
      </c>
      <c r="EQ165" s="210">
        <f t="shared" si="270"/>
        <v>3.2429906542056082</v>
      </c>
      <c r="ER165" s="36" t="e">
        <f t="shared" ca="1" si="84"/>
        <v>#NAME?</v>
      </c>
      <c r="ES165" s="40">
        <f ca="1">COUNTIF($ER$2:$ER$92, ER165)/(COUNTIF($ER$2:$ER$92, "&lt;&gt;""") - COUNTIF($ER$2:$ER$92, ""))</f>
        <v>1</v>
      </c>
      <c r="ET165" s="36">
        <f t="shared" si="85"/>
        <v>1</v>
      </c>
      <c r="EU165" s="40">
        <f>COUNTIF($ET$2:$ET$92, ET165)/(COUNTIF($ET$2:$ET$92, "&lt;&gt;""") - COUNTIF($ET$2:$ET$92, ""))</f>
        <v>0.45555555555555555</v>
      </c>
      <c r="EV165" s="36">
        <f t="shared" si="86"/>
        <v>5</v>
      </c>
      <c r="EW165" s="40">
        <f>COUNTIF($EV$2:$EV$92, EV165)/(COUNTIF($EV$2:$EV$92, "&lt;&gt;""") - COUNTIF($EV$2:$EV$92, ""))</f>
        <v>0.13333333333333333</v>
      </c>
      <c r="EX165" s="36" t="str">
        <f t="shared" si="87"/>
        <v>Yes</v>
      </c>
      <c r="EY165" s="40">
        <f>COUNTIF($EX$2:$EX$92, EX165)/(COUNTIF($EX$2:$EX$92, "&lt;&gt;""") - COUNTIF($EX$2:$EX$92, ""))</f>
        <v>0.27777777777777779</v>
      </c>
      <c r="EZ165" s="36" t="str">
        <f t="shared" ref="EZ165:FB165" si="298">BM165</f>
        <v>No</v>
      </c>
      <c r="FA165" s="36" t="str">
        <f t="shared" si="298"/>
        <v>No</v>
      </c>
      <c r="FB165" s="36" t="str">
        <f t="shared" si="298"/>
        <v>No</v>
      </c>
      <c r="FC165" s="207"/>
      <c r="FD165" s="36" t="str">
        <f t="shared" si="89"/>
        <v>Recurring</v>
      </c>
      <c r="FE165" s="40">
        <f>COUNTIF($FD$2:$FD$92, FD165)/(COUNTIF($FD$2:$FD$92, "&lt;&gt;""") - COUNTIF($FD$2:$FD$92, ""))</f>
        <v>0.4</v>
      </c>
      <c r="FF165" s="36" t="str">
        <f t="shared" si="90"/>
        <v>B2B</v>
      </c>
      <c r="FG165" s="40">
        <f>COUNTIF($FF$2:$FF$92, FF165)/(COUNTIF($FF$2:$FF$92, "&lt;&gt;""") - COUNTIF($FF$2:$FF$92, ""))</f>
        <v>0.24444444444444444</v>
      </c>
      <c r="FH165" s="36" t="str">
        <f t="shared" si="91"/>
        <v>Low</v>
      </c>
      <c r="FI165" s="40">
        <f>COUNTIF($FH$2:$FH$92, FH165)/(COUNTIF($FH$2:$FH$92, "&lt;&gt;""") - COUNTIF($FH$2:$FH$92, ""))</f>
        <v>0.46666666666666667</v>
      </c>
      <c r="FJ165" s="36" t="str">
        <f t="shared" si="92"/>
        <v>High</v>
      </c>
      <c r="FK165" s="40">
        <f>COUNTIF($FJ$2:$FJ$92, FJ165)/(COUNTIF($FJ$2:$FJ$92, "&lt;&gt;""") - COUNTIF($FJ$2:$FJ$92, ""))</f>
        <v>0.58888888888888891</v>
      </c>
      <c r="FL165" s="207"/>
      <c r="FM165" s="192">
        <f t="shared" si="93"/>
        <v>5</v>
      </c>
      <c r="FN165" s="192" t="e">
        <f t="shared" ca="1" si="94"/>
        <v>#NAME?</v>
      </c>
      <c r="FO165" s="192" t="e">
        <f t="shared" ca="1" si="95"/>
        <v>#NAME?</v>
      </c>
      <c r="FP165" s="192" t="e">
        <f t="shared" ca="1" si="96"/>
        <v>#NAME?</v>
      </c>
      <c r="FQ165" s="209" t="e">
        <f t="shared" ca="1" si="97"/>
        <v>#NAME?</v>
      </c>
      <c r="FR165" s="208" t="e">
        <f t="shared" ca="1" si="272"/>
        <v>#NAME?</v>
      </c>
      <c r="FS165" s="36" t="str">
        <f t="shared" si="99"/>
        <v>Pre-Profit</v>
      </c>
      <c r="FT165" s="196">
        <f>COUNTIF($FS$2:$FS$92, FS165)/(COUNTIF($FS$2:$FS$92, "&lt;&gt;""") - COUNTIF($FZ$2:$FZ$92, ""))</f>
        <v>0.51111111111111107</v>
      </c>
      <c r="FU165" s="207"/>
      <c r="FV165" s="192">
        <f t="shared" si="100"/>
        <v>3</v>
      </c>
      <c r="FW165" s="197" t="e">
        <f t="shared" ca="1" si="101"/>
        <v>#NAME?</v>
      </c>
      <c r="FX165" s="209" t="e">
        <f t="shared" ca="1" si="102"/>
        <v>#NAME?</v>
      </c>
      <c r="FY165" s="211" t="e">
        <f t="shared" ca="1" si="273"/>
        <v>#NAME?</v>
      </c>
      <c r="FZ165" s="36" t="str">
        <f t="shared" si="104"/>
        <v>Yes</v>
      </c>
      <c r="GA165" s="196">
        <f>COUNTIF($FZ$2:$FZ$92, FZ165)/(COUNTIF($FZ$2:$FZ$92, "&lt;&gt;""") - COUNTIF($FZ$2:$FZ$92, ""))</f>
        <v>0.23333333333333334</v>
      </c>
      <c r="GB165" s="196">
        <f t="shared" si="105"/>
        <v>0</v>
      </c>
      <c r="GC165" s="196">
        <f>COUNTIF($GB$2:$GB$92, GB165)/(COUNTIF($GB$2:$GB$92, "&lt;&gt;""") - COUNTIF($GB$2:$GB$92, ""))</f>
        <v>1.1111111111111112E-2</v>
      </c>
      <c r="GD165" s="196">
        <f t="shared" si="106"/>
        <v>0</v>
      </c>
      <c r="GE165" s="196">
        <f>COUNTIF($GD$2:$GD$92, GD165)/(COUNTIF($GD$2:$GD$92, "&lt;&gt;""") - COUNTIF($GD$2:$GD$92, ""))</f>
        <v>1.1111111111111112E-2</v>
      </c>
      <c r="GF165" s="207"/>
      <c r="GG165" s="36"/>
      <c r="GH165" s="209" t="e">
        <f t="shared" ca="1" si="107"/>
        <v>#NAME?</v>
      </c>
      <c r="GI165" s="212" t="e">
        <f t="shared" ca="1" si="274"/>
        <v>#NAME?</v>
      </c>
    </row>
    <row r="166" spans="1:191" ht="15.75" customHeight="1">
      <c r="A166" s="171"/>
      <c r="B166" s="171" t="s">
        <v>501</v>
      </c>
      <c r="C166" s="16">
        <v>1777011</v>
      </c>
      <c r="D166" s="233" t="s">
        <v>1406</v>
      </c>
      <c r="E166" s="234">
        <v>43728.435416666667</v>
      </c>
      <c r="F166" s="16" t="s">
        <v>337</v>
      </c>
      <c r="G166" s="235" t="s">
        <v>1407</v>
      </c>
      <c r="H166" s="235" t="s">
        <v>1408</v>
      </c>
      <c r="I166" s="241">
        <v>43882</v>
      </c>
      <c r="J166" s="233" t="s">
        <v>1409</v>
      </c>
      <c r="K166" s="233" t="s">
        <v>1406</v>
      </c>
      <c r="M166" s="29" t="s">
        <v>243</v>
      </c>
      <c r="N166" s="16" t="s">
        <v>168</v>
      </c>
      <c r="O166" s="16" t="s">
        <v>173</v>
      </c>
      <c r="P166" s="16" t="s">
        <v>197</v>
      </c>
      <c r="Q166" s="16" t="s">
        <v>35</v>
      </c>
      <c r="S166" s="16" t="s">
        <v>216</v>
      </c>
      <c r="T166" s="237"/>
      <c r="U166" s="213"/>
      <c r="V166" s="54">
        <v>6200000</v>
      </c>
      <c r="W166" s="54"/>
      <c r="X166" s="226"/>
      <c r="Y166" s="55" t="str">
        <f t="shared" si="158"/>
        <v/>
      </c>
      <c r="Z166" s="274">
        <f t="shared" si="159"/>
        <v>6200000</v>
      </c>
      <c r="AA166" s="183" t="e">
        <f t="shared" ca="1" si="160"/>
        <v>#NAME?</v>
      </c>
      <c r="AB166" s="16" t="s">
        <v>36</v>
      </c>
      <c r="AC166" s="16" t="s">
        <v>218</v>
      </c>
      <c r="AD166" s="16" t="s">
        <v>38</v>
      </c>
      <c r="AE166" s="16" t="s">
        <v>227</v>
      </c>
      <c r="AF166" s="16" t="s">
        <v>181</v>
      </c>
      <c r="AG166" s="16" t="s">
        <v>181</v>
      </c>
      <c r="AH166" s="16" t="s">
        <v>190</v>
      </c>
      <c r="AI166" s="54"/>
      <c r="AJ166" s="278">
        <v>7980000000</v>
      </c>
      <c r="AK166" s="224" t="e">
        <f t="shared" ca="1" si="161"/>
        <v>#NAME?</v>
      </c>
      <c r="AL166" s="278">
        <v>4980000000</v>
      </c>
      <c r="AM166" s="224" t="e">
        <f t="shared" ca="1" si="162"/>
        <v>#NAME?</v>
      </c>
      <c r="AN166" s="278">
        <v>0.08</v>
      </c>
      <c r="AO166" s="185" t="e">
        <f t="shared" ca="1" si="63"/>
        <v>#NAME?</v>
      </c>
      <c r="AP166" s="185" t="s">
        <v>169</v>
      </c>
      <c r="AQ166" s="16" t="s">
        <v>39</v>
      </c>
      <c r="AR166" s="16" t="s">
        <v>181</v>
      </c>
      <c r="AS166" s="16" t="s">
        <v>182</v>
      </c>
      <c r="AT166" s="159"/>
      <c r="AU166" s="159"/>
      <c r="AV166" s="16" t="s">
        <v>190</v>
      </c>
      <c r="AW166" s="16" t="s">
        <v>227</v>
      </c>
      <c r="AX166" s="16" t="s">
        <v>227</v>
      </c>
      <c r="AY166" s="16" t="s">
        <v>227</v>
      </c>
      <c r="AZ166" s="54">
        <v>759911</v>
      </c>
      <c r="BA166" s="55" t="e">
        <f t="shared" ca="1" si="163"/>
        <v>#NAME?</v>
      </c>
      <c r="BB166" s="278">
        <v>691</v>
      </c>
      <c r="BC166" s="278">
        <v>466986</v>
      </c>
      <c r="BD166" s="62" t="e">
        <f t="shared" ca="1" si="164"/>
        <v>#NAME?</v>
      </c>
      <c r="BE166" s="277">
        <f t="shared" si="165"/>
        <v>1.4797017469474459E-3</v>
      </c>
      <c r="BF166" s="62" t="e">
        <f t="shared" ca="1" si="166"/>
        <v>#NAME?</v>
      </c>
      <c r="BG166" s="16" t="s">
        <v>202</v>
      </c>
      <c r="BI166" s="16" t="s">
        <v>227</v>
      </c>
      <c r="BJ166" s="16">
        <v>9</v>
      </c>
      <c r="BK166" s="278">
        <v>1</v>
      </c>
      <c r="BL166" s="16" t="s">
        <v>190</v>
      </c>
      <c r="BM166" s="16" t="s">
        <v>190</v>
      </c>
      <c r="BN166" s="16" t="s">
        <v>227</v>
      </c>
      <c r="BO166" s="16" t="s">
        <v>190</v>
      </c>
      <c r="BP166" s="16">
        <v>1</v>
      </c>
      <c r="BQ166" s="16">
        <v>2</v>
      </c>
      <c r="BR166" s="16">
        <v>0</v>
      </c>
      <c r="BS166" s="16">
        <v>0</v>
      </c>
      <c r="BT166" s="205"/>
      <c r="BU166" s="16">
        <v>9</v>
      </c>
      <c r="BV166" s="16">
        <v>0</v>
      </c>
      <c r="BW166" s="16">
        <v>43</v>
      </c>
      <c r="BX166" s="16" t="s">
        <v>190</v>
      </c>
      <c r="BY166" s="205"/>
      <c r="CD166" s="205"/>
      <c r="CI166" s="205"/>
      <c r="CN166" s="205"/>
      <c r="CS166" s="205"/>
      <c r="CX166" s="205"/>
      <c r="DC166" s="205"/>
      <c r="DH166" s="205"/>
      <c r="DM166" s="205"/>
      <c r="DN166" s="205"/>
      <c r="DO166" s="205"/>
      <c r="DQ166" s="206"/>
      <c r="DR166" s="188">
        <f t="shared" si="64"/>
        <v>9</v>
      </c>
      <c r="DS166" s="188"/>
      <c r="DT166" s="189">
        <f t="shared" si="65"/>
        <v>0</v>
      </c>
      <c r="DU166" s="189"/>
      <c r="DV166" s="188">
        <f t="shared" si="66"/>
        <v>43</v>
      </c>
      <c r="DW166" s="183" t="e">
        <f t="shared" ca="1" si="67"/>
        <v>#NAME?</v>
      </c>
      <c r="DX166" s="207"/>
      <c r="DY166" s="190" t="e">
        <f t="shared" ca="1" si="68"/>
        <v>#NAME?</v>
      </c>
      <c r="DZ166" s="191" t="str">
        <f t="shared" si="264"/>
        <v/>
      </c>
      <c r="EA166" s="191" t="str">
        <f t="shared" si="265"/>
        <v/>
      </c>
      <c r="EB166" s="191" t="str">
        <f t="shared" si="266"/>
        <v/>
      </c>
      <c r="EC166" s="208" t="e">
        <f t="shared" ca="1" si="72"/>
        <v>#NAME?</v>
      </c>
      <c r="ED166" s="36" t="str">
        <f t="shared" si="73"/>
        <v>Equity - Common</v>
      </c>
      <c r="EE166" s="193">
        <f>COUNTIF($ED$2:$ED$92, ED166)/(COUNTIF($ED$2:$ED$92, "&lt;&gt;""") - COUNTIF($ED$2:$ED$92, ""))</f>
        <v>0.32222222222222224</v>
      </c>
      <c r="EF166" s="36" t="str">
        <f t="shared" si="74"/>
        <v>Growth</v>
      </c>
      <c r="EG166" s="207"/>
      <c r="EH166" s="194" t="e">
        <f t="shared" ca="1" si="75"/>
        <v>#NAME?</v>
      </c>
      <c r="EI166" s="194" t="e">
        <f t="shared" ca="1" si="76"/>
        <v>#NAME?</v>
      </c>
      <c r="EJ166" s="209" t="e">
        <f t="shared" ca="1" si="77"/>
        <v>#NAME?</v>
      </c>
      <c r="EK166" s="208" t="e">
        <f t="shared" ca="1" si="267"/>
        <v>#NAME?</v>
      </c>
      <c r="EL166" s="36" t="str">
        <f t="shared" si="79"/>
        <v>No</v>
      </c>
      <c r="EM166" s="207"/>
      <c r="EN166" s="192">
        <f t="shared" si="268"/>
        <v>1.8571428571428572</v>
      </c>
      <c r="EO166" s="192">
        <f t="shared" si="269"/>
        <v>1</v>
      </c>
      <c r="EP166" s="209">
        <f t="shared" si="82"/>
        <v>2.8571428571428572</v>
      </c>
      <c r="EQ166" s="210">
        <f t="shared" si="270"/>
        <v>1.6728971962616823</v>
      </c>
      <c r="ER166" s="36" t="e">
        <f t="shared" ca="1" si="84"/>
        <v>#NAME?</v>
      </c>
      <c r="ES166" s="40">
        <f ca="1">COUNTIF($ER$2:$ER$92, ER166)/(COUNTIF($ER$2:$ER$92, "&lt;&gt;""") - COUNTIF($ER$2:$ER$92, ""))</f>
        <v>1</v>
      </c>
      <c r="ET166" s="36">
        <f t="shared" si="85"/>
        <v>1</v>
      </c>
      <c r="EU166" s="40">
        <f>COUNTIF($ET$2:$ET$92, ET166)/(COUNTIF($ET$2:$ET$92, "&lt;&gt;""") - COUNTIF($ET$2:$ET$92, ""))</f>
        <v>0.45555555555555555</v>
      </c>
      <c r="EV166" s="36">
        <f t="shared" si="86"/>
        <v>2</v>
      </c>
      <c r="EW166" s="40">
        <f>COUNTIF($EV$2:$EV$92, EV166)/(COUNTIF($EV$2:$EV$92, "&lt;&gt;""") - COUNTIF($EV$2:$EV$92, ""))</f>
        <v>0.15555555555555556</v>
      </c>
      <c r="EX166" s="36" t="str">
        <f t="shared" si="87"/>
        <v>No</v>
      </c>
      <c r="EY166" s="40">
        <f>COUNTIF($EX$2:$EX$92, EX166)/(COUNTIF($EX$2:$EX$92, "&lt;&gt;""") - COUNTIF($EX$2:$EX$92, ""))</f>
        <v>0.72222222222222221</v>
      </c>
      <c r="EZ166" s="36" t="str">
        <f t="shared" ref="EZ166:FB166" si="299">BM166</f>
        <v>No</v>
      </c>
      <c r="FA166" s="36" t="str">
        <f t="shared" si="299"/>
        <v>Yes</v>
      </c>
      <c r="FB166" s="36" t="str">
        <f t="shared" si="299"/>
        <v>No</v>
      </c>
      <c r="FC166" s="207"/>
      <c r="FD166" s="36" t="str">
        <f t="shared" si="89"/>
        <v>Transactional</v>
      </c>
      <c r="FE166" s="40">
        <f>COUNTIF($FD$2:$FD$92, FD166)/(COUNTIF($FD$2:$FD$92, "&lt;&gt;""") - COUNTIF($FD$2:$FD$92, ""))</f>
        <v>0.6</v>
      </c>
      <c r="FF166" s="36" t="str">
        <f t="shared" si="90"/>
        <v>B2B/B2C</v>
      </c>
      <c r="FG166" s="40">
        <f>COUNTIF($FF$2:$FF$92, FF166)/(COUNTIF($FF$2:$FF$92, "&lt;&gt;""") - COUNTIF($FF$2:$FF$92, ""))</f>
        <v>0.27777777777777779</v>
      </c>
      <c r="FH166" s="36" t="str">
        <f t="shared" si="91"/>
        <v>Low</v>
      </c>
      <c r="FI166" s="40">
        <f>COUNTIF($FH$2:$FH$92, FH166)/(COUNTIF($FH$2:$FH$92, "&lt;&gt;""") - COUNTIF($FH$2:$FH$92, ""))</f>
        <v>0.46666666666666667</v>
      </c>
      <c r="FJ166" s="36" t="str">
        <f t="shared" si="92"/>
        <v>Low</v>
      </c>
      <c r="FK166" s="40">
        <f>COUNTIF($FJ$2:$FJ$92, FJ166)/(COUNTIF($FJ$2:$FJ$92, "&lt;&gt;""") - COUNTIF($FJ$2:$FJ$92, ""))</f>
        <v>0.41111111111111109</v>
      </c>
      <c r="FL166" s="207"/>
      <c r="FM166" s="192">
        <f t="shared" si="93"/>
        <v>5</v>
      </c>
      <c r="FN166" s="192" t="e">
        <f t="shared" ca="1" si="94"/>
        <v>#NAME?</v>
      </c>
      <c r="FO166" s="192" t="e">
        <f t="shared" ca="1" si="95"/>
        <v>#NAME?</v>
      </c>
      <c r="FP166" s="192" t="e">
        <f t="shared" ca="1" si="96"/>
        <v>#NAME?</v>
      </c>
      <c r="FQ166" s="209" t="e">
        <f t="shared" ca="1" si="97"/>
        <v>#NAME?</v>
      </c>
      <c r="FR166" s="208" t="e">
        <f t="shared" ca="1" si="272"/>
        <v>#NAME?</v>
      </c>
      <c r="FS166" s="36" t="str">
        <f t="shared" si="99"/>
        <v>Pre-Profit</v>
      </c>
      <c r="FT166" s="196">
        <f>COUNTIF($FS$2:$FS$92, FS166)/(COUNTIF($FS$2:$FS$92, "&lt;&gt;""") - COUNTIF($FZ$2:$FZ$92, ""))</f>
        <v>0.51111111111111107</v>
      </c>
      <c r="FU166" s="207"/>
      <c r="FV166" s="192">
        <f t="shared" si="100"/>
        <v>3</v>
      </c>
      <c r="FW166" s="197" t="e">
        <f t="shared" ca="1" si="101"/>
        <v>#NAME?</v>
      </c>
      <c r="FX166" s="209" t="e">
        <f t="shared" ca="1" si="102"/>
        <v>#NAME?</v>
      </c>
      <c r="FY166" s="211" t="e">
        <f t="shared" ca="1" si="273"/>
        <v>#NAME?</v>
      </c>
      <c r="FZ166" s="36" t="str">
        <f t="shared" si="104"/>
        <v>Yes</v>
      </c>
      <c r="GA166" s="196">
        <f>COUNTIF($FZ$2:$FZ$92, FZ166)/(COUNTIF($FZ$2:$FZ$92, "&lt;&gt;""") - COUNTIF($FZ$2:$FZ$92, ""))</f>
        <v>0.23333333333333334</v>
      </c>
      <c r="GB166" s="196">
        <f t="shared" si="105"/>
        <v>0</v>
      </c>
      <c r="GC166" s="196">
        <f>COUNTIF($GB$2:$GB$92, GB166)/(COUNTIF($GB$2:$GB$92, "&lt;&gt;""") - COUNTIF($GB$2:$GB$92, ""))</f>
        <v>1.1111111111111112E-2</v>
      </c>
      <c r="GD166" s="196">
        <f t="shared" si="106"/>
        <v>0</v>
      </c>
      <c r="GE166" s="196">
        <f>COUNTIF($GD$2:$GD$92, GD166)/(COUNTIF($GD$2:$GD$92, "&lt;&gt;""") - COUNTIF($GD$2:$GD$92, ""))</f>
        <v>1.1111111111111112E-2</v>
      </c>
      <c r="GF166" s="207"/>
      <c r="GG166" s="36"/>
      <c r="GH166" s="209" t="e">
        <f t="shared" ca="1" si="107"/>
        <v>#NAME?</v>
      </c>
      <c r="GI166" s="212" t="e">
        <f t="shared" ca="1" si="274"/>
        <v>#NAME?</v>
      </c>
    </row>
    <row r="167" spans="1:191" ht="15.75" customHeight="1">
      <c r="A167" s="171"/>
      <c r="B167" s="171" t="s">
        <v>501</v>
      </c>
      <c r="C167" s="16">
        <v>1784186</v>
      </c>
      <c r="D167" s="233" t="s">
        <v>1410</v>
      </c>
      <c r="E167" s="234">
        <v>43731.418749999997</v>
      </c>
      <c r="F167" s="16" t="s">
        <v>344</v>
      </c>
      <c r="G167" s="235" t="s">
        <v>1411</v>
      </c>
      <c r="H167" s="235" t="s">
        <v>1412</v>
      </c>
      <c r="I167" s="241">
        <v>43714</v>
      </c>
      <c r="J167" s="233" t="s">
        <v>1413</v>
      </c>
      <c r="K167" s="233" t="s">
        <v>1410</v>
      </c>
      <c r="M167" s="16" t="s">
        <v>1239</v>
      </c>
      <c r="N167" s="16" t="s">
        <v>168</v>
      </c>
      <c r="O167" s="16" t="s">
        <v>30</v>
      </c>
      <c r="P167" s="16" t="s">
        <v>31</v>
      </c>
      <c r="Q167" s="16" t="s">
        <v>35</v>
      </c>
      <c r="S167" s="16" t="s">
        <v>269</v>
      </c>
      <c r="T167" s="237"/>
      <c r="U167" s="213"/>
      <c r="V167" s="54"/>
      <c r="W167" s="54">
        <v>5000000</v>
      </c>
      <c r="X167" s="226">
        <v>0</v>
      </c>
      <c r="Y167" s="55">
        <f t="shared" si="158"/>
        <v>5000000</v>
      </c>
      <c r="Z167" s="274">
        <f t="shared" si="159"/>
        <v>5000000</v>
      </c>
      <c r="AA167" s="183" t="e">
        <f t="shared" ca="1" si="160"/>
        <v>#NAME?</v>
      </c>
      <c r="AB167" s="16" t="s">
        <v>36</v>
      </c>
      <c r="AC167" s="16" t="s">
        <v>37</v>
      </c>
      <c r="AD167" s="16" t="s">
        <v>38</v>
      </c>
      <c r="AE167" s="16" t="s">
        <v>227</v>
      </c>
      <c r="AF167" s="16" t="s">
        <v>181</v>
      </c>
      <c r="AG167" s="16" t="s">
        <v>181</v>
      </c>
      <c r="AH167" s="16" t="s">
        <v>190</v>
      </c>
      <c r="AI167" s="54"/>
      <c r="AJ167" s="278">
        <v>2000000000</v>
      </c>
      <c r="AK167" s="224" t="e">
        <f t="shared" ca="1" si="161"/>
        <v>#NAME?</v>
      </c>
      <c r="AL167" s="278">
        <v>2000000000</v>
      </c>
      <c r="AM167" s="224" t="e">
        <f t="shared" ca="1" si="162"/>
        <v>#NAME?</v>
      </c>
      <c r="AN167" s="278">
        <v>0.09</v>
      </c>
      <c r="AO167" s="185" t="e">
        <f t="shared" ca="1" si="63"/>
        <v>#NAME?</v>
      </c>
      <c r="AP167" s="185" t="s">
        <v>264</v>
      </c>
      <c r="AQ167" s="16" t="s">
        <v>181</v>
      </c>
      <c r="AR167" s="16" t="s">
        <v>181</v>
      </c>
      <c r="AS167" s="16" t="s">
        <v>42</v>
      </c>
      <c r="AT167" s="159"/>
      <c r="AU167" s="159"/>
      <c r="AV167" s="16" t="s">
        <v>227</v>
      </c>
      <c r="AW167" s="16" t="s">
        <v>190</v>
      </c>
      <c r="AX167" s="16" t="s">
        <v>190</v>
      </c>
      <c r="AY167" s="16" t="s">
        <v>190</v>
      </c>
      <c r="AZ167" s="54">
        <v>500</v>
      </c>
      <c r="BA167" s="55" t="e">
        <f t="shared" ca="1" si="163"/>
        <v>#NAME?</v>
      </c>
      <c r="BB167" s="278">
        <v>49</v>
      </c>
      <c r="BC167" s="278">
        <v>0</v>
      </c>
      <c r="BD167" s="62" t="e">
        <f t="shared" ca="1" si="164"/>
        <v>#NAME?</v>
      </c>
      <c r="BE167" s="277">
        <f t="shared" si="165"/>
        <v>1</v>
      </c>
      <c r="BF167" s="62" t="e">
        <f t="shared" ca="1" si="166"/>
        <v>#NAME?</v>
      </c>
      <c r="BG167" s="16" t="s">
        <v>202</v>
      </c>
      <c r="BI167" s="16" t="s">
        <v>190</v>
      </c>
      <c r="BJ167" s="16">
        <v>0</v>
      </c>
      <c r="BK167" s="278">
        <v>2</v>
      </c>
      <c r="BL167" s="16" t="s">
        <v>227</v>
      </c>
      <c r="BM167" s="16" t="s">
        <v>227</v>
      </c>
      <c r="BN167" s="16" t="s">
        <v>227</v>
      </c>
      <c r="BO167" s="16" t="s">
        <v>190</v>
      </c>
      <c r="BP167" s="16">
        <v>3</v>
      </c>
      <c r="BQ167" s="16">
        <v>2</v>
      </c>
      <c r="BR167" s="16">
        <v>0</v>
      </c>
      <c r="BS167" s="16">
        <v>0</v>
      </c>
      <c r="BT167" s="205"/>
      <c r="BU167" s="16">
        <v>0</v>
      </c>
      <c r="BV167" s="16">
        <v>0</v>
      </c>
      <c r="BW167" s="16">
        <v>37</v>
      </c>
      <c r="BX167" s="16" t="s">
        <v>227</v>
      </c>
      <c r="BY167" s="205"/>
      <c r="BZ167" s="16">
        <v>4</v>
      </c>
      <c r="CA167" s="16">
        <v>1</v>
      </c>
      <c r="CC167" s="16" t="s">
        <v>190</v>
      </c>
      <c r="CD167" s="205"/>
      <c r="CI167" s="205"/>
      <c r="CN167" s="205"/>
      <c r="CS167" s="205"/>
      <c r="CX167" s="205"/>
      <c r="DC167" s="205"/>
      <c r="DH167" s="205"/>
      <c r="DM167" s="205"/>
      <c r="DN167" s="205"/>
      <c r="DO167" s="205"/>
      <c r="DQ167" s="206"/>
      <c r="DR167" s="188">
        <f t="shared" si="64"/>
        <v>2</v>
      </c>
      <c r="DS167" s="188"/>
      <c r="DT167" s="189">
        <f t="shared" si="65"/>
        <v>1</v>
      </c>
      <c r="DU167" s="189"/>
      <c r="DV167" s="188">
        <f t="shared" si="66"/>
        <v>37</v>
      </c>
      <c r="DW167" s="183" t="e">
        <f t="shared" ca="1" si="67"/>
        <v>#NAME?</v>
      </c>
      <c r="DX167" s="207"/>
      <c r="DY167" s="190" t="e">
        <f t="shared" ca="1" si="68"/>
        <v>#NAME?</v>
      </c>
      <c r="DZ167" s="191">
        <f t="shared" si="264"/>
        <v>1</v>
      </c>
      <c r="EA167" s="191" t="str">
        <f t="shared" si="265"/>
        <v/>
      </c>
      <c r="EB167" s="191" t="str">
        <f t="shared" si="266"/>
        <v/>
      </c>
      <c r="EC167" s="208" t="e">
        <f t="shared" ca="1" si="72"/>
        <v>#NAME?</v>
      </c>
      <c r="ED167" s="36" t="str">
        <f t="shared" si="73"/>
        <v>SAFE</v>
      </c>
      <c r="EE167" s="193">
        <f>COUNTIF($ED$2:$ED$92, ED167)/(COUNTIF($ED$2:$ED$92, "&lt;&gt;""") - COUNTIF($ED$2:$ED$92, ""))</f>
        <v>0.37777777777777777</v>
      </c>
      <c r="EF167" s="36" t="str">
        <f t="shared" si="74"/>
        <v>Early</v>
      </c>
      <c r="EG167" s="207"/>
      <c r="EH167" s="194" t="e">
        <f t="shared" ca="1" si="75"/>
        <v>#NAME?</v>
      </c>
      <c r="EI167" s="194" t="e">
        <f t="shared" ca="1" si="76"/>
        <v>#NAME?</v>
      </c>
      <c r="EJ167" s="209" t="e">
        <f t="shared" ca="1" si="77"/>
        <v>#NAME?</v>
      </c>
      <c r="EK167" s="208" t="e">
        <f t="shared" ca="1" si="267"/>
        <v>#NAME?</v>
      </c>
      <c r="EL167" s="36" t="str">
        <f t="shared" si="79"/>
        <v>Yes</v>
      </c>
      <c r="EM167" s="207"/>
      <c r="EN167" s="192">
        <f t="shared" si="268"/>
        <v>1.1904761904761905</v>
      </c>
      <c r="EO167" s="192">
        <f t="shared" si="269"/>
        <v>2</v>
      </c>
      <c r="EP167" s="209">
        <f t="shared" si="82"/>
        <v>3.1904761904761907</v>
      </c>
      <c r="EQ167" s="210">
        <f t="shared" si="270"/>
        <v>1.9345794392523366</v>
      </c>
      <c r="ER167" s="36" t="e">
        <f t="shared" ca="1" si="84"/>
        <v>#NAME?</v>
      </c>
      <c r="ES167" s="40">
        <f ca="1">COUNTIF($ER$2:$ER$92, ER167)/(COUNTIF($ER$2:$ER$92, "&lt;&gt;""") - COUNTIF($ER$2:$ER$92, ""))</f>
        <v>1</v>
      </c>
      <c r="ET167" s="36">
        <f t="shared" si="85"/>
        <v>2</v>
      </c>
      <c r="EU167" s="40">
        <f>COUNTIF($ET$2:$ET$92, ET167)/(COUNTIF($ET$2:$ET$92, "&lt;&gt;""") - COUNTIF($ET$2:$ET$92, ""))</f>
        <v>0.45555555555555555</v>
      </c>
      <c r="EV167" s="36">
        <f t="shared" si="86"/>
        <v>2</v>
      </c>
      <c r="EW167" s="40">
        <f>COUNTIF($EV$2:$EV$92, EV167)/(COUNTIF($EV$2:$EV$92, "&lt;&gt;""") - COUNTIF($EV$2:$EV$92, ""))</f>
        <v>0.15555555555555556</v>
      </c>
      <c r="EX167" s="36" t="str">
        <f t="shared" si="87"/>
        <v>Yes</v>
      </c>
      <c r="EY167" s="40">
        <f>COUNTIF($EX$2:$EX$92, EX167)/(COUNTIF($EX$2:$EX$92, "&lt;&gt;""") - COUNTIF($EX$2:$EX$92, ""))</f>
        <v>0.27777777777777779</v>
      </c>
      <c r="EZ167" s="36" t="str">
        <f t="shared" ref="EZ167:FB167" si="300">BM167</f>
        <v>Yes</v>
      </c>
      <c r="FA167" s="36" t="str">
        <f t="shared" si="300"/>
        <v>Yes</v>
      </c>
      <c r="FB167" s="36" t="str">
        <f t="shared" si="300"/>
        <v>No</v>
      </c>
      <c r="FC167" s="207"/>
      <c r="FD167" s="36" t="str">
        <f t="shared" si="89"/>
        <v>Transactional</v>
      </c>
      <c r="FE167" s="40">
        <f>COUNTIF($FD$2:$FD$92, FD167)/(COUNTIF($FD$2:$FD$92, "&lt;&gt;""") - COUNTIF($FD$2:$FD$92, ""))</f>
        <v>0.6</v>
      </c>
      <c r="FF167" s="36" t="str">
        <f t="shared" si="90"/>
        <v>B2B</v>
      </c>
      <c r="FG167" s="40">
        <f>COUNTIF($FF$2:$FF$92, FF167)/(COUNTIF($FF$2:$FF$92, "&lt;&gt;""") - COUNTIF($FF$2:$FF$92, ""))</f>
        <v>0.24444444444444444</v>
      </c>
      <c r="FH167" s="36" t="str">
        <f t="shared" si="91"/>
        <v>Low</v>
      </c>
      <c r="FI167" s="40">
        <f>COUNTIF($FH$2:$FH$92, FH167)/(COUNTIF($FH$2:$FH$92, "&lt;&gt;""") - COUNTIF($FH$2:$FH$92, ""))</f>
        <v>0.46666666666666667</v>
      </c>
      <c r="FJ167" s="36" t="str">
        <f t="shared" si="92"/>
        <v>Low</v>
      </c>
      <c r="FK167" s="40">
        <f>COUNTIF($FJ$2:$FJ$92, FJ167)/(COUNTIF($FJ$2:$FJ$92, "&lt;&gt;""") - COUNTIF($FJ$2:$FJ$92, ""))</f>
        <v>0.41111111111111109</v>
      </c>
      <c r="FL167" s="207"/>
      <c r="FM167" s="192">
        <f t="shared" si="93"/>
        <v>1</v>
      </c>
      <c r="FN167" s="192" t="e">
        <f t="shared" ca="1" si="94"/>
        <v>#NAME?</v>
      </c>
      <c r="FO167" s="192" t="e">
        <f t="shared" ca="1" si="95"/>
        <v>#NAME?</v>
      </c>
      <c r="FP167" s="192" t="e">
        <f t="shared" ca="1" si="96"/>
        <v>#NAME?</v>
      </c>
      <c r="FQ167" s="209" t="e">
        <f t="shared" ca="1" si="97"/>
        <v>#NAME?</v>
      </c>
      <c r="FR167" s="208" t="e">
        <f t="shared" ca="1" si="272"/>
        <v>#NAME?</v>
      </c>
      <c r="FS167" s="36" t="str">
        <f t="shared" si="99"/>
        <v>Pre-Profit</v>
      </c>
      <c r="FT167" s="196">
        <f>COUNTIF($FS$2:$FS$92, FS167)/(COUNTIF($FS$2:$FS$92, "&lt;&gt;""") - COUNTIF($FZ$2:$FZ$92, ""))</f>
        <v>0.51111111111111107</v>
      </c>
      <c r="FU167" s="207"/>
      <c r="FV167" s="192" t="e">
        <f t="shared" ca="1" si="100"/>
        <v>#NAME?</v>
      </c>
      <c r="FW167" s="197" t="e">
        <f t="shared" ca="1" si="101"/>
        <v>#NAME?</v>
      </c>
      <c r="FX167" s="209" t="e">
        <f t="shared" ca="1" si="102"/>
        <v>#NAME?</v>
      </c>
      <c r="FY167" s="211" t="e">
        <f t="shared" ca="1" si="273"/>
        <v>#NAME?</v>
      </c>
      <c r="FZ167" s="36" t="str">
        <f t="shared" si="104"/>
        <v>No</v>
      </c>
      <c r="GA167" s="196">
        <f>COUNTIF($FZ$2:$FZ$92, FZ167)/(COUNTIF($FZ$2:$FZ$92, "&lt;&gt;""") - COUNTIF($FZ$2:$FZ$92, ""))</f>
        <v>0.76666666666666672</v>
      </c>
      <c r="GB167" s="196">
        <f t="shared" si="105"/>
        <v>0</v>
      </c>
      <c r="GC167" s="196">
        <f>COUNTIF($GB$2:$GB$92, GB167)/(COUNTIF($GB$2:$GB$92, "&lt;&gt;""") - COUNTIF($GB$2:$GB$92, ""))</f>
        <v>1.1111111111111112E-2</v>
      </c>
      <c r="GD167" s="196">
        <f t="shared" si="106"/>
        <v>0</v>
      </c>
      <c r="GE167" s="196">
        <f>COUNTIF($GD$2:$GD$92, GD167)/(COUNTIF($GD$2:$GD$92, "&lt;&gt;""") - COUNTIF($GD$2:$GD$92, ""))</f>
        <v>1.1111111111111112E-2</v>
      </c>
      <c r="GF167" s="207"/>
      <c r="GG167" s="36"/>
      <c r="GH167" s="209" t="e">
        <f t="shared" ca="1" si="107"/>
        <v>#NAME?</v>
      </c>
      <c r="GI167" s="212" t="e">
        <f t="shared" ca="1" si="274"/>
        <v>#NAME?</v>
      </c>
    </row>
    <row r="168" spans="1:191" ht="15.75" customHeight="1">
      <c r="A168" s="171"/>
      <c r="B168" s="171" t="s">
        <v>501</v>
      </c>
      <c r="C168" s="16">
        <v>1777204</v>
      </c>
      <c r="D168" s="233" t="s">
        <v>1414</v>
      </c>
      <c r="E168" s="234">
        <v>43732.438888888886</v>
      </c>
      <c r="F168" s="16" t="s">
        <v>329</v>
      </c>
      <c r="G168" s="235" t="s">
        <v>1415</v>
      </c>
      <c r="H168" s="235" t="s">
        <v>1416</v>
      </c>
      <c r="I168" s="241">
        <v>43770</v>
      </c>
      <c r="J168" s="233" t="s">
        <v>1417</v>
      </c>
      <c r="K168" s="233" t="s">
        <v>1414</v>
      </c>
      <c r="M168" s="16" t="s">
        <v>171</v>
      </c>
      <c r="N168" s="16" t="s">
        <v>267</v>
      </c>
      <c r="O168" s="16" t="s">
        <v>30</v>
      </c>
      <c r="P168" s="16" t="s">
        <v>174</v>
      </c>
      <c r="Q168" s="16" t="s">
        <v>35</v>
      </c>
      <c r="S168" s="16" t="s">
        <v>269</v>
      </c>
      <c r="T168" s="237"/>
      <c r="U168" s="213"/>
      <c r="V168" s="54"/>
      <c r="W168" s="54">
        <v>15000000</v>
      </c>
      <c r="X168" s="226">
        <v>0</v>
      </c>
      <c r="Y168" s="55">
        <f t="shared" si="158"/>
        <v>15000000</v>
      </c>
      <c r="Z168" s="274">
        <f t="shared" si="159"/>
        <v>15000000</v>
      </c>
      <c r="AA168" s="183" t="e">
        <f t="shared" ca="1" si="160"/>
        <v>#NAME?</v>
      </c>
      <c r="AB168" s="16" t="s">
        <v>36</v>
      </c>
      <c r="AC168" s="16" t="s">
        <v>179</v>
      </c>
      <c r="AD168" s="16" t="s">
        <v>180</v>
      </c>
      <c r="AE168" s="16" t="s">
        <v>227</v>
      </c>
      <c r="AF168" s="16" t="s">
        <v>181</v>
      </c>
      <c r="AG168" s="16" t="s">
        <v>181</v>
      </c>
      <c r="AH168" s="16" t="s">
        <v>190</v>
      </c>
      <c r="AI168" s="54"/>
      <c r="AJ168" s="278">
        <v>135000000000</v>
      </c>
      <c r="AK168" s="224" t="e">
        <f t="shared" ca="1" si="161"/>
        <v>#NAME?</v>
      </c>
      <c r="AL168" s="278">
        <v>5600000000</v>
      </c>
      <c r="AM168" s="224" t="e">
        <f t="shared" ca="1" si="162"/>
        <v>#NAME?</v>
      </c>
      <c r="AN168" s="278">
        <v>0.04</v>
      </c>
      <c r="AO168" s="185" t="e">
        <f t="shared" ca="1" si="63"/>
        <v>#NAME?</v>
      </c>
      <c r="AP168" s="185" t="s">
        <v>211</v>
      </c>
      <c r="AQ168" s="16" t="s">
        <v>181</v>
      </c>
      <c r="AR168" s="16" t="s">
        <v>181</v>
      </c>
      <c r="AS168" s="16" t="s">
        <v>182</v>
      </c>
      <c r="AT168" s="159"/>
      <c r="AU168" s="159"/>
      <c r="AV168" s="16" t="s">
        <v>190</v>
      </c>
      <c r="AW168" s="16" t="s">
        <v>227</v>
      </c>
      <c r="AX168" s="16" t="s">
        <v>227</v>
      </c>
      <c r="AY168" s="16" t="s">
        <v>227</v>
      </c>
      <c r="AZ168" s="54">
        <v>72144</v>
      </c>
      <c r="BA168" s="55" t="e">
        <f t="shared" ca="1" si="163"/>
        <v>#NAME?</v>
      </c>
      <c r="BB168" s="278">
        <v>56156</v>
      </c>
      <c r="BC168" s="278">
        <v>917981</v>
      </c>
      <c r="BD168" s="62" t="e">
        <f t="shared" ca="1" si="164"/>
        <v>#NAME?</v>
      </c>
      <c r="BE168" s="277">
        <f t="shared" si="165"/>
        <v>6.1173379405456106E-2</v>
      </c>
      <c r="BF168" s="62" t="e">
        <f t="shared" ca="1" si="166"/>
        <v>#NAME?</v>
      </c>
      <c r="BG168" s="16" t="s">
        <v>202</v>
      </c>
      <c r="BI168" s="16" t="s">
        <v>227</v>
      </c>
      <c r="BJ168" s="16">
        <v>80</v>
      </c>
      <c r="BK168" s="278">
        <v>3</v>
      </c>
      <c r="BL168" s="16" t="s">
        <v>227</v>
      </c>
      <c r="BM168" s="16" t="s">
        <v>227</v>
      </c>
      <c r="BN168" s="16" t="s">
        <v>227</v>
      </c>
      <c r="BO168" s="16" t="s">
        <v>190</v>
      </c>
      <c r="BP168" s="16">
        <v>9</v>
      </c>
      <c r="BQ168" s="16">
        <v>17</v>
      </c>
      <c r="BR168" s="16">
        <v>1</v>
      </c>
      <c r="BS168" s="16">
        <v>0</v>
      </c>
      <c r="BT168" s="205"/>
      <c r="BU168" s="16">
        <v>4</v>
      </c>
      <c r="BV168" s="16">
        <v>0</v>
      </c>
      <c r="BW168" s="16">
        <v>31</v>
      </c>
      <c r="BX168" s="16" t="s">
        <v>227</v>
      </c>
      <c r="BY168" s="205"/>
      <c r="BZ168" s="16">
        <v>3</v>
      </c>
      <c r="CA168" s="16">
        <v>0</v>
      </c>
      <c r="CB168" s="16">
        <v>27</v>
      </c>
      <c r="CC168" s="16" t="s">
        <v>190</v>
      </c>
      <c r="CD168" s="205"/>
      <c r="CE168" s="16">
        <v>3</v>
      </c>
      <c r="CF168" s="16">
        <v>0</v>
      </c>
      <c r="CG168" s="16">
        <v>32</v>
      </c>
      <c r="CH168" s="16" t="s">
        <v>227</v>
      </c>
      <c r="CI168" s="205"/>
      <c r="CN168" s="205"/>
      <c r="CS168" s="205"/>
      <c r="CX168" s="205"/>
      <c r="DC168" s="205"/>
      <c r="DH168" s="205"/>
      <c r="DM168" s="205"/>
      <c r="DN168" s="205"/>
      <c r="DO168" s="205"/>
      <c r="DQ168" s="206"/>
      <c r="DR168" s="188">
        <f t="shared" si="64"/>
        <v>3.3333333333333335</v>
      </c>
      <c r="DS168" s="188"/>
      <c r="DT168" s="189">
        <f t="shared" si="65"/>
        <v>0</v>
      </c>
      <c r="DU168" s="189"/>
      <c r="DV168" s="188">
        <f t="shared" si="66"/>
        <v>30</v>
      </c>
      <c r="DW168" s="183" t="e">
        <f t="shared" ca="1" si="67"/>
        <v>#NAME?</v>
      </c>
      <c r="DX168" s="207"/>
      <c r="DY168" s="190" t="e">
        <f t="shared" ca="1" si="68"/>
        <v>#NAME?</v>
      </c>
      <c r="DZ168" s="191">
        <f t="shared" si="264"/>
        <v>1</v>
      </c>
      <c r="EA168" s="191" t="str">
        <f t="shared" si="265"/>
        <v/>
      </c>
      <c r="EB168" s="191" t="str">
        <f t="shared" si="266"/>
        <v/>
      </c>
      <c r="EC168" s="208" t="e">
        <f t="shared" ca="1" si="72"/>
        <v>#NAME?</v>
      </c>
      <c r="ED168" s="36" t="str">
        <f t="shared" si="73"/>
        <v>SAFE</v>
      </c>
      <c r="EE168" s="193">
        <f>COUNTIF($ED$2:$ED$92, ED168)/(COUNTIF($ED$2:$ED$92, "&lt;&gt;""") - COUNTIF($ED$2:$ED$92, ""))</f>
        <v>0.37777777777777777</v>
      </c>
      <c r="EF168" s="36" t="str">
        <f t="shared" si="74"/>
        <v>Early</v>
      </c>
      <c r="EG168" s="207"/>
      <c r="EH168" s="194" t="e">
        <f t="shared" ca="1" si="75"/>
        <v>#NAME?</v>
      </c>
      <c r="EI168" s="194" t="e">
        <f t="shared" ca="1" si="76"/>
        <v>#NAME?</v>
      </c>
      <c r="EJ168" s="209" t="e">
        <f t="shared" ca="1" si="77"/>
        <v>#NAME?</v>
      </c>
      <c r="EK168" s="208" t="e">
        <f t="shared" ca="1" si="267"/>
        <v>#NAME?</v>
      </c>
      <c r="EL168" s="36" t="str">
        <f t="shared" si="79"/>
        <v>No</v>
      </c>
      <c r="EM168" s="207"/>
      <c r="EN168" s="192">
        <f t="shared" si="268"/>
        <v>1.3174603174603174</v>
      </c>
      <c r="EO168" s="192">
        <f t="shared" si="269"/>
        <v>1</v>
      </c>
      <c r="EP168" s="209">
        <f t="shared" si="82"/>
        <v>2.3174603174603172</v>
      </c>
      <c r="EQ168" s="210">
        <f t="shared" si="270"/>
        <v>1.2492211838006229</v>
      </c>
      <c r="ER168" s="36" t="e">
        <f t="shared" ca="1" si="84"/>
        <v>#NAME?</v>
      </c>
      <c r="ES168" s="40">
        <f ca="1">COUNTIF($ER$2:$ER$92, ER168)/(COUNTIF($ER$2:$ER$92, "&lt;&gt;""") - COUNTIF($ER$2:$ER$92, ""))</f>
        <v>1</v>
      </c>
      <c r="ET168" s="36">
        <f t="shared" si="85"/>
        <v>3</v>
      </c>
      <c r="EU168" s="40">
        <f>COUNTIF($ET$2:$ET$92, ET168)/(COUNTIF($ET$2:$ET$92, "&lt;&gt;""") - COUNTIF($ET$2:$ET$92, ""))</f>
        <v>4.4444444444444446E-2</v>
      </c>
      <c r="EV168" s="36">
        <f t="shared" si="86"/>
        <v>17</v>
      </c>
      <c r="EW168" s="40">
        <f>COUNTIF($EV$2:$EV$92, EV168)/(COUNTIF($EV$2:$EV$92, "&lt;&gt;""") - COUNTIF($EV$2:$EV$92, ""))</f>
        <v>0</v>
      </c>
      <c r="EX168" s="36" t="str">
        <f t="shared" si="87"/>
        <v>Yes</v>
      </c>
      <c r="EY168" s="40">
        <f>COUNTIF($EX$2:$EX$92, EX168)/(COUNTIF($EX$2:$EX$92, "&lt;&gt;""") - COUNTIF($EX$2:$EX$92, ""))</f>
        <v>0.27777777777777779</v>
      </c>
      <c r="EZ168" s="36" t="str">
        <f t="shared" ref="EZ168:FB168" si="301">BM168</f>
        <v>Yes</v>
      </c>
      <c r="FA168" s="36" t="str">
        <f t="shared" si="301"/>
        <v>Yes</v>
      </c>
      <c r="FB168" s="36" t="str">
        <f t="shared" si="301"/>
        <v>No</v>
      </c>
      <c r="FC168" s="207"/>
      <c r="FD168" s="36" t="str">
        <f t="shared" si="89"/>
        <v>Transactional</v>
      </c>
      <c r="FE168" s="40">
        <f>COUNTIF($FD$2:$FD$92, FD168)/(COUNTIF($FD$2:$FD$92, "&lt;&gt;""") - COUNTIF($FD$2:$FD$92, ""))</f>
        <v>0.6</v>
      </c>
      <c r="FF168" s="36" t="str">
        <f t="shared" si="90"/>
        <v>B2C</v>
      </c>
      <c r="FG168" s="40">
        <f>COUNTIF($FF$2:$FF$92, FF168)/(COUNTIF($FF$2:$FF$92, "&lt;&gt;""") - COUNTIF($FF$2:$FF$92, ""))</f>
        <v>0.41111111111111109</v>
      </c>
      <c r="FH168" s="36" t="str">
        <f t="shared" si="91"/>
        <v>Low</v>
      </c>
      <c r="FI168" s="40">
        <f>COUNTIF($FH$2:$FH$92, FH168)/(COUNTIF($FH$2:$FH$92, "&lt;&gt;""") - COUNTIF($FH$2:$FH$92, ""))</f>
        <v>0.46666666666666667</v>
      </c>
      <c r="FJ168" s="36" t="str">
        <f t="shared" si="92"/>
        <v>Low</v>
      </c>
      <c r="FK168" s="40">
        <f>COUNTIF($FJ$2:$FJ$92, FJ168)/(COUNTIF($FJ$2:$FJ$92, "&lt;&gt;""") - COUNTIF($FJ$2:$FJ$92, ""))</f>
        <v>0.41111111111111109</v>
      </c>
      <c r="FL168" s="207"/>
      <c r="FM168" s="192">
        <f t="shared" si="93"/>
        <v>5</v>
      </c>
      <c r="FN168" s="192" t="e">
        <f t="shared" ca="1" si="94"/>
        <v>#NAME?</v>
      </c>
      <c r="FO168" s="192" t="e">
        <f t="shared" ca="1" si="95"/>
        <v>#NAME?</v>
      </c>
      <c r="FP168" s="192" t="e">
        <f t="shared" ca="1" si="96"/>
        <v>#NAME?</v>
      </c>
      <c r="FQ168" s="209" t="e">
        <f t="shared" ca="1" si="97"/>
        <v>#NAME?</v>
      </c>
      <c r="FR168" s="208" t="e">
        <f t="shared" ca="1" si="272"/>
        <v>#NAME?</v>
      </c>
      <c r="FS168" s="36" t="str">
        <f t="shared" si="99"/>
        <v>Pre-Profit</v>
      </c>
      <c r="FT168" s="196">
        <f>COUNTIF($FS$2:$FS$92, FS168)/(COUNTIF($FS$2:$FS$92, "&lt;&gt;""") - COUNTIF($FZ$2:$FZ$92, ""))</f>
        <v>0.51111111111111107</v>
      </c>
      <c r="FU168" s="207"/>
      <c r="FV168" s="192" t="e">
        <f t="shared" ca="1" si="100"/>
        <v>#NAME?</v>
      </c>
      <c r="FW168" s="197" t="e">
        <f t="shared" ca="1" si="101"/>
        <v>#NAME?</v>
      </c>
      <c r="FX168" s="209" t="e">
        <f t="shared" ca="1" si="102"/>
        <v>#NAME?</v>
      </c>
      <c r="FY168" s="211" t="e">
        <f t="shared" ca="1" si="273"/>
        <v>#NAME?</v>
      </c>
      <c r="FZ168" s="36" t="str">
        <f t="shared" si="104"/>
        <v>Yes</v>
      </c>
      <c r="GA168" s="196">
        <f>COUNTIF($FZ$2:$FZ$92, FZ168)/(COUNTIF($FZ$2:$FZ$92, "&lt;&gt;""") - COUNTIF($FZ$2:$FZ$92, ""))</f>
        <v>0.23333333333333334</v>
      </c>
      <c r="GB168" s="196">
        <f t="shared" si="105"/>
        <v>0</v>
      </c>
      <c r="GC168" s="196">
        <f>COUNTIF($GB$2:$GB$92, GB168)/(COUNTIF($GB$2:$GB$92, "&lt;&gt;""") - COUNTIF($GB$2:$GB$92, ""))</f>
        <v>1.1111111111111112E-2</v>
      </c>
      <c r="GD168" s="196">
        <f t="shared" si="106"/>
        <v>0</v>
      </c>
      <c r="GE168" s="196">
        <f>COUNTIF($GD$2:$GD$92, GD168)/(COUNTIF($GD$2:$GD$92, "&lt;&gt;""") - COUNTIF($GD$2:$GD$92, ""))</f>
        <v>1.1111111111111112E-2</v>
      </c>
      <c r="GF168" s="207"/>
      <c r="GG168" s="36"/>
      <c r="GH168" s="209" t="e">
        <f t="shared" ca="1" si="107"/>
        <v>#NAME?</v>
      </c>
      <c r="GI168" s="212" t="e">
        <f t="shared" ca="1" si="274"/>
        <v>#NAME?</v>
      </c>
    </row>
    <row r="169" spans="1:191" ht="15.75" customHeight="1">
      <c r="A169" s="171"/>
      <c r="B169" s="171" t="s">
        <v>501</v>
      </c>
      <c r="C169" s="16">
        <v>1762281</v>
      </c>
      <c r="D169" s="233" t="s">
        <v>1418</v>
      </c>
      <c r="E169" s="234">
        <v>43735.576388888891</v>
      </c>
      <c r="F169" s="16" t="s">
        <v>325</v>
      </c>
      <c r="G169" s="235" t="s">
        <v>1419</v>
      </c>
      <c r="H169" s="235" t="s">
        <v>1420</v>
      </c>
      <c r="I169" s="241">
        <v>43735</v>
      </c>
      <c r="J169" s="233" t="s">
        <v>1421</v>
      </c>
      <c r="K169" s="233" t="s">
        <v>1422</v>
      </c>
      <c r="M169" s="239" t="s">
        <v>28</v>
      </c>
      <c r="N169" s="16" t="s">
        <v>168</v>
      </c>
      <c r="O169" s="16" t="s">
        <v>30</v>
      </c>
      <c r="P169" s="16" t="s">
        <v>31</v>
      </c>
      <c r="Q169" s="16" t="s">
        <v>35</v>
      </c>
      <c r="S169" s="16" t="s">
        <v>34</v>
      </c>
      <c r="T169" s="237"/>
      <c r="U169" s="213"/>
      <c r="V169" s="54"/>
      <c r="W169" s="54">
        <v>3960000</v>
      </c>
      <c r="X169" s="226">
        <v>0</v>
      </c>
      <c r="Y169" s="55">
        <f t="shared" si="158"/>
        <v>3960000</v>
      </c>
      <c r="Z169" s="274">
        <f t="shared" si="159"/>
        <v>3960000</v>
      </c>
      <c r="AA169" s="183" t="e">
        <f t="shared" ca="1" si="160"/>
        <v>#NAME?</v>
      </c>
      <c r="AB169" s="16" t="s">
        <v>36</v>
      </c>
      <c r="AC169" s="16" t="s">
        <v>179</v>
      </c>
      <c r="AD169" s="16" t="s">
        <v>38</v>
      </c>
      <c r="AE169" s="16" t="s">
        <v>227</v>
      </c>
      <c r="AF169" s="16" t="s">
        <v>181</v>
      </c>
      <c r="AG169" s="16" t="s">
        <v>181</v>
      </c>
      <c r="AH169" s="16" t="s">
        <v>190</v>
      </c>
      <c r="AI169" s="54"/>
      <c r="AJ169" s="278">
        <v>114200000000</v>
      </c>
      <c r="AK169" s="224" t="e">
        <f t="shared" ca="1" si="161"/>
        <v>#NAME?</v>
      </c>
      <c r="AL169" s="278">
        <v>27600000000</v>
      </c>
      <c r="AM169" s="224" t="e">
        <f t="shared" ca="1" si="162"/>
        <v>#NAME?</v>
      </c>
      <c r="AN169" s="278">
        <v>0.04</v>
      </c>
      <c r="AO169" s="185" t="e">
        <f t="shared" ca="1" si="63"/>
        <v>#NAME?</v>
      </c>
      <c r="AP169" s="185" t="s">
        <v>264</v>
      </c>
      <c r="AQ169" s="16" t="s">
        <v>181</v>
      </c>
      <c r="AR169" s="16" t="s">
        <v>181</v>
      </c>
      <c r="AS169" s="16" t="s">
        <v>42</v>
      </c>
      <c r="AT169" s="159"/>
      <c r="AU169" s="159"/>
      <c r="AV169" s="16" t="s">
        <v>190</v>
      </c>
      <c r="AW169" s="16" t="s">
        <v>190</v>
      </c>
      <c r="AX169" s="16" t="s">
        <v>190</v>
      </c>
      <c r="AY169" s="16" t="s">
        <v>190</v>
      </c>
      <c r="AZ169" s="54">
        <v>0</v>
      </c>
      <c r="BA169" s="55" t="e">
        <f t="shared" ca="1" si="163"/>
        <v>#NAME?</v>
      </c>
      <c r="BB169" s="278">
        <v>0</v>
      </c>
      <c r="BC169" s="278">
        <v>21700</v>
      </c>
      <c r="BD169" s="62" t="e">
        <f t="shared" ca="1" si="164"/>
        <v>#NAME?</v>
      </c>
      <c r="BE169" s="277">
        <f t="shared" si="165"/>
        <v>1</v>
      </c>
      <c r="BF169" s="62" t="e">
        <f t="shared" ca="1" si="166"/>
        <v>#NAME?</v>
      </c>
      <c r="BG169" s="16" t="s">
        <v>43</v>
      </c>
      <c r="BI169" s="16" t="s">
        <v>190</v>
      </c>
      <c r="BJ169" s="16">
        <v>0</v>
      </c>
      <c r="BK169" s="278">
        <v>1</v>
      </c>
      <c r="BL169" s="16" t="s">
        <v>227</v>
      </c>
      <c r="BM169" s="16" t="s">
        <v>190</v>
      </c>
      <c r="BN169" s="16" t="s">
        <v>227</v>
      </c>
      <c r="BO169" s="16" t="s">
        <v>190</v>
      </c>
      <c r="BP169" s="16">
        <v>2</v>
      </c>
      <c r="BQ169" s="16">
        <v>7</v>
      </c>
      <c r="BR169" s="16">
        <v>0</v>
      </c>
      <c r="BS169" s="16">
        <v>0</v>
      </c>
      <c r="BT169" s="205"/>
      <c r="BU169" s="16">
        <v>6</v>
      </c>
      <c r="BV169" s="16">
        <v>0</v>
      </c>
      <c r="BW169" s="16">
        <v>27</v>
      </c>
      <c r="BX169" s="16" t="s">
        <v>190</v>
      </c>
      <c r="BY169" s="205"/>
      <c r="CD169" s="205"/>
      <c r="CI169" s="205"/>
      <c r="CN169" s="205"/>
      <c r="CS169" s="205"/>
      <c r="CX169" s="205"/>
      <c r="DC169" s="205"/>
      <c r="DH169" s="205"/>
      <c r="DM169" s="205"/>
      <c r="DN169" s="205"/>
      <c r="DO169" s="205"/>
      <c r="DQ169" s="206"/>
      <c r="DR169" s="188">
        <f t="shared" si="64"/>
        <v>6</v>
      </c>
      <c r="DS169" s="188"/>
      <c r="DT169" s="189">
        <f t="shared" si="65"/>
        <v>0</v>
      </c>
      <c r="DU169" s="189"/>
      <c r="DV169" s="188">
        <f t="shared" si="66"/>
        <v>27</v>
      </c>
      <c r="DW169" s="183" t="e">
        <f t="shared" ca="1" si="67"/>
        <v>#NAME?</v>
      </c>
      <c r="DX169" s="207"/>
      <c r="DY169" s="190" t="e">
        <f t="shared" ca="1" si="68"/>
        <v>#NAME?</v>
      </c>
      <c r="DZ169" s="191">
        <f t="shared" si="264"/>
        <v>1</v>
      </c>
      <c r="EA169" s="191" t="str">
        <f t="shared" si="265"/>
        <v/>
      </c>
      <c r="EB169" s="191" t="str">
        <f t="shared" si="266"/>
        <v/>
      </c>
      <c r="EC169" s="208" t="e">
        <f t="shared" ca="1" si="72"/>
        <v>#NAME?</v>
      </c>
      <c r="ED169" s="36" t="str">
        <f t="shared" si="73"/>
        <v>CAFES</v>
      </c>
      <c r="EE169" s="193">
        <f>COUNTIF($ED$2:$ED$92, ED169)/(COUNTIF($ED$2:$ED$92, "&lt;&gt;""") - COUNTIF($ED$2:$ED$92, ""))</f>
        <v>0.1</v>
      </c>
      <c r="EF169" s="36" t="str">
        <f t="shared" si="74"/>
        <v>Early</v>
      </c>
      <c r="EG169" s="207"/>
      <c r="EH169" s="194" t="e">
        <f t="shared" ca="1" si="75"/>
        <v>#NAME?</v>
      </c>
      <c r="EI169" s="194" t="e">
        <f t="shared" ca="1" si="76"/>
        <v>#NAME?</v>
      </c>
      <c r="EJ169" s="209" t="e">
        <f t="shared" ca="1" si="77"/>
        <v>#NAME?</v>
      </c>
      <c r="EK169" s="208" t="e">
        <f t="shared" ca="1" si="267"/>
        <v>#NAME?</v>
      </c>
      <c r="EL169" s="36" t="str">
        <f t="shared" si="79"/>
        <v>No</v>
      </c>
      <c r="EM169" s="207"/>
      <c r="EN169" s="192">
        <f t="shared" si="268"/>
        <v>1.5714285714285714</v>
      </c>
      <c r="EO169" s="192">
        <f t="shared" si="269"/>
        <v>1</v>
      </c>
      <c r="EP169" s="209">
        <f t="shared" si="82"/>
        <v>2.5714285714285712</v>
      </c>
      <c r="EQ169" s="210">
        <f t="shared" si="270"/>
        <v>1.4485981308411213</v>
      </c>
      <c r="ER169" s="36" t="e">
        <f t="shared" ca="1" si="84"/>
        <v>#NAME?</v>
      </c>
      <c r="ES169" s="40">
        <f ca="1">COUNTIF($ER$2:$ER$92, ER169)/(COUNTIF($ER$2:$ER$92, "&lt;&gt;""") - COUNTIF($ER$2:$ER$92, ""))</f>
        <v>1</v>
      </c>
      <c r="ET169" s="36">
        <f t="shared" si="85"/>
        <v>1</v>
      </c>
      <c r="EU169" s="40">
        <f>COUNTIF($ET$2:$ET$92, ET169)/(COUNTIF($ET$2:$ET$92, "&lt;&gt;""") - COUNTIF($ET$2:$ET$92, ""))</f>
        <v>0.45555555555555555</v>
      </c>
      <c r="EV169" s="36">
        <f t="shared" si="86"/>
        <v>7</v>
      </c>
      <c r="EW169" s="40">
        <f>COUNTIF($EV$2:$EV$92, EV169)/(COUNTIF($EV$2:$EV$92, "&lt;&gt;""") - COUNTIF($EV$2:$EV$92, ""))</f>
        <v>4.4444444444444446E-2</v>
      </c>
      <c r="EX169" s="36" t="str">
        <f t="shared" si="87"/>
        <v>Yes</v>
      </c>
      <c r="EY169" s="40">
        <f>COUNTIF($EX$2:$EX$92, EX169)/(COUNTIF($EX$2:$EX$92, "&lt;&gt;""") - COUNTIF($EX$2:$EX$92, ""))</f>
        <v>0.27777777777777779</v>
      </c>
      <c r="EZ169" s="36" t="str">
        <f t="shared" ref="EZ169:FB169" si="302">BM169</f>
        <v>No</v>
      </c>
      <c r="FA169" s="36" t="str">
        <f t="shared" si="302"/>
        <v>Yes</v>
      </c>
      <c r="FB169" s="36" t="str">
        <f t="shared" si="302"/>
        <v>No</v>
      </c>
      <c r="FC169" s="207"/>
      <c r="FD169" s="36" t="str">
        <f t="shared" si="89"/>
        <v>Transactional</v>
      </c>
      <c r="FE169" s="40">
        <f>COUNTIF($FD$2:$FD$92, FD169)/(COUNTIF($FD$2:$FD$92, "&lt;&gt;""") - COUNTIF($FD$2:$FD$92, ""))</f>
        <v>0.6</v>
      </c>
      <c r="FF169" s="36" t="str">
        <f t="shared" si="90"/>
        <v>B2C</v>
      </c>
      <c r="FG169" s="40">
        <f>COUNTIF($FF$2:$FF$92, FF169)/(COUNTIF($FF$2:$FF$92, "&lt;&gt;""") - COUNTIF($FF$2:$FF$92, ""))</f>
        <v>0.41111111111111109</v>
      </c>
      <c r="FH169" s="36" t="str">
        <f t="shared" si="91"/>
        <v>Low</v>
      </c>
      <c r="FI169" s="40">
        <f>COUNTIF($FH$2:$FH$92, FH169)/(COUNTIF($FH$2:$FH$92, "&lt;&gt;""") - COUNTIF($FH$2:$FH$92, ""))</f>
        <v>0.46666666666666667</v>
      </c>
      <c r="FJ169" s="36" t="str">
        <f t="shared" si="92"/>
        <v>Low</v>
      </c>
      <c r="FK169" s="40">
        <f>COUNTIF($FJ$2:$FJ$92, FJ169)/(COUNTIF($FJ$2:$FJ$92, "&lt;&gt;""") - COUNTIF($FJ$2:$FJ$92, ""))</f>
        <v>0.41111111111111109</v>
      </c>
      <c r="FL169" s="207"/>
      <c r="FM169" s="192">
        <f t="shared" si="93"/>
        <v>1</v>
      </c>
      <c r="FN169" s="192" t="e">
        <f t="shared" ca="1" si="94"/>
        <v>#NAME?</v>
      </c>
      <c r="FO169" s="192" t="e">
        <f t="shared" ca="1" si="95"/>
        <v>#NAME?</v>
      </c>
      <c r="FP169" s="192" t="e">
        <f t="shared" ca="1" si="96"/>
        <v>#NAME?</v>
      </c>
      <c r="FQ169" s="209" t="e">
        <f t="shared" ca="1" si="97"/>
        <v>#NAME?</v>
      </c>
      <c r="FR169" s="208" t="e">
        <f t="shared" ca="1" si="272"/>
        <v>#NAME?</v>
      </c>
      <c r="FS169" s="36" t="str">
        <f t="shared" si="99"/>
        <v>Pre-Product</v>
      </c>
      <c r="FT169" s="196">
        <f>COUNTIF($FS$2:$FS$92, FS169)/(COUNTIF($FS$2:$FS$92, "&lt;&gt;""") - COUNTIF($FZ$2:$FZ$92, ""))</f>
        <v>0.22222222222222221</v>
      </c>
      <c r="FU169" s="207"/>
      <c r="FV169" s="192" t="e">
        <f t="shared" ca="1" si="100"/>
        <v>#NAME?</v>
      </c>
      <c r="FW169" s="197" t="e">
        <f t="shared" ca="1" si="101"/>
        <v>#NAME?</v>
      </c>
      <c r="FX169" s="209" t="e">
        <f t="shared" ca="1" si="102"/>
        <v>#NAME?</v>
      </c>
      <c r="FY169" s="211" t="e">
        <f t="shared" ca="1" si="273"/>
        <v>#NAME?</v>
      </c>
      <c r="FZ169" s="36" t="str">
        <f t="shared" si="104"/>
        <v>No</v>
      </c>
      <c r="GA169" s="196">
        <f>COUNTIF($FZ$2:$FZ$92, FZ169)/(COUNTIF($FZ$2:$FZ$92, "&lt;&gt;""") - COUNTIF($FZ$2:$FZ$92, ""))</f>
        <v>0.76666666666666672</v>
      </c>
      <c r="GB169" s="196">
        <f t="shared" si="105"/>
        <v>0</v>
      </c>
      <c r="GC169" s="196">
        <f>COUNTIF($GB$2:$GB$92, GB169)/(COUNTIF($GB$2:$GB$92, "&lt;&gt;""") - COUNTIF($GB$2:$GB$92, ""))</f>
        <v>1.1111111111111112E-2</v>
      </c>
      <c r="GD169" s="196">
        <f t="shared" si="106"/>
        <v>0</v>
      </c>
      <c r="GE169" s="196">
        <f>COUNTIF($GD$2:$GD$92, GD169)/(COUNTIF($GD$2:$GD$92, "&lt;&gt;""") - COUNTIF($GD$2:$GD$92, ""))</f>
        <v>1.1111111111111112E-2</v>
      </c>
      <c r="GF169" s="207"/>
      <c r="GG169" s="36"/>
      <c r="GH169" s="209" t="e">
        <f t="shared" ca="1" si="107"/>
        <v>#NAME?</v>
      </c>
      <c r="GI169" s="212" t="e">
        <f t="shared" ca="1" si="274"/>
        <v>#NAME?</v>
      </c>
    </row>
    <row r="170" spans="1:191" ht="15.75" customHeight="1">
      <c r="A170" s="171"/>
      <c r="B170" s="171" t="s">
        <v>501</v>
      </c>
      <c r="C170" s="16">
        <v>1751525</v>
      </c>
      <c r="D170" s="233" t="s">
        <v>1423</v>
      </c>
      <c r="E170" s="234">
        <v>43738.418749999997</v>
      </c>
      <c r="F170" s="16" t="s">
        <v>329</v>
      </c>
      <c r="G170" s="235" t="s">
        <v>1424</v>
      </c>
      <c r="H170" s="235" t="s">
        <v>1425</v>
      </c>
      <c r="I170" s="241">
        <v>43819</v>
      </c>
      <c r="J170" s="233" t="s">
        <v>1426</v>
      </c>
      <c r="K170" s="233" t="s">
        <v>1423</v>
      </c>
      <c r="M170" s="35" t="s">
        <v>293</v>
      </c>
      <c r="N170" s="16" t="s">
        <v>230</v>
      </c>
      <c r="O170" s="16" t="s">
        <v>173</v>
      </c>
      <c r="P170" s="16" t="s">
        <v>174</v>
      </c>
      <c r="Q170" s="16" t="s">
        <v>35</v>
      </c>
      <c r="S170" s="16" t="s">
        <v>269</v>
      </c>
      <c r="T170" s="237"/>
      <c r="U170" s="213"/>
      <c r="V170" s="54"/>
      <c r="W170" s="54">
        <v>2500000</v>
      </c>
      <c r="X170" s="226">
        <v>0.2</v>
      </c>
      <c r="Y170" s="55">
        <f t="shared" si="158"/>
        <v>2000000</v>
      </c>
      <c r="Z170" s="274">
        <f t="shared" si="159"/>
        <v>2000000</v>
      </c>
      <c r="AA170" s="183" t="e">
        <f t="shared" ca="1" si="160"/>
        <v>#NAME?</v>
      </c>
      <c r="AB170" s="16" t="s">
        <v>36</v>
      </c>
      <c r="AC170" s="16" t="s">
        <v>218</v>
      </c>
      <c r="AD170" s="16" t="s">
        <v>38</v>
      </c>
      <c r="AE170" s="16" t="s">
        <v>227</v>
      </c>
      <c r="AF170" s="16" t="s">
        <v>181</v>
      </c>
      <c r="AG170" s="16" t="s">
        <v>181</v>
      </c>
      <c r="AH170" s="16" t="s">
        <v>190</v>
      </c>
      <c r="AI170" s="54"/>
      <c r="AJ170" s="278">
        <v>21959000000</v>
      </c>
      <c r="AK170" s="224" t="e">
        <f t="shared" ca="1" si="161"/>
        <v>#NAME?</v>
      </c>
      <c r="AL170" s="278">
        <v>246655000</v>
      </c>
      <c r="AM170" s="224" t="e">
        <f t="shared" ca="1" si="162"/>
        <v>#NAME?</v>
      </c>
      <c r="AN170" s="278">
        <v>0.09</v>
      </c>
      <c r="AO170" s="185" t="e">
        <f t="shared" ca="1" si="63"/>
        <v>#NAME?</v>
      </c>
      <c r="AP170" s="185" t="s">
        <v>192</v>
      </c>
      <c r="AQ170" s="16" t="s">
        <v>39</v>
      </c>
      <c r="AR170" s="16" t="s">
        <v>181</v>
      </c>
      <c r="AS170" s="16" t="s">
        <v>182</v>
      </c>
      <c r="AT170" s="159"/>
      <c r="AU170" s="159"/>
      <c r="AV170" s="16" t="s">
        <v>190</v>
      </c>
      <c r="AW170" s="16" t="s">
        <v>190</v>
      </c>
      <c r="AX170" s="16" t="s">
        <v>227</v>
      </c>
      <c r="AY170" s="16" t="s">
        <v>227</v>
      </c>
      <c r="AZ170" s="54">
        <v>109413</v>
      </c>
      <c r="BA170" s="55" t="e">
        <f t="shared" ca="1" si="163"/>
        <v>#NAME?</v>
      </c>
      <c r="BB170" s="278">
        <v>710</v>
      </c>
      <c r="BC170" s="278">
        <v>0</v>
      </c>
      <c r="BD170" s="62" t="e">
        <f t="shared" ca="1" si="164"/>
        <v>#NAME?</v>
      </c>
      <c r="BE170" s="277">
        <f t="shared" si="165"/>
        <v>1</v>
      </c>
      <c r="BF170" s="62" t="e">
        <f t="shared" ca="1" si="166"/>
        <v>#NAME?</v>
      </c>
      <c r="BG170" s="16" t="s">
        <v>219</v>
      </c>
      <c r="BI170" s="16" t="s">
        <v>190</v>
      </c>
      <c r="BJ170" s="16">
        <v>0</v>
      </c>
      <c r="BK170" s="278">
        <v>1</v>
      </c>
      <c r="BL170" s="16" t="s">
        <v>190</v>
      </c>
      <c r="BM170" s="16" t="s">
        <v>227</v>
      </c>
      <c r="BN170" s="16" t="s">
        <v>227</v>
      </c>
      <c r="BO170" s="16" t="s">
        <v>190</v>
      </c>
      <c r="BP170" s="16">
        <v>1</v>
      </c>
      <c r="BQ170" s="16">
        <v>1</v>
      </c>
      <c r="BR170" s="16">
        <v>0</v>
      </c>
      <c r="BS170" s="16">
        <v>0</v>
      </c>
      <c r="BT170" s="205"/>
      <c r="BU170" s="16">
        <v>0</v>
      </c>
      <c r="BV170" s="16">
        <v>0</v>
      </c>
      <c r="BW170" s="16">
        <v>30</v>
      </c>
      <c r="BX170" s="16" t="s">
        <v>190</v>
      </c>
      <c r="BY170" s="205"/>
      <c r="CD170" s="205"/>
      <c r="CI170" s="205"/>
      <c r="CN170" s="205"/>
      <c r="CS170" s="205"/>
      <c r="CX170" s="205"/>
      <c r="DC170" s="205"/>
      <c r="DH170" s="205"/>
      <c r="DM170" s="205"/>
      <c r="DN170" s="205"/>
      <c r="DO170" s="205"/>
      <c r="DQ170" s="206"/>
      <c r="DR170" s="188">
        <f t="shared" si="64"/>
        <v>0</v>
      </c>
      <c r="DS170" s="188"/>
      <c r="DT170" s="189">
        <f t="shared" si="65"/>
        <v>0</v>
      </c>
      <c r="DU170" s="189"/>
      <c r="DV170" s="188">
        <f t="shared" si="66"/>
        <v>30</v>
      </c>
      <c r="DW170" s="183" t="e">
        <f t="shared" ca="1" si="67"/>
        <v>#NAME?</v>
      </c>
      <c r="DX170" s="207"/>
      <c r="DY170" s="190" t="e">
        <f t="shared" ca="1" si="68"/>
        <v>#NAME?</v>
      </c>
      <c r="DZ170" s="191">
        <f t="shared" si="264"/>
        <v>3.1052631578947367</v>
      </c>
      <c r="EA170" s="191" t="str">
        <f t="shared" si="265"/>
        <v/>
      </c>
      <c r="EB170" s="191" t="str">
        <f t="shared" si="266"/>
        <v/>
      </c>
      <c r="EC170" s="208" t="e">
        <f t="shared" ca="1" si="72"/>
        <v>#NAME?</v>
      </c>
      <c r="ED170" s="36" t="str">
        <f t="shared" si="73"/>
        <v>SAFE</v>
      </c>
      <c r="EE170" s="193">
        <f>COUNTIF($ED$2:$ED$92, ED170)/(COUNTIF($ED$2:$ED$92, "&lt;&gt;""") - COUNTIF($ED$2:$ED$92, ""))</f>
        <v>0.37777777777777777</v>
      </c>
      <c r="EF170" s="36" t="str">
        <f t="shared" si="74"/>
        <v>Growth</v>
      </c>
      <c r="EG170" s="207"/>
      <c r="EH170" s="194" t="e">
        <f t="shared" ca="1" si="75"/>
        <v>#NAME?</v>
      </c>
      <c r="EI170" s="194" t="e">
        <f t="shared" ca="1" si="76"/>
        <v>#NAME?</v>
      </c>
      <c r="EJ170" s="209" t="e">
        <f t="shared" ca="1" si="77"/>
        <v>#NAME?</v>
      </c>
      <c r="EK170" s="208" t="e">
        <f t="shared" ca="1" si="267"/>
        <v>#NAME?</v>
      </c>
      <c r="EL170" s="36" t="str">
        <f t="shared" si="79"/>
        <v>No</v>
      </c>
      <c r="EM170" s="207"/>
      <c r="EN170" s="192">
        <f t="shared" si="268"/>
        <v>1</v>
      </c>
      <c r="EO170" s="192">
        <f t="shared" si="269"/>
        <v>1</v>
      </c>
      <c r="EP170" s="209">
        <f t="shared" si="82"/>
        <v>2</v>
      </c>
      <c r="EQ170" s="210">
        <f t="shared" si="270"/>
        <v>1</v>
      </c>
      <c r="ER170" s="36" t="e">
        <f t="shared" ca="1" si="84"/>
        <v>#NAME?</v>
      </c>
      <c r="ES170" s="40">
        <f ca="1">COUNTIF($ER$2:$ER$92, ER170)/(COUNTIF($ER$2:$ER$92, "&lt;&gt;""") - COUNTIF($ER$2:$ER$92, ""))</f>
        <v>1</v>
      </c>
      <c r="ET170" s="36">
        <f t="shared" si="85"/>
        <v>1</v>
      </c>
      <c r="EU170" s="40">
        <f>COUNTIF($ET$2:$ET$92, ET170)/(COUNTIF($ET$2:$ET$92, "&lt;&gt;""") - COUNTIF($ET$2:$ET$92, ""))</f>
        <v>0.45555555555555555</v>
      </c>
      <c r="EV170" s="36">
        <f t="shared" si="86"/>
        <v>1</v>
      </c>
      <c r="EW170" s="40">
        <f>COUNTIF($EV$2:$EV$92, EV170)/(COUNTIF($EV$2:$EV$92, "&lt;&gt;""") - COUNTIF($EV$2:$EV$92, ""))</f>
        <v>7.7777777777777779E-2</v>
      </c>
      <c r="EX170" s="36" t="str">
        <f t="shared" si="87"/>
        <v>No</v>
      </c>
      <c r="EY170" s="40">
        <f>COUNTIF($EX$2:$EX$92, EX170)/(COUNTIF($EX$2:$EX$92, "&lt;&gt;""") - COUNTIF($EX$2:$EX$92, ""))</f>
        <v>0.72222222222222221</v>
      </c>
      <c r="EZ170" s="36" t="str">
        <f t="shared" ref="EZ170:FB170" si="303">BM170</f>
        <v>Yes</v>
      </c>
      <c r="FA170" s="36" t="str">
        <f t="shared" si="303"/>
        <v>Yes</v>
      </c>
      <c r="FB170" s="36" t="str">
        <f t="shared" si="303"/>
        <v>No</v>
      </c>
      <c r="FC170" s="207"/>
      <c r="FD170" s="36" t="str">
        <f t="shared" si="89"/>
        <v>Transactional</v>
      </c>
      <c r="FE170" s="40">
        <f>COUNTIF($FD$2:$FD$92, FD170)/(COUNTIF($FD$2:$FD$92, "&lt;&gt;""") - COUNTIF($FD$2:$FD$92, ""))</f>
        <v>0.6</v>
      </c>
      <c r="FF170" s="36" t="str">
        <f t="shared" si="90"/>
        <v>B2B/B2C</v>
      </c>
      <c r="FG170" s="40">
        <f>COUNTIF($FF$2:$FF$92, FF170)/(COUNTIF($FF$2:$FF$92, "&lt;&gt;""") - COUNTIF($FF$2:$FF$92, ""))</f>
        <v>0.27777777777777779</v>
      </c>
      <c r="FH170" s="36" t="str">
        <f t="shared" si="91"/>
        <v>Low</v>
      </c>
      <c r="FI170" s="40">
        <f>COUNTIF($FH$2:$FH$92, FH170)/(COUNTIF($FH$2:$FH$92, "&lt;&gt;""") - COUNTIF($FH$2:$FH$92, ""))</f>
        <v>0.46666666666666667</v>
      </c>
      <c r="FJ170" s="36" t="str">
        <f t="shared" si="92"/>
        <v>Low</v>
      </c>
      <c r="FK170" s="40">
        <f>COUNTIF($FJ$2:$FJ$92, FJ170)/(COUNTIF($FJ$2:$FJ$92, "&lt;&gt;""") - COUNTIF($FJ$2:$FJ$92, ""))</f>
        <v>0.41111111111111109</v>
      </c>
      <c r="FL170" s="207"/>
      <c r="FM170" s="192">
        <f t="shared" si="93"/>
        <v>5</v>
      </c>
      <c r="FN170" s="192" t="e">
        <f t="shared" ca="1" si="94"/>
        <v>#NAME?</v>
      </c>
      <c r="FO170" s="192" t="e">
        <f t="shared" ca="1" si="95"/>
        <v>#NAME?</v>
      </c>
      <c r="FP170" s="192" t="e">
        <f t="shared" ca="1" si="96"/>
        <v>#NAME?</v>
      </c>
      <c r="FQ170" s="209" t="e">
        <f t="shared" ca="1" si="97"/>
        <v>#NAME?</v>
      </c>
      <c r="FR170" s="208" t="e">
        <f t="shared" ca="1" si="272"/>
        <v>#NAME?</v>
      </c>
      <c r="FS170" s="36" t="str">
        <f t="shared" si="99"/>
        <v>Profitable</v>
      </c>
      <c r="FT170" s="196">
        <f>COUNTIF($FS$2:$FS$92, FS170)/(COUNTIF($FS$2:$FS$92, "&lt;&gt;""") - COUNTIF($FZ$2:$FZ$92, ""))</f>
        <v>6.6666666666666666E-2</v>
      </c>
      <c r="FU170" s="207"/>
      <c r="FV170" s="192">
        <f t="shared" si="100"/>
        <v>3</v>
      </c>
      <c r="FW170" s="197" t="e">
        <f t="shared" ca="1" si="101"/>
        <v>#NAME?</v>
      </c>
      <c r="FX170" s="209" t="e">
        <f t="shared" ca="1" si="102"/>
        <v>#NAME?</v>
      </c>
      <c r="FY170" s="211" t="e">
        <f t="shared" ca="1" si="273"/>
        <v>#NAME?</v>
      </c>
      <c r="FZ170" s="36" t="str">
        <f t="shared" si="104"/>
        <v>No</v>
      </c>
      <c r="GA170" s="196">
        <f>COUNTIF($FZ$2:$FZ$92, FZ170)/(COUNTIF($FZ$2:$FZ$92, "&lt;&gt;""") - COUNTIF($FZ$2:$FZ$92, ""))</f>
        <v>0.76666666666666672</v>
      </c>
      <c r="GB170" s="196">
        <f t="shared" si="105"/>
        <v>0</v>
      </c>
      <c r="GC170" s="196">
        <f>COUNTIF($GB$2:$GB$92, GB170)/(COUNTIF($GB$2:$GB$92, "&lt;&gt;""") - COUNTIF($GB$2:$GB$92, ""))</f>
        <v>1.1111111111111112E-2</v>
      </c>
      <c r="GD170" s="196">
        <f t="shared" si="106"/>
        <v>0</v>
      </c>
      <c r="GE170" s="196">
        <f>COUNTIF($GD$2:$GD$92, GD170)/(COUNTIF($GD$2:$GD$92, "&lt;&gt;""") - COUNTIF($GD$2:$GD$92, ""))</f>
        <v>1.1111111111111112E-2</v>
      </c>
      <c r="GF170" s="207"/>
      <c r="GG170" s="36"/>
      <c r="GH170" s="209" t="e">
        <f t="shared" ca="1" si="107"/>
        <v>#NAME?</v>
      </c>
      <c r="GI170" s="212" t="e">
        <f t="shared" ca="1" si="274"/>
        <v>#NAME?</v>
      </c>
    </row>
    <row r="171" spans="1:191" ht="15.75" customHeight="1">
      <c r="A171" s="171"/>
      <c r="B171" s="171" t="s">
        <v>501</v>
      </c>
      <c r="C171" s="16">
        <v>1752095</v>
      </c>
      <c r="D171" s="233" t="s">
        <v>1427</v>
      </c>
      <c r="E171" s="234">
        <v>43739.48333333333</v>
      </c>
      <c r="F171" s="16" t="s">
        <v>312</v>
      </c>
      <c r="G171" s="235" t="s">
        <v>1428</v>
      </c>
      <c r="H171" s="235" t="s">
        <v>1429</v>
      </c>
      <c r="I171" s="241">
        <v>43759</v>
      </c>
      <c r="J171" s="233" t="s">
        <v>1430</v>
      </c>
      <c r="K171" s="233" t="s">
        <v>1427</v>
      </c>
      <c r="M171" s="29" t="s">
        <v>747</v>
      </c>
      <c r="N171" s="16" t="s">
        <v>168</v>
      </c>
      <c r="O171" s="16" t="s">
        <v>30</v>
      </c>
      <c r="P171" s="16" t="s">
        <v>174</v>
      </c>
      <c r="Q171" s="16" t="s">
        <v>35</v>
      </c>
      <c r="S171" s="16" t="s">
        <v>216</v>
      </c>
      <c r="T171" s="237"/>
      <c r="U171" s="213"/>
      <c r="V171" s="54">
        <v>5000000</v>
      </c>
      <c r="W171" s="54"/>
      <c r="X171" s="226"/>
      <c r="Y171" s="55" t="str">
        <f t="shared" si="158"/>
        <v/>
      </c>
      <c r="Z171" s="274">
        <f t="shared" si="159"/>
        <v>5000000</v>
      </c>
      <c r="AA171" s="183" t="e">
        <f t="shared" ca="1" si="160"/>
        <v>#NAME?</v>
      </c>
      <c r="AB171" s="16" t="s">
        <v>36</v>
      </c>
      <c r="AC171" s="16" t="s">
        <v>179</v>
      </c>
      <c r="AD171" s="16" t="s">
        <v>38</v>
      </c>
      <c r="AE171" s="16" t="s">
        <v>227</v>
      </c>
      <c r="AF171" s="16" t="s">
        <v>181</v>
      </c>
      <c r="AG171" s="16" t="s">
        <v>181</v>
      </c>
      <c r="AH171" s="16" t="s">
        <v>190</v>
      </c>
      <c r="AI171" s="54"/>
      <c r="AJ171" s="278">
        <v>84200000000</v>
      </c>
      <c r="AK171" s="224" t="e">
        <f t="shared" ca="1" si="161"/>
        <v>#NAME?</v>
      </c>
      <c r="AL171" s="278">
        <v>84200000000</v>
      </c>
      <c r="AM171" s="224" t="e">
        <f t="shared" ca="1" si="162"/>
        <v>#NAME?</v>
      </c>
      <c r="AN171" s="278">
        <v>7.0000000000000007E-2</v>
      </c>
      <c r="AO171" s="185" t="e">
        <f t="shared" ca="1" si="63"/>
        <v>#NAME?</v>
      </c>
      <c r="AP171" s="185" t="s">
        <v>192</v>
      </c>
      <c r="AQ171" s="16" t="s">
        <v>181</v>
      </c>
      <c r="AR171" s="16" t="s">
        <v>181</v>
      </c>
      <c r="AS171" s="16" t="s">
        <v>42</v>
      </c>
      <c r="AT171" s="159"/>
      <c r="AU171" s="159"/>
      <c r="AV171" s="16" t="s">
        <v>190</v>
      </c>
      <c r="AW171" s="16" t="s">
        <v>190</v>
      </c>
      <c r="AX171" s="16" t="s">
        <v>227</v>
      </c>
      <c r="AY171" s="16" t="s">
        <v>227</v>
      </c>
      <c r="AZ171" s="54">
        <v>199139</v>
      </c>
      <c r="BA171" s="55" t="e">
        <f t="shared" ca="1" si="163"/>
        <v>#NAME?</v>
      </c>
      <c r="BB171" s="278">
        <v>840</v>
      </c>
      <c r="BC171" s="278">
        <v>36207</v>
      </c>
      <c r="BD171" s="62" t="e">
        <f t="shared" ca="1" si="164"/>
        <v>#NAME?</v>
      </c>
      <c r="BE171" s="277">
        <f t="shared" si="165"/>
        <v>2.3199933714475103E-2</v>
      </c>
      <c r="BF171" s="62" t="e">
        <f t="shared" ca="1" si="166"/>
        <v>#NAME?</v>
      </c>
      <c r="BG171" s="16" t="s">
        <v>202</v>
      </c>
      <c r="BI171" s="16" t="s">
        <v>227</v>
      </c>
      <c r="BJ171" s="16">
        <v>0</v>
      </c>
      <c r="BK171" s="278">
        <v>1</v>
      </c>
      <c r="BL171" s="16" t="s">
        <v>227</v>
      </c>
      <c r="BM171" s="16" t="s">
        <v>190</v>
      </c>
      <c r="BN171" s="16" t="s">
        <v>190</v>
      </c>
      <c r="BO171" s="16" t="s">
        <v>190</v>
      </c>
      <c r="BP171" s="16">
        <v>2</v>
      </c>
      <c r="BQ171" s="16">
        <v>4</v>
      </c>
      <c r="BR171" s="16">
        <v>0</v>
      </c>
      <c r="BS171" s="16">
        <v>0</v>
      </c>
      <c r="BT171" s="205"/>
      <c r="BU171" s="16">
        <v>17</v>
      </c>
      <c r="BV171" s="16">
        <v>0</v>
      </c>
      <c r="BW171" s="16">
        <v>43</v>
      </c>
      <c r="BX171" s="16" t="s">
        <v>190</v>
      </c>
      <c r="BY171" s="205"/>
      <c r="CD171" s="205"/>
      <c r="CI171" s="205"/>
      <c r="CN171" s="205"/>
      <c r="CS171" s="205"/>
      <c r="CX171" s="205"/>
      <c r="DC171" s="205"/>
      <c r="DH171" s="205"/>
      <c r="DM171" s="205"/>
      <c r="DN171" s="205"/>
      <c r="DO171" s="205"/>
      <c r="DQ171" s="206"/>
      <c r="DR171" s="188">
        <f t="shared" si="64"/>
        <v>17</v>
      </c>
      <c r="DS171" s="188"/>
      <c r="DT171" s="189">
        <f t="shared" si="65"/>
        <v>0</v>
      </c>
      <c r="DU171" s="189"/>
      <c r="DV171" s="188">
        <f t="shared" si="66"/>
        <v>43</v>
      </c>
      <c r="DW171" s="183" t="e">
        <f t="shared" ca="1" si="67"/>
        <v>#NAME?</v>
      </c>
      <c r="DX171" s="207"/>
      <c r="DY171" s="190" t="e">
        <f t="shared" ca="1" si="68"/>
        <v>#NAME?</v>
      </c>
      <c r="DZ171" s="191" t="str">
        <f t="shared" si="264"/>
        <v/>
      </c>
      <c r="EA171" s="191" t="str">
        <f t="shared" si="265"/>
        <v/>
      </c>
      <c r="EB171" s="191" t="str">
        <f t="shared" si="266"/>
        <v/>
      </c>
      <c r="EC171" s="208" t="e">
        <f t="shared" ca="1" si="72"/>
        <v>#NAME?</v>
      </c>
      <c r="ED171" s="36" t="str">
        <f t="shared" si="73"/>
        <v>Equity - Common</v>
      </c>
      <c r="EE171" s="193">
        <f>COUNTIF($ED$2:$ED$92, ED171)/(COUNTIF($ED$2:$ED$92, "&lt;&gt;""") - COUNTIF($ED$2:$ED$92, ""))</f>
        <v>0.32222222222222224</v>
      </c>
      <c r="EF171" s="36" t="str">
        <f t="shared" si="74"/>
        <v>Early</v>
      </c>
      <c r="EG171" s="207"/>
      <c r="EH171" s="194" t="e">
        <f t="shared" ca="1" si="75"/>
        <v>#NAME?</v>
      </c>
      <c r="EI171" s="194" t="e">
        <f t="shared" ca="1" si="76"/>
        <v>#NAME?</v>
      </c>
      <c r="EJ171" s="209" t="e">
        <f t="shared" ca="1" si="77"/>
        <v>#NAME?</v>
      </c>
      <c r="EK171" s="208" t="e">
        <f t="shared" ca="1" si="267"/>
        <v>#NAME?</v>
      </c>
      <c r="EL171" s="36" t="str">
        <f t="shared" si="79"/>
        <v>No</v>
      </c>
      <c r="EM171" s="207"/>
      <c r="EN171" s="192">
        <f t="shared" si="268"/>
        <v>2.6190476190476191</v>
      </c>
      <c r="EO171" s="192">
        <f t="shared" si="269"/>
        <v>1</v>
      </c>
      <c r="EP171" s="209">
        <f t="shared" si="82"/>
        <v>3.6190476190476191</v>
      </c>
      <c r="EQ171" s="210">
        <f t="shared" si="270"/>
        <v>2.2710280373831777</v>
      </c>
      <c r="ER171" s="36" t="e">
        <f t="shared" ca="1" si="84"/>
        <v>#NAME?</v>
      </c>
      <c r="ES171" s="40">
        <f ca="1">COUNTIF($ER$2:$ER$92, ER171)/(COUNTIF($ER$2:$ER$92, "&lt;&gt;""") - COUNTIF($ER$2:$ER$92, ""))</f>
        <v>1</v>
      </c>
      <c r="ET171" s="36">
        <f t="shared" si="85"/>
        <v>1</v>
      </c>
      <c r="EU171" s="40">
        <f>COUNTIF($ET$2:$ET$92, ET171)/(COUNTIF($ET$2:$ET$92, "&lt;&gt;""") - COUNTIF($ET$2:$ET$92, ""))</f>
        <v>0.45555555555555555</v>
      </c>
      <c r="EV171" s="36">
        <f t="shared" si="86"/>
        <v>4</v>
      </c>
      <c r="EW171" s="40">
        <f>COUNTIF($EV$2:$EV$92, EV171)/(COUNTIF($EV$2:$EV$92, "&lt;&gt;""") - COUNTIF($EV$2:$EV$92, ""))</f>
        <v>0.12222222222222222</v>
      </c>
      <c r="EX171" s="36" t="str">
        <f t="shared" si="87"/>
        <v>Yes</v>
      </c>
      <c r="EY171" s="40">
        <f>COUNTIF($EX$2:$EX$92, EX171)/(COUNTIF($EX$2:$EX$92, "&lt;&gt;""") - COUNTIF($EX$2:$EX$92, ""))</f>
        <v>0.27777777777777779</v>
      </c>
      <c r="EZ171" s="36" t="str">
        <f t="shared" ref="EZ171:FB171" si="304">BM171</f>
        <v>No</v>
      </c>
      <c r="FA171" s="36" t="str">
        <f t="shared" si="304"/>
        <v>No</v>
      </c>
      <c r="FB171" s="36" t="str">
        <f t="shared" si="304"/>
        <v>No</v>
      </c>
      <c r="FC171" s="207"/>
      <c r="FD171" s="36" t="str">
        <f t="shared" si="89"/>
        <v>Transactional</v>
      </c>
      <c r="FE171" s="40">
        <f>COUNTIF($FD$2:$FD$92, FD171)/(COUNTIF($FD$2:$FD$92, "&lt;&gt;""") - COUNTIF($FD$2:$FD$92, ""))</f>
        <v>0.6</v>
      </c>
      <c r="FF171" s="36" t="str">
        <f t="shared" si="90"/>
        <v>B2C</v>
      </c>
      <c r="FG171" s="40">
        <f>COUNTIF($FF$2:$FF$92, FF171)/(COUNTIF($FF$2:$FF$92, "&lt;&gt;""") - COUNTIF($FF$2:$FF$92, ""))</f>
        <v>0.41111111111111109</v>
      </c>
      <c r="FH171" s="36" t="str">
        <f t="shared" si="91"/>
        <v>Low</v>
      </c>
      <c r="FI171" s="40">
        <f>COUNTIF($FH$2:$FH$92, FH171)/(COUNTIF($FH$2:$FH$92, "&lt;&gt;""") - COUNTIF($FH$2:$FH$92, ""))</f>
        <v>0.46666666666666667</v>
      </c>
      <c r="FJ171" s="36" t="str">
        <f t="shared" si="92"/>
        <v>Low</v>
      </c>
      <c r="FK171" s="40">
        <f>COUNTIF($FJ$2:$FJ$92, FJ171)/(COUNTIF($FJ$2:$FJ$92, "&lt;&gt;""") - COUNTIF($FJ$2:$FJ$92, ""))</f>
        <v>0.41111111111111109</v>
      </c>
      <c r="FL171" s="207"/>
      <c r="FM171" s="192">
        <f t="shared" si="93"/>
        <v>5</v>
      </c>
      <c r="FN171" s="192" t="e">
        <f t="shared" ca="1" si="94"/>
        <v>#NAME?</v>
      </c>
      <c r="FO171" s="192" t="e">
        <f t="shared" ca="1" si="95"/>
        <v>#NAME?</v>
      </c>
      <c r="FP171" s="192" t="e">
        <f t="shared" ca="1" si="96"/>
        <v>#NAME?</v>
      </c>
      <c r="FQ171" s="209" t="e">
        <f t="shared" ca="1" si="97"/>
        <v>#NAME?</v>
      </c>
      <c r="FR171" s="208" t="e">
        <f t="shared" ca="1" si="272"/>
        <v>#NAME?</v>
      </c>
      <c r="FS171" s="36" t="str">
        <f t="shared" si="99"/>
        <v>Pre-Profit</v>
      </c>
      <c r="FT171" s="196">
        <f>COUNTIF($FS$2:$FS$92, FS171)/(COUNTIF($FS$2:$FS$92, "&lt;&gt;""") - COUNTIF($FZ$2:$FZ$92, ""))</f>
        <v>0.51111111111111107</v>
      </c>
      <c r="FU171" s="207"/>
      <c r="FV171" s="192" t="e">
        <f t="shared" ca="1" si="100"/>
        <v>#NAME?</v>
      </c>
      <c r="FW171" s="197" t="e">
        <f t="shared" ca="1" si="101"/>
        <v>#NAME?</v>
      </c>
      <c r="FX171" s="209" t="e">
        <f t="shared" ca="1" si="102"/>
        <v>#NAME?</v>
      </c>
      <c r="FY171" s="211" t="e">
        <f t="shared" ca="1" si="273"/>
        <v>#NAME?</v>
      </c>
      <c r="FZ171" s="36" t="str">
        <f t="shared" si="104"/>
        <v>No</v>
      </c>
      <c r="GA171" s="196">
        <f>COUNTIF($FZ$2:$FZ$92, FZ171)/(COUNTIF($FZ$2:$FZ$92, "&lt;&gt;""") - COUNTIF($FZ$2:$FZ$92, ""))</f>
        <v>0.76666666666666672</v>
      </c>
      <c r="GB171" s="196">
        <f t="shared" si="105"/>
        <v>0</v>
      </c>
      <c r="GC171" s="196">
        <f>COUNTIF($GB$2:$GB$92, GB171)/(COUNTIF($GB$2:$GB$92, "&lt;&gt;""") - COUNTIF($GB$2:$GB$92, ""))</f>
        <v>1.1111111111111112E-2</v>
      </c>
      <c r="GD171" s="196">
        <f t="shared" si="106"/>
        <v>0</v>
      </c>
      <c r="GE171" s="196">
        <f>COUNTIF($GD$2:$GD$92, GD171)/(COUNTIF($GD$2:$GD$92, "&lt;&gt;""") - COUNTIF($GD$2:$GD$92, ""))</f>
        <v>1.1111111111111112E-2</v>
      </c>
      <c r="GF171" s="207"/>
      <c r="GG171" s="36"/>
      <c r="GH171" s="209" t="e">
        <f t="shared" ca="1" si="107"/>
        <v>#NAME?</v>
      </c>
      <c r="GI171" s="212" t="e">
        <f t="shared" ca="1" si="274"/>
        <v>#NAME?</v>
      </c>
    </row>
    <row r="172" spans="1:191" ht="15.75" customHeight="1">
      <c r="A172" s="171"/>
      <c r="B172" s="171" t="s">
        <v>501</v>
      </c>
      <c r="C172" s="16">
        <v>1787006</v>
      </c>
      <c r="D172" s="233" t="s">
        <v>1431</v>
      </c>
      <c r="E172" s="234">
        <v>43741.44027777778</v>
      </c>
      <c r="F172" s="16" t="s">
        <v>316</v>
      </c>
      <c r="G172" s="235" t="s">
        <v>1432</v>
      </c>
      <c r="H172" s="235" t="s">
        <v>1433</v>
      </c>
      <c r="I172" s="241">
        <v>43858</v>
      </c>
      <c r="J172" s="233" t="s">
        <v>1434</v>
      </c>
      <c r="K172" s="233" t="s">
        <v>1431</v>
      </c>
      <c r="M172" s="16" t="s">
        <v>918</v>
      </c>
      <c r="N172" s="16" t="s">
        <v>194</v>
      </c>
      <c r="O172" s="16" t="s">
        <v>30</v>
      </c>
      <c r="P172" s="16" t="s">
        <v>174</v>
      </c>
      <c r="Q172" s="16" t="s">
        <v>35</v>
      </c>
      <c r="S172" s="16" t="s">
        <v>216</v>
      </c>
      <c r="T172" s="237"/>
      <c r="U172" s="213"/>
      <c r="V172" s="54">
        <v>19621196</v>
      </c>
      <c r="W172" s="54"/>
      <c r="X172" s="226"/>
      <c r="Y172" s="55" t="str">
        <f t="shared" si="158"/>
        <v/>
      </c>
      <c r="Z172" s="274">
        <f t="shared" si="159"/>
        <v>19621196</v>
      </c>
      <c r="AA172" s="183" t="e">
        <f t="shared" ca="1" si="160"/>
        <v>#NAME?</v>
      </c>
      <c r="AB172" s="16" t="s">
        <v>36</v>
      </c>
      <c r="AC172" s="16" t="s">
        <v>37</v>
      </c>
      <c r="AD172" s="16" t="s">
        <v>180</v>
      </c>
      <c r="AE172" s="16" t="s">
        <v>227</v>
      </c>
      <c r="AF172" s="16" t="s">
        <v>39</v>
      </c>
      <c r="AG172" s="16" t="s">
        <v>39</v>
      </c>
      <c r="AH172" s="16" t="s">
        <v>190</v>
      </c>
      <c r="AI172" s="54"/>
      <c r="AJ172" s="278">
        <v>2430000000</v>
      </c>
      <c r="AK172" s="224" t="e">
        <f t="shared" ca="1" si="161"/>
        <v>#NAME?</v>
      </c>
      <c r="AL172" s="278">
        <v>2430000000</v>
      </c>
      <c r="AM172" s="224" t="e">
        <f t="shared" ca="1" si="162"/>
        <v>#NAME?</v>
      </c>
      <c r="AN172" s="278">
        <v>0.08</v>
      </c>
      <c r="AO172" s="185" t="e">
        <f t="shared" ca="1" si="63"/>
        <v>#NAME?</v>
      </c>
      <c r="AP172" s="185" t="s">
        <v>211</v>
      </c>
      <c r="AQ172" s="16" t="s">
        <v>181</v>
      </c>
      <c r="AR172" s="16" t="s">
        <v>181</v>
      </c>
      <c r="AS172" s="16" t="s">
        <v>182</v>
      </c>
      <c r="AT172" s="159"/>
      <c r="AU172" s="159"/>
      <c r="AV172" s="16" t="s">
        <v>190</v>
      </c>
      <c r="AW172" s="16" t="s">
        <v>227</v>
      </c>
      <c r="AX172" s="16" t="s">
        <v>227</v>
      </c>
      <c r="AY172" s="16" t="s">
        <v>227</v>
      </c>
      <c r="AZ172" s="54">
        <v>12142</v>
      </c>
      <c r="BA172" s="55" t="e">
        <f t="shared" ca="1" si="163"/>
        <v>#NAME?</v>
      </c>
      <c r="BB172" s="278">
        <v>27828</v>
      </c>
      <c r="BC172" s="278">
        <v>1602500</v>
      </c>
      <c r="BD172" s="62" t="e">
        <f t="shared" ca="1" si="164"/>
        <v>#NAME?</v>
      </c>
      <c r="BE172" s="277">
        <f t="shared" si="165"/>
        <v>1.7365366614664587E-2</v>
      </c>
      <c r="BF172" s="62" t="e">
        <f t="shared" ca="1" si="166"/>
        <v>#NAME?</v>
      </c>
      <c r="BG172" s="16" t="s">
        <v>202</v>
      </c>
      <c r="BI172" s="16" t="s">
        <v>227</v>
      </c>
      <c r="BJ172" s="16">
        <v>0</v>
      </c>
      <c r="BK172" s="278">
        <v>2</v>
      </c>
      <c r="BL172" s="16" t="s">
        <v>227</v>
      </c>
      <c r="BM172" s="16" t="s">
        <v>190</v>
      </c>
      <c r="BN172" s="16" t="s">
        <v>190</v>
      </c>
      <c r="BO172" s="16" t="s">
        <v>190</v>
      </c>
      <c r="BP172" s="16">
        <v>4</v>
      </c>
      <c r="BQ172" s="16">
        <v>2</v>
      </c>
      <c r="BR172" s="16">
        <v>4</v>
      </c>
      <c r="BS172" s="16">
        <v>0</v>
      </c>
      <c r="BT172" s="205"/>
      <c r="BU172" s="16">
        <v>0</v>
      </c>
      <c r="BV172" s="16">
        <v>1</v>
      </c>
      <c r="BW172" s="16">
        <v>62</v>
      </c>
      <c r="BX172" s="16" t="s">
        <v>190</v>
      </c>
      <c r="BY172" s="205"/>
      <c r="BZ172" s="16">
        <v>6</v>
      </c>
      <c r="CA172" s="16">
        <v>0</v>
      </c>
      <c r="CB172" s="16">
        <v>43</v>
      </c>
      <c r="CC172" s="16" t="s">
        <v>227</v>
      </c>
      <c r="CD172" s="205"/>
      <c r="CI172" s="205"/>
      <c r="CN172" s="205"/>
      <c r="CS172" s="205"/>
      <c r="CX172" s="205"/>
      <c r="DC172" s="205"/>
      <c r="DH172" s="205"/>
      <c r="DM172" s="205"/>
      <c r="DN172" s="205"/>
      <c r="DO172" s="205"/>
      <c r="DQ172" s="206"/>
      <c r="DR172" s="188">
        <f t="shared" si="64"/>
        <v>3</v>
      </c>
      <c r="DS172" s="188"/>
      <c r="DT172" s="189">
        <f t="shared" si="65"/>
        <v>1</v>
      </c>
      <c r="DU172" s="189"/>
      <c r="DV172" s="188">
        <f t="shared" si="66"/>
        <v>52.5</v>
      </c>
      <c r="DW172" s="183" t="e">
        <f t="shared" ca="1" si="67"/>
        <v>#NAME?</v>
      </c>
      <c r="DX172" s="207"/>
      <c r="DY172" s="190" t="e">
        <f t="shared" ca="1" si="68"/>
        <v>#NAME?</v>
      </c>
      <c r="DZ172" s="191" t="str">
        <f t="shared" si="264"/>
        <v/>
      </c>
      <c r="EA172" s="191" t="str">
        <f t="shared" si="265"/>
        <v/>
      </c>
      <c r="EB172" s="191" t="str">
        <f t="shared" si="266"/>
        <v/>
      </c>
      <c r="EC172" s="208" t="e">
        <f t="shared" ca="1" si="72"/>
        <v>#NAME?</v>
      </c>
      <c r="ED172" s="36" t="str">
        <f t="shared" si="73"/>
        <v>Equity - Common</v>
      </c>
      <c r="EE172" s="193">
        <f>COUNTIF($ED$2:$ED$92, ED172)/(COUNTIF($ED$2:$ED$92, "&lt;&gt;""") - COUNTIF($ED$2:$ED$92, ""))</f>
        <v>0.32222222222222224</v>
      </c>
      <c r="EF172" s="36" t="str">
        <f t="shared" si="74"/>
        <v>Early</v>
      </c>
      <c r="EG172" s="207"/>
      <c r="EH172" s="194" t="e">
        <f t="shared" ca="1" si="75"/>
        <v>#NAME?</v>
      </c>
      <c r="EI172" s="194" t="e">
        <f t="shared" ca="1" si="76"/>
        <v>#NAME?</v>
      </c>
      <c r="EJ172" s="209" t="e">
        <f t="shared" ca="1" si="77"/>
        <v>#NAME?</v>
      </c>
      <c r="EK172" s="208" t="e">
        <f t="shared" ca="1" si="267"/>
        <v>#NAME?</v>
      </c>
      <c r="EL172" s="36" t="str">
        <f t="shared" si="79"/>
        <v>No</v>
      </c>
      <c r="EM172" s="207"/>
      <c r="EN172" s="192">
        <f t="shared" si="268"/>
        <v>1.2857142857142856</v>
      </c>
      <c r="EO172" s="192">
        <f t="shared" si="269"/>
        <v>2</v>
      </c>
      <c r="EP172" s="209">
        <f t="shared" si="82"/>
        <v>3.2857142857142856</v>
      </c>
      <c r="EQ172" s="210">
        <f t="shared" si="270"/>
        <v>2.009345794392523</v>
      </c>
      <c r="ER172" s="36" t="e">
        <f t="shared" ca="1" si="84"/>
        <v>#NAME?</v>
      </c>
      <c r="ES172" s="40">
        <f ca="1">COUNTIF($ER$2:$ER$92, ER172)/(COUNTIF($ER$2:$ER$92, "&lt;&gt;""") - COUNTIF($ER$2:$ER$92, ""))</f>
        <v>1</v>
      </c>
      <c r="ET172" s="36">
        <f t="shared" si="85"/>
        <v>2</v>
      </c>
      <c r="EU172" s="40">
        <f>COUNTIF($ET$2:$ET$92, ET172)/(COUNTIF($ET$2:$ET$92, "&lt;&gt;""") - COUNTIF($ET$2:$ET$92, ""))</f>
        <v>0.45555555555555555</v>
      </c>
      <c r="EV172" s="36">
        <f t="shared" si="86"/>
        <v>2</v>
      </c>
      <c r="EW172" s="40">
        <f>COUNTIF($EV$2:$EV$92, EV172)/(COUNTIF($EV$2:$EV$92, "&lt;&gt;""") - COUNTIF($EV$2:$EV$92, ""))</f>
        <v>0.15555555555555556</v>
      </c>
      <c r="EX172" s="36" t="str">
        <f t="shared" si="87"/>
        <v>Yes</v>
      </c>
      <c r="EY172" s="40">
        <f>COUNTIF($EX$2:$EX$92, EX172)/(COUNTIF($EX$2:$EX$92, "&lt;&gt;""") - COUNTIF($EX$2:$EX$92, ""))</f>
        <v>0.27777777777777779</v>
      </c>
      <c r="EZ172" s="36" t="str">
        <f t="shared" ref="EZ172:FB172" si="305">BM172</f>
        <v>No</v>
      </c>
      <c r="FA172" s="36" t="str">
        <f t="shared" si="305"/>
        <v>No</v>
      </c>
      <c r="FB172" s="36" t="str">
        <f t="shared" si="305"/>
        <v>No</v>
      </c>
      <c r="FC172" s="207"/>
      <c r="FD172" s="36" t="str">
        <f t="shared" si="89"/>
        <v>Transactional</v>
      </c>
      <c r="FE172" s="40">
        <f>COUNTIF($FD$2:$FD$92, FD172)/(COUNTIF($FD$2:$FD$92, "&lt;&gt;""") - COUNTIF($FD$2:$FD$92, ""))</f>
        <v>0.6</v>
      </c>
      <c r="FF172" s="36" t="str">
        <f t="shared" si="90"/>
        <v>B2B</v>
      </c>
      <c r="FG172" s="40">
        <f>COUNTIF($FF$2:$FF$92, FF172)/(COUNTIF($FF$2:$FF$92, "&lt;&gt;""") - COUNTIF($FF$2:$FF$92, ""))</f>
        <v>0.24444444444444444</v>
      </c>
      <c r="FH172" s="36" t="str">
        <f t="shared" si="91"/>
        <v>High</v>
      </c>
      <c r="FI172" s="40">
        <f>COUNTIF($FH$2:$FH$92, FH172)/(COUNTIF($FH$2:$FH$92, "&lt;&gt;""") - COUNTIF($FH$2:$FH$92, ""))</f>
        <v>0.53333333333333333</v>
      </c>
      <c r="FJ172" s="36" t="str">
        <f t="shared" si="92"/>
        <v>High</v>
      </c>
      <c r="FK172" s="40">
        <f>COUNTIF($FJ$2:$FJ$92, FJ172)/(COUNTIF($FJ$2:$FJ$92, "&lt;&gt;""") - COUNTIF($FJ$2:$FJ$92, ""))</f>
        <v>0.58888888888888891</v>
      </c>
      <c r="FL172" s="207"/>
      <c r="FM172" s="192">
        <f t="shared" si="93"/>
        <v>5</v>
      </c>
      <c r="FN172" s="192" t="e">
        <f t="shared" ca="1" si="94"/>
        <v>#NAME?</v>
      </c>
      <c r="FO172" s="192" t="e">
        <f t="shared" ca="1" si="95"/>
        <v>#NAME?</v>
      </c>
      <c r="FP172" s="192" t="e">
        <f t="shared" ca="1" si="96"/>
        <v>#NAME?</v>
      </c>
      <c r="FQ172" s="209" t="e">
        <f t="shared" ca="1" si="97"/>
        <v>#NAME?</v>
      </c>
      <c r="FR172" s="208" t="e">
        <f t="shared" ca="1" si="272"/>
        <v>#NAME?</v>
      </c>
      <c r="FS172" s="36" t="str">
        <f t="shared" si="99"/>
        <v>Pre-Profit</v>
      </c>
      <c r="FT172" s="196">
        <f>COUNTIF($FS$2:$FS$92, FS172)/(COUNTIF($FS$2:$FS$92, "&lt;&gt;""") - COUNTIF($FZ$2:$FZ$92, ""))</f>
        <v>0.51111111111111107</v>
      </c>
      <c r="FU172" s="207"/>
      <c r="FV172" s="192" t="e">
        <f t="shared" ca="1" si="100"/>
        <v>#NAME?</v>
      </c>
      <c r="FW172" s="197" t="e">
        <f t="shared" ca="1" si="101"/>
        <v>#NAME?</v>
      </c>
      <c r="FX172" s="209" t="e">
        <f t="shared" ca="1" si="102"/>
        <v>#NAME?</v>
      </c>
      <c r="FY172" s="211" t="e">
        <f t="shared" ca="1" si="273"/>
        <v>#NAME?</v>
      </c>
      <c r="FZ172" s="36" t="str">
        <f t="shared" si="104"/>
        <v>Yes</v>
      </c>
      <c r="GA172" s="196">
        <f>COUNTIF($FZ$2:$FZ$92, FZ172)/(COUNTIF($FZ$2:$FZ$92, "&lt;&gt;""") - COUNTIF($FZ$2:$FZ$92, ""))</f>
        <v>0.23333333333333334</v>
      </c>
      <c r="GB172" s="196">
        <f t="shared" si="105"/>
        <v>0</v>
      </c>
      <c r="GC172" s="196">
        <f>COUNTIF($GB$2:$GB$92, GB172)/(COUNTIF($GB$2:$GB$92, "&lt;&gt;""") - COUNTIF($GB$2:$GB$92, ""))</f>
        <v>1.1111111111111112E-2</v>
      </c>
      <c r="GD172" s="196">
        <f t="shared" si="106"/>
        <v>0</v>
      </c>
      <c r="GE172" s="196">
        <f>COUNTIF($GD$2:$GD$92, GD172)/(COUNTIF($GD$2:$GD$92, "&lt;&gt;""") - COUNTIF($GD$2:$GD$92, ""))</f>
        <v>1.1111111111111112E-2</v>
      </c>
      <c r="GF172" s="207"/>
      <c r="GG172" s="36"/>
      <c r="GH172" s="209" t="e">
        <f t="shared" ca="1" si="107"/>
        <v>#NAME?</v>
      </c>
      <c r="GI172" s="212" t="e">
        <f t="shared" ca="1" si="274"/>
        <v>#NAME?</v>
      </c>
    </row>
    <row r="173" spans="1:191" ht="15.75" customHeight="1">
      <c r="A173" s="171"/>
      <c r="B173" s="171" t="s">
        <v>501</v>
      </c>
      <c r="C173" s="16">
        <v>1784191</v>
      </c>
      <c r="D173" s="233" t="s">
        <v>1435</v>
      </c>
      <c r="E173" s="234">
        <v>43741.446527777778</v>
      </c>
      <c r="F173" s="16" t="s">
        <v>329</v>
      </c>
      <c r="G173" s="235" t="s">
        <v>1436</v>
      </c>
      <c r="H173" s="235" t="s">
        <v>1437</v>
      </c>
      <c r="I173" s="241">
        <v>43775</v>
      </c>
      <c r="J173" s="233" t="s">
        <v>1438</v>
      </c>
      <c r="K173" s="233" t="s">
        <v>1435</v>
      </c>
      <c r="M173" s="231" t="s">
        <v>286</v>
      </c>
      <c r="N173" s="16" t="s">
        <v>278</v>
      </c>
      <c r="O173" s="16" t="s">
        <v>30</v>
      </c>
      <c r="P173" s="16" t="s">
        <v>31</v>
      </c>
      <c r="Q173" s="16" t="s">
        <v>35</v>
      </c>
      <c r="S173" s="16" t="s">
        <v>269</v>
      </c>
      <c r="T173" s="237"/>
      <c r="U173" s="213"/>
      <c r="V173" s="54"/>
      <c r="W173" s="54">
        <v>4000000</v>
      </c>
      <c r="X173" s="226">
        <v>0.2</v>
      </c>
      <c r="Y173" s="55">
        <f t="shared" si="158"/>
        <v>3200000</v>
      </c>
      <c r="Z173" s="274">
        <f t="shared" si="159"/>
        <v>3200000</v>
      </c>
      <c r="AA173" s="183" t="e">
        <f t="shared" ca="1" si="160"/>
        <v>#NAME?</v>
      </c>
      <c r="AB173" s="16" t="s">
        <v>36</v>
      </c>
      <c r="AC173" s="16" t="s">
        <v>179</v>
      </c>
      <c r="AD173" s="16" t="s">
        <v>180</v>
      </c>
      <c r="AE173" s="16" t="s">
        <v>227</v>
      </c>
      <c r="AF173" s="16" t="s">
        <v>181</v>
      </c>
      <c r="AG173" s="16" t="s">
        <v>181</v>
      </c>
      <c r="AH173" s="16" t="s">
        <v>190</v>
      </c>
      <c r="AI173" s="54"/>
      <c r="AJ173" s="278">
        <v>106200000000</v>
      </c>
      <c r="AK173" s="224" t="e">
        <f t="shared" ca="1" si="161"/>
        <v>#NAME?</v>
      </c>
      <c r="AL173" s="278">
        <v>8240000000</v>
      </c>
      <c r="AM173" s="224" t="e">
        <f t="shared" ca="1" si="162"/>
        <v>#NAME?</v>
      </c>
      <c r="AN173" s="278">
        <v>-0.03</v>
      </c>
      <c r="AO173" s="185" t="e">
        <f t="shared" ca="1" si="63"/>
        <v>#NAME?</v>
      </c>
      <c r="AP173" s="185" t="s">
        <v>264</v>
      </c>
      <c r="AQ173" s="16" t="s">
        <v>181</v>
      </c>
      <c r="AR173" s="16" t="s">
        <v>181</v>
      </c>
      <c r="AS173" s="16" t="s">
        <v>42</v>
      </c>
      <c r="AT173" s="159"/>
      <c r="AU173" s="159"/>
      <c r="AV173" s="16" t="s">
        <v>227</v>
      </c>
      <c r="AW173" s="16" t="s">
        <v>190</v>
      </c>
      <c r="AX173" s="16" t="s">
        <v>190</v>
      </c>
      <c r="AY173" s="16" t="s">
        <v>190</v>
      </c>
      <c r="AZ173" s="54">
        <v>0</v>
      </c>
      <c r="BA173" s="55" t="e">
        <f t="shared" ca="1" si="163"/>
        <v>#NAME?</v>
      </c>
      <c r="BB173" s="278">
        <v>40</v>
      </c>
      <c r="BC173" s="278">
        <v>98560</v>
      </c>
      <c r="BD173" s="62" t="e">
        <f t="shared" ca="1" si="164"/>
        <v>#NAME?</v>
      </c>
      <c r="BE173" s="277">
        <f t="shared" si="165"/>
        <v>4.0584415584415587E-4</v>
      </c>
      <c r="BF173" s="62" t="e">
        <f t="shared" ca="1" si="166"/>
        <v>#NAME?</v>
      </c>
      <c r="BG173" s="16" t="s">
        <v>183</v>
      </c>
      <c r="BI173" s="16" t="s">
        <v>190</v>
      </c>
      <c r="BJ173" s="16">
        <v>0</v>
      </c>
      <c r="BK173" s="278">
        <v>2</v>
      </c>
      <c r="BL173" s="16" t="s">
        <v>190</v>
      </c>
      <c r="BM173" s="16" t="s">
        <v>190</v>
      </c>
      <c r="BN173" s="16" t="s">
        <v>190</v>
      </c>
      <c r="BO173" s="16" t="s">
        <v>190</v>
      </c>
      <c r="BP173" s="16">
        <v>2</v>
      </c>
      <c r="BQ173" s="16">
        <v>7</v>
      </c>
      <c r="BR173" s="16">
        <v>0</v>
      </c>
      <c r="BS173" s="16">
        <v>0</v>
      </c>
      <c r="BT173" s="205"/>
      <c r="BU173" s="16">
        <v>0</v>
      </c>
      <c r="BV173" s="16">
        <v>0</v>
      </c>
      <c r="BW173" s="16">
        <v>22</v>
      </c>
      <c r="BX173" s="16" t="s">
        <v>190</v>
      </c>
      <c r="BY173" s="205"/>
      <c r="BZ173" s="16">
        <v>0</v>
      </c>
      <c r="CA173" s="16">
        <v>0</v>
      </c>
      <c r="CB173" s="16">
        <v>23</v>
      </c>
      <c r="CC173" s="16" t="s">
        <v>190</v>
      </c>
      <c r="CD173" s="205"/>
      <c r="CI173" s="205"/>
      <c r="CN173" s="205"/>
      <c r="CS173" s="205"/>
      <c r="CX173" s="205"/>
      <c r="DC173" s="205"/>
      <c r="DH173" s="205"/>
      <c r="DM173" s="205"/>
      <c r="DN173" s="205"/>
      <c r="DO173" s="205"/>
      <c r="DQ173" s="206"/>
      <c r="DR173" s="188">
        <f t="shared" si="64"/>
        <v>0</v>
      </c>
      <c r="DS173" s="188"/>
      <c r="DT173" s="189">
        <f t="shared" si="65"/>
        <v>0</v>
      </c>
      <c r="DU173" s="189"/>
      <c r="DV173" s="188">
        <f t="shared" si="66"/>
        <v>22.5</v>
      </c>
      <c r="DW173" s="183" t="e">
        <f t="shared" ca="1" si="67"/>
        <v>#NAME?</v>
      </c>
      <c r="DX173" s="207"/>
      <c r="DY173" s="190" t="e">
        <f t="shared" ca="1" si="68"/>
        <v>#NAME?</v>
      </c>
      <c r="DZ173" s="191">
        <f t="shared" si="264"/>
        <v>3.1052631578947367</v>
      </c>
      <c r="EA173" s="191" t="str">
        <f t="shared" si="265"/>
        <v/>
      </c>
      <c r="EB173" s="191" t="str">
        <f t="shared" si="266"/>
        <v/>
      </c>
      <c r="EC173" s="208" t="e">
        <f t="shared" ca="1" si="72"/>
        <v>#NAME?</v>
      </c>
      <c r="ED173" s="36" t="str">
        <f t="shared" si="73"/>
        <v>SAFE</v>
      </c>
      <c r="EE173" s="193">
        <f>COUNTIF($ED$2:$ED$92, ED173)/(COUNTIF($ED$2:$ED$92, "&lt;&gt;""") - COUNTIF($ED$2:$ED$92, ""))</f>
        <v>0.37777777777777777</v>
      </c>
      <c r="EF173" s="36" t="str">
        <f t="shared" si="74"/>
        <v>Early</v>
      </c>
      <c r="EG173" s="207"/>
      <c r="EH173" s="194" t="e">
        <f t="shared" ca="1" si="75"/>
        <v>#NAME?</v>
      </c>
      <c r="EI173" s="194" t="e">
        <f t="shared" ca="1" si="76"/>
        <v>#NAME?</v>
      </c>
      <c r="EJ173" s="209" t="e">
        <f t="shared" ca="1" si="77"/>
        <v>#NAME?</v>
      </c>
      <c r="EK173" s="208" t="e">
        <f t="shared" ca="1" si="267"/>
        <v>#NAME?</v>
      </c>
      <c r="EL173" s="36" t="str">
        <f t="shared" si="79"/>
        <v>Yes</v>
      </c>
      <c r="EM173" s="207"/>
      <c r="EN173" s="192">
        <f t="shared" si="268"/>
        <v>1</v>
      </c>
      <c r="EO173" s="192">
        <f t="shared" si="269"/>
        <v>1</v>
      </c>
      <c r="EP173" s="209">
        <f t="shared" si="82"/>
        <v>2</v>
      </c>
      <c r="EQ173" s="210">
        <f t="shared" si="270"/>
        <v>1</v>
      </c>
      <c r="ER173" s="36" t="e">
        <f t="shared" ca="1" si="84"/>
        <v>#NAME?</v>
      </c>
      <c r="ES173" s="40">
        <f ca="1">COUNTIF($ER$2:$ER$92, ER173)/(COUNTIF($ER$2:$ER$92, "&lt;&gt;""") - COUNTIF($ER$2:$ER$92, ""))</f>
        <v>1</v>
      </c>
      <c r="ET173" s="36">
        <f t="shared" si="85"/>
        <v>2</v>
      </c>
      <c r="EU173" s="40">
        <f>COUNTIF($ET$2:$ET$92, ET173)/(COUNTIF($ET$2:$ET$92, "&lt;&gt;""") - COUNTIF($ET$2:$ET$92, ""))</f>
        <v>0.45555555555555555</v>
      </c>
      <c r="EV173" s="36">
        <f t="shared" si="86"/>
        <v>7</v>
      </c>
      <c r="EW173" s="40">
        <f>COUNTIF($EV$2:$EV$92, EV173)/(COUNTIF($EV$2:$EV$92, "&lt;&gt;""") - COUNTIF($EV$2:$EV$92, ""))</f>
        <v>4.4444444444444446E-2</v>
      </c>
      <c r="EX173" s="36" t="str">
        <f t="shared" si="87"/>
        <v>No</v>
      </c>
      <c r="EY173" s="40">
        <f>COUNTIF($EX$2:$EX$92, EX173)/(COUNTIF($EX$2:$EX$92, "&lt;&gt;""") - COUNTIF($EX$2:$EX$92, ""))</f>
        <v>0.72222222222222221</v>
      </c>
      <c r="EZ173" s="36" t="str">
        <f t="shared" ref="EZ173:FB173" si="306">BM173</f>
        <v>No</v>
      </c>
      <c r="FA173" s="36" t="str">
        <f t="shared" si="306"/>
        <v>No</v>
      </c>
      <c r="FB173" s="36" t="str">
        <f t="shared" si="306"/>
        <v>No</v>
      </c>
      <c r="FC173" s="207"/>
      <c r="FD173" s="36" t="str">
        <f t="shared" si="89"/>
        <v>Transactional</v>
      </c>
      <c r="FE173" s="40">
        <f>COUNTIF($FD$2:$FD$92, FD173)/(COUNTIF($FD$2:$FD$92, "&lt;&gt;""") - COUNTIF($FD$2:$FD$92, ""))</f>
        <v>0.6</v>
      </c>
      <c r="FF173" s="36" t="str">
        <f t="shared" si="90"/>
        <v>B2C</v>
      </c>
      <c r="FG173" s="40">
        <f>COUNTIF($FF$2:$FF$92, FF173)/(COUNTIF($FF$2:$FF$92, "&lt;&gt;""") - COUNTIF($FF$2:$FF$92, ""))</f>
        <v>0.41111111111111109</v>
      </c>
      <c r="FH173" s="36" t="str">
        <f t="shared" si="91"/>
        <v>Low</v>
      </c>
      <c r="FI173" s="40">
        <f>COUNTIF($FH$2:$FH$92, FH173)/(COUNTIF($FH$2:$FH$92, "&lt;&gt;""") - COUNTIF($FH$2:$FH$92, ""))</f>
        <v>0.46666666666666667</v>
      </c>
      <c r="FJ173" s="36" t="str">
        <f t="shared" si="92"/>
        <v>Low</v>
      </c>
      <c r="FK173" s="40">
        <f>COUNTIF($FJ$2:$FJ$92, FJ173)/(COUNTIF($FJ$2:$FJ$92, "&lt;&gt;""") - COUNTIF($FJ$2:$FJ$92, ""))</f>
        <v>0.41111111111111109</v>
      </c>
      <c r="FL173" s="207"/>
      <c r="FM173" s="192">
        <f t="shared" si="93"/>
        <v>1</v>
      </c>
      <c r="FN173" s="192" t="e">
        <f t="shared" ca="1" si="94"/>
        <v>#NAME?</v>
      </c>
      <c r="FO173" s="192" t="e">
        <f t="shared" ca="1" si="95"/>
        <v>#NAME?</v>
      </c>
      <c r="FP173" s="192" t="e">
        <f t="shared" ca="1" si="96"/>
        <v>#NAME?</v>
      </c>
      <c r="FQ173" s="209" t="e">
        <f t="shared" ca="1" si="97"/>
        <v>#NAME?</v>
      </c>
      <c r="FR173" s="208" t="e">
        <f t="shared" ca="1" si="272"/>
        <v>#NAME?</v>
      </c>
      <c r="FS173" s="36" t="str">
        <f t="shared" si="99"/>
        <v>Pre-Revenue</v>
      </c>
      <c r="FT173" s="196">
        <f>COUNTIF($FS$2:$FS$92, FS173)/(COUNTIF($FS$2:$FS$92, "&lt;&gt;""") - COUNTIF($FZ$2:$FZ$92, ""))</f>
        <v>0.2</v>
      </c>
      <c r="FU173" s="207"/>
      <c r="FV173" s="192" t="e">
        <f t="shared" ca="1" si="100"/>
        <v>#NAME?</v>
      </c>
      <c r="FW173" s="197" t="e">
        <f t="shared" ca="1" si="101"/>
        <v>#NAME?</v>
      </c>
      <c r="FX173" s="209" t="e">
        <f t="shared" ca="1" si="102"/>
        <v>#NAME?</v>
      </c>
      <c r="FY173" s="211" t="e">
        <f t="shared" ca="1" si="273"/>
        <v>#NAME?</v>
      </c>
      <c r="FZ173" s="36" t="str">
        <f t="shared" si="104"/>
        <v>No</v>
      </c>
      <c r="GA173" s="196">
        <f>COUNTIF($FZ$2:$FZ$92, FZ173)/(COUNTIF($FZ$2:$FZ$92, "&lt;&gt;""") - COUNTIF($FZ$2:$FZ$92, ""))</f>
        <v>0.76666666666666672</v>
      </c>
      <c r="GB173" s="196">
        <f t="shared" si="105"/>
        <v>0</v>
      </c>
      <c r="GC173" s="196">
        <f>COUNTIF($GB$2:$GB$92, GB173)/(COUNTIF($GB$2:$GB$92, "&lt;&gt;""") - COUNTIF($GB$2:$GB$92, ""))</f>
        <v>1.1111111111111112E-2</v>
      </c>
      <c r="GD173" s="196">
        <f t="shared" si="106"/>
        <v>0</v>
      </c>
      <c r="GE173" s="196">
        <f>COUNTIF($GD$2:$GD$92, GD173)/(COUNTIF($GD$2:$GD$92, "&lt;&gt;""") - COUNTIF($GD$2:$GD$92, ""))</f>
        <v>1.1111111111111112E-2</v>
      </c>
      <c r="GF173" s="207"/>
      <c r="GG173" s="36"/>
      <c r="GH173" s="209" t="e">
        <f t="shared" ca="1" si="107"/>
        <v>#NAME?</v>
      </c>
      <c r="GI173" s="212" t="e">
        <f t="shared" ca="1" si="274"/>
        <v>#NAME?</v>
      </c>
    </row>
    <row r="174" spans="1:191" ht="15.75" customHeight="1">
      <c r="A174" s="171"/>
      <c r="B174" s="171" t="s">
        <v>501</v>
      </c>
      <c r="C174" s="16">
        <v>1790207</v>
      </c>
      <c r="D174" s="233" t="s">
        <v>1439</v>
      </c>
      <c r="E174" s="234">
        <v>43742.574305555558</v>
      </c>
      <c r="F174" s="16" t="s">
        <v>325</v>
      </c>
      <c r="G174" s="235" t="s">
        <v>1440</v>
      </c>
      <c r="H174" s="235" t="s">
        <v>1441</v>
      </c>
      <c r="I174" s="241">
        <v>43742</v>
      </c>
      <c r="J174" s="233" t="s">
        <v>1442</v>
      </c>
      <c r="K174" s="233" t="s">
        <v>1439</v>
      </c>
      <c r="M174" s="29" t="s">
        <v>331</v>
      </c>
      <c r="N174" s="16" t="s">
        <v>168</v>
      </c>
      <c r="O174" s="16" t="s">
        <v>30</v>
      </c>
      <c r="P174" s="16" t="s">
        <v>174</v>
      </c>
      <c r="Q174" s="16" t="s">
        <v>35</v>
      </c>
      <c r="S174" s="16" t="s">
        <v>34</v>
      </c>
      <c r="T174" s="237"/>
      <c r="U174" s="213"/>
      <c r="V174" s="54"/>
      <c r="W174" s="54">
        <v>7920000</v>
      </c>
      <c r="X174" s="226">
        <v>0</v>
      </c>
      <c r="Y174" s="55">
        <f t="shared" si="158"/>
        <v>7920000</v>
      </c>
      <c r="Z174" s="274">
        <f t="shared" si="159"/>
        <v>7920000</v>
      </c>
      <c r="AA174" s="183" t="e">
        <f t="shared" ca="1" si="160"/>
        <v>#NAME?</v>
      </c>
      <c r="AB174" s="16" t="s">
        <v>36</v>
      </c>
      <c r="AC174" s="16" t="s">
        <v>179</v>
      </c>
      <c r="AD174" s="16" t="s">
        <v>38</v>
      </c>
      <c r="AE174" s="16" t="s">
        <v>227</v>
      </c>
      <c r="AF174" s="16" t="s">
        <v>181</v>
      </c>
      <c r="AG174" s="16" t="s">
        <v>181</v>
      </c>
      <c r="AH174" s="16" t="s">
        <v>190</v>
      </c>
      <c r="AI174" s="54"/>
      <c r="AJ174" s="278">
        <v>29925000000</v>
      </c>
      <c r="AK174" s="224" t="e">
        <f t="shared" ca="1" si="161"/>
        <v>#NAME?</v>
      </c>
      <c r="AL174" s="278">
        <v>29925000000</v>
      </c>
      <c r="AM174" s="224" t="e">
        <f t="shared" ca="1" si="162"/>
        <v>#NAME?</v>
      </c>
      <c r="AN174" s="278">
        <v>0.06</v>
      </c>
      <c r="AO174" s="185" t="e">
        <f t="shared" ca="1" si="63"/>
        <v>#NAME?</v>
      </c>
      <c r="AP174" s="185" t="s">
        <v>264</v>
      </c>
      <c r="AQ174" s="16" t="s">
        <v>181</v>
      </c>
      <c r="AR174" s="16" t="s">
        <v>181</v>
      </c>
      <c r="AS174" s="16" t="s">
        <v>42</v>
      </c>
      <c r="AT174" s="159"/>
      <c r="AU174" s="159"/>
      <c r="AV174" s="16" t="s">
        <v>190</v>
      </c>
      <c r="AW174" s="16" t="s">
        <v>190</v>
      </c>
      <c r="AX174" s="16" t="s">
        <v>190</v>
      </c>
      <c r="AY174" s="16" t="s">
        <v>190</v>
      </c>
      <c r="AZ174" s="54">
        <v>0</v>
      </c>
      <c r="BA174" s="55" t="e">
        <f t="shared" ca="1" si="163"/>
        <v>#NAME?</v>
      </c>
      <c r="BB174" s="278">
        <v>0</v>
      </c>
      <c r="BC174" s="278">
        <v>50000</v>
      </c>
      <c r="BD174" s="62" t="e">
        <f t="shared" ca="1" si="164"/>
        <v>#NAME?</v>
      </c>
      <c r="BE174" s="277">
        <f t="shared" si="165"/>
        <v>1</v>
      </c>
      <c r="BF174" s="62" t="e">
        <f t="shared" ca="1" si="166"/>
        <v>#NAME?</v>
      </c>
      <c r="BG174" s="16" t="s">
        <v>183</v>
      </c>
      <c r="BI174" s="16" t="s">
        <v>227</v>
      </c>
      <c r="BJ174" s="16">
        <v>500</v>
      </c>
      <c r="BK174" s="278">
        <v>1</v>
      </c>
      <c r="BL174" s="16" t="s">
        <v>190</v>
      </c>
      <c r="BM174" s="16" t="s">
        <v>227</v>
      </c>
      <c r="BN174" s="16" t="s">
        <v>190</v>
      </c>
      <c r="BO174" s="16" t="s">
        <v>190</v>
      </c>
      <c r="BP174" s="16">
        <v>2</v>
      </c>
      <c r="BQ174" s="16">
        <v>2</v>
      </c>
      <c r="BR174" s="16">
        <v>0</v>
      </c>
      <c r="BS174" s="16">
        <v>0</v>
      </c>
      <c r="BT174" s="205"/>
      <c r="BU174" s="16">
        <v>0</v>
      </c>
      <c r="BV174" s="16">
        <v>0</v>
      </c>
      <c r="BW174" s="16">
        <v>35</v>
      </c>
      <c r="BX174" s="16" t="s">
        <v>190</v>
      </c>
      <c r="BY174" s="205"/>
      <c r="CD174" s="205"/>
      <c r="CI174" s="205"/>
      <c r="CN174" s="205"/>
      <c r="CS174" s="205"/>
      <c r="CX174" s="205"/>
      <c r="DC174" s="205"/>
      <c r="DH174" s="205"/>
      <c r="DM174" s="205"/>
      <c r="DN174" s="205"/>
      <c r="DO174" s="205"/>
      <c r="DQ174" s="206"/>
      <c r="DR174" s="188">
        <f t="shared" si="64"/>
        <v>0</v>
      </c>
      <c r="DS174" s="188"/>
      <c r="DT174" s="189">
        <f t="shared" si="65"/>
        <v>0</v>
      </c>
      <c r="DU174" s="189"/>
      <c r="DV174" s="188">
        <f t="shared" si="66"/>
        <v>35</v>
      </c>
      <c r="DW174" s="183" t="e">
        <f t="shared" ca="1" si="67"/>
        <v>#NAME?</v>
      </c>
      <c r="DX174" s="207"/>
      <c r="DY174" s="190" t="e">
        <f t="shared" ca="1" si="68"/>
        <v>#NAME?</v>
      </c>
      <c r="DZ174" s="191">
        <f t="shared" si="264"/>
        <v>1</v>
      </c>
      <c r="EA174" s="191" t="str">
        <f t="shared" si="265"/>
        <v/>
      </c>
      <c r="EB174" s="191" t="str">
        <f t="shared" si="266"/>
        <v/>
      </c>
      <c r="EC174" s="208" t="e">
        <f t="shared" ca="1" si="72"/>
        <v>#NAME?</v>
      </c>
      <c r="ED174" s="36" t="str">
        <f t="shared" si="73"/>
        <v>CAFES</v>
      </c>
      <c r="EE174" s="193">
        <f>COUNTIF($ED$2:$ED$92, ED174)/(COUNTIF($ED$2:$ED$92, "&lt;&gt;""") - COUNTIF($ED$2:$ED$92, ""))</f>
        <v>0.1</v>
      </c>
      <c r="EF174" s="36" t="str">
        <f t="shared" si="74"/>
        <v>Early</v>
      </c>
      <c r="EG174" s="207"/>
      <c r="EH174" s="194" t="e">
        <f t="shared" ca="1" si="75"/>
        <v>#NAME?</v>
      </c>
      <c r="EI174" s="194" t="e">
        <f t="shared" ca="1" si="76"/>
        <v>#NAME?</v>
      </c>
      <c r="EJ174" s="209" t="e">
        <f t="shared" ca="1" si="77"/>
        <v>#NAME?</v>
      </c>
      <c r="EK174" s="208" t="e">
        <f t="shared" ca="1" si="267"/>
        <v>#NAME?</v>
      </c>
      <c r="EL174" s="36" t="str">
        <f t="shared" si="79"/>
        <v>No</v>
      </c>
      <c r="EM174" s="207"/>
      <c r="EN174" s="192">
        <f t="shared" si="268"/>
        <v>1</v>
      </c>
      <c r="EO174" s="192">
        <f t="shared" si="269"/>
        <v>1</v>
      </c>
      <c r="EP174" s="209">
        <f t="shared" si="82"/>
        <v>2</v>
      </c>
      <c r="EQ174" s="210">
        <f t="shared" si="270"/>
        <v>1</v>
      </c>
      <c r="ER174" s="36" t="e">
        <f t="shared" ca="1" si="84"/>
        <v>#NAME?</v>
      </c>
      <c r="ES174" s="40">
        <f ca="1">COUNTIF($ER$2:$ER$92, ER174)/(COUNTIF($ER$2:$ER$92, "&lt;&gt;""") - COUNTIF($ER$2:$ER$92, ""))</f>
        <v>1</v>
      </c>
      <c r="ET174" s="36">
        <f t="shared" si="85"/>
        <v>1</v>
      </c>
      <c r="EU174" s="40">
        <f>COUNTIF($ET$2:$ET$92, ET174)/(COUNTIF($ET$2:$ET$92, "&lt;&gt;""") - COUNTIF($ET$2:$ET$92, ""))</f>
        <v>0.45555555555555555</v>
      </c>
      <c r="EV174" s="36">
        <f t="shared" si="86"/>
        <v>2</v>
      </c>
      <c r="EW174" s="40">
        <f>COUNTIF($EV$2:$EV$92, EV174)/(COUNTIF($EV$2:$EV$92, "&lt;&gt;""") - COUNTIF($EV$2:$EV$92, ""))</f>
        <v>0.15555555555555556</v>
      </c>
      <c r="EX174" s="36" t="str">
        <f t="shared" si="87"/>
        <v>No</v>
      </c>
      <c r="EY174" s="40">
        <f>COUNTIF($EX$2:$EX$92, EX174)/(COUNTIF($EX$2:$EX$92, "&lt;&gt;""") - COUNTIF($EX$2:$EX$92, ""))</f>
        <v>0.72222222222222221</v>
      </c>
      <c r="EZ174" s="36" t="str">
        <f t="shared" ref="EZ174:FB174" si="307">BM174</f>
        <v>Yes</v>
      </c>
      <c r="FA174" s="36" t="str">
        <f t="shared" si="307"/>
        <v>No</v>
      </c>
      <c r="FB174" s="36" t="str">
        <f t="shared" si="307"/>
        <v>No</v>
      </c>
      <c r="FC174" s="207"/>
      <c r="FD174" s="36" t="str">
        <f t="shared" si="89"/>
        <v>Transactional</v>
      </c>
      <c r="FE174" s="40">
        <f>COUNTIF($FD$2:$FD$92, FD174)/(COUNTIF($FD$2:$FD$92, "&lt;&gt;""") - COUNTIF($FD$2:$FD$92, ""))</f>
        <v>0.6</v>
      </c>
      <c r="FF174" s="36" t="str">
        <f t="shared" si="90"/>
        <v>B2C</v>
      </c>
      <c r="FG174" s="40">
        <f>COUNTIF($FF$2:$FF$92, FF174)/(COUNTIF($FF$2:$FF$92, "&lt;&gt;""") - COUNTIF($FF$2:$FF$92, ""))</f>
        <v>0.41111111111111109</v>
      </c>
      <c r="FH174" s="36" t="str">
        <f t="shared" si="91"/>
        <v>Low</v>
      </c>
      <c r="FI174" s="40">
        <f>COUNTIF($FH$2:$FH$92, FH174)/(COUNTIF($FH$2:$FH$92, "&lt;&gt;""") - COUNTIF($FH$2:$FH$92, ""))</f>
        <v>0.46666666666666667</v>
      </c>
      <c r="FJ174" s="36" t="str">
        <f t="shared" si="92"/>
        <v>Low</v>
      </c>
      <c r="FK174" s="40">
        <f>COUNTIF($FJ$2:$FJ$92, FJ174)/(COUNTIF($FJ$2:$FJ$92, "&lt;&gt;""") - COUNTIF($FJ$2:$FJ$92, ""))</f>
        <v>0.41111111111111109</v>
      </c>
      <c r="FL174" s="207"/>
      <c r="FM174" s="192">
        <f t="shared" si="93"/>
        <v>1</v>
      </c>
      <c r="FN174" s="192" t="e">
        <f t="shared" ca="1" si="94"/>
        <v>#NAME?</v>
      </c>
      <c r="FO174" s="192" t="e">
        <f t="shared" ca="1" si="95"/>
        <v>#NAME?</v>
      </c>
      <c r="FP174" s="192" t="e">
        <f t="shared" ca="1" si="96"/>
        <v>#NAME?</v>
      </c>
      <c r="FQ174" s="209" t="e">
        <f t="shared" ca="1" si="97"/>
        <v>#NAME?</v>
      </c>
      <c r="FR174" s="208" t="e">
        <f t="shared" ca="1" si="272"/>
        <v>#NAME?</v>
      </c>
      <c r="FS174" s="36" t="str">
        <f t="shared" si="99"/>
        <v>Pre-Revenue</v>
      </c>
      <c r="FT174" s="196">
        <f>COUNTIF($FS$2:$FS$92, FS174)/(COUNTIF($FS$2:$FS$92, "&lt;&gt;""") - COUNTIF($FZ$2:$FZ$92, ""))</f>
        <v>0.2</v>
      </c>
      <c r="FU174" s="207"/>
      <c r="FV174" s="192" t="e">
        <f t="shared" ca="1" si="100"/>
        <v>#NAME?</v>
      </c>
      <c r="FW174" s="197" t="e">
        <f t="shared" ca="1" si="101"/>
        <v>#NAME?</v>
      </c>
      <c r="FX174" s="209" t="e">
        <f t="shared" ca="1" si="102"/>
        <v>#NAME?</v>
      </c>
      <c r="FY174" s="211" t="e">
        <f t="shared" ca="1" si="273"/>
        <v>#NAME?</v>
      </c>
      <c r="FZ174" s="36" t="str">
        <f t="shared" si="104"/>
        <v>No</v>
      </c>
      <c r="GA174" s="196">
        <f>COUNTIF($FZ$2:$FZ$92, FZ174)/(COUNTIF($FZ$2:$FZ$92, "&lt;&gt;""") - COUNTIF($FZ$2:$FZ$92, ""))</f>
        <v>0.76666666666666672</v>
      </c>
      <c r="GB174" s="196">
        <f t="shared" si="105"/>
        <v>0</v>
      </c>
      <c r="GC174" s="196">
        <f>COUNTIF($GB$2:$GB$92, GB174)/(COUNTIF($GB$2:$GB$92, "&lt;&gt;""") - COUNTIF($GB$2:$GB$92, ""))</f>
        <v>1.1111111111111112E-2</v>
      </c>
      <c r="GD174" s="196">
        <f t="shared" si="106"/>
        <v>0</v>
      </c>
      <c r="GE174" s="196">
        <f>COUNTIF($GD$2:$GD$92, GD174)/(COUNTIF($GD$2:$GD$92, "&lt;&gt;""") - COUNTIF($GD$2:$GD$92, ""))</f>
        <v>1.1111111111111112E-2</v>
      </c>
      <c r="GF174" s="207"/>
      <c r="GG174" s="36"/>
      <c r="GH174" s="209" t="e">
        <f t="shared" ca="1" si="107"/>
        <v>#NAME?</v>
      </c>
      <c r="GI174" s="212" t="e">
        <f t="shared" ca="1" si="274"/>
        <v>#NAME?</v>
      </c>
    </row>
    <row r="175" spans="1:191" ht="15.75" customHeight="1">
      <c r="A175" s="171"/>
      <c r="B175" s="171" t="s">
        <v>501</v>
      </c>
      <c r="C175" s="16">
        <v>1787345</v>
      </c>
      <c r="D175" s="233" t="s">
        <v>1443</v>
      </c>
      <c r="E175" s="234">
        <v>43745.435416666667</v>
      </c>
      <c r="F175" s="16" t="s">
        <v>344</v>
      </c>
      <c r="G175" s="235" t="s">
        <v>1444</v>
      </c>
      <c r="H175" s="235" t="s">
        <v>1445</v>
      </c>
      <c r="I175" s="241">
        <v>43719</v>
      </c>
      <c r="J175" s="233" t="s">
        <v>1446</v>
      </c>
      <c r="K175" s="233" t="s">
        <v>1443</v>
      </c>
      <c r="M175" s="16" t="s">
        <v>343</v>
      </c>
      <c r="N175" s="16" t="s">
        <v>294</v>
      </c>
      <c r="O175" s="16" t="s">
        <v>30</v>
      </c>
      <c r="P175" s="16" t="s">
        <v>174</v>
      </c>
      <c r="Q175" s="16" t="s">
        <v>35</v>
      </c>
      <c r="S175" s="16" t="s">
        <v>269</v>
      </c>
      <c r="T175" s="237"/>
      <c r="U175" s="213"/>
      <c r="V175" s="54"/>
      <c r="W175" s="54">
        <v>5000000</v>
      </c>
      <c r="X175" s="226">
        <v>0.2</v>
      </c>
      <c r="Y175" s="55">
        <f t="shared" si="158"/>
        <v>4000000</v>
      </c>
      <c r="Z175" s="274">
        <f t="shared" si="159"/>
        <v>4000000</v>
      </c>
      <c r="AA175" s="183" t="e">
        <f t="shared" ca="1" si="160"/>
        <v>#NAME?</v>
      </c>
      <c r="AB175" s="16" t="s">
        <v>178</v>
      </c>
      <c r="AC175" s="16" t="s">
        <v>179</v>
      </c>
      <c r="AD175" s="16" t="s">
        <v>38</v>
      </c>
      <c r="AE175" s="16" t="s">
        <v>227</v>
      </c>
      <c r="AF175" s="16" t="s">
        <v>181</v>
      </c>
      <c r="AG175" s="16" t="s">
        <v>181</v>
      </c>
      <c r="AH175" s="16" t="s">
        <v>190</v>
      </c>
      <c r="AI175" s="54"/>
      <c r="AJ175" s="278">
        <v>96200000000</v>
      </c>
      <c r="AK175" s="224" t="e">
        <f t="shared" ca="1" si="161"/>
        <v>#NAME?</v>
      </c>
      <c r="AL175" s="278">
        <v>96200000000</v>
      </c>
      <c r="AM175" s="224" t="e">
        <f t="shared" ca="1" si="162"/>
        <v>#NAME?</v>
      </c>
      <c r="AN175" s="278">
        <v>0.16</v>
      </c>
      <c r="AO175" s="185" t="e">
        <f t="shared" ca="1" si="63"/>
        <v>#NAME?</v>
      </c>
      <c r="AP175" s="185" t="s">
        <v>211</v>
      </c>
      <c r="AQ175" s="16" t="s">
        <v>181</v>
      </c>
      <c r="AR175" s="16" t="s">
        <v>181</v>
      </c>
      <c r="AS175" s="16" t="s">
        <v>42</v>
      </c>
      <c r="AT175" s="159"/>
      <c r="AU175" s="159"/>
      <c r="AV175" s="16" t="s">
        <v>227</v>
      </c>
      <c r="AW175" s="16" t="s">
        <v>190</v>
      </c>
      <c r="AX175" s="16" t="s">
        <v>190</v>
      </c>
      <c r="AY175" s="16" t="s">
        <v>190</v>
      </c>
      <c r="AZ175" s="54">
        <v>0</v>
      </c>
      <c r="BA175" s="55" t="e">
        <f t="shared" ca="1" si="163"/>
        <v>#NAME?</v>
      </c>
      <c r="BB175" s="278">
        <v>2243</v>
      </c>
      <c r="BC175" s="278">
        <v>134619</v>
      </c>
      <c r="BD175" s="62" t="e">
        <f t="shared" ca="1" si="164"/>
        <v>#NAME?</v>
      </c>
      <c r="BE175" s="277">
        <f t="shared" si="165"/>
        <v>1.6661838224916244E-2</v>
      </c>
      <c r="BF175" s="62" t="e">
        <f t="shared" ca="1" si="166"/>
        <v>#NAME?</v>
      </c>
      <c r="BG175" s="16" t="s">
        <v>43</v>
      </c>
      <c r="BI175" s="16" t="s">
        <v>190</v>
      </c>
      <c r="BJ175" s="16">
        <v>0</v>
      </c>
      <c r="BK175" s="278">
        <v>1</v>
      </c>
      <c r="BL175" s="16" t="s">
        <v>190</v>
      </c>
      <c r="BM175" s="16" t="s">
        <v>190</v>
      </c>
      <c r="BN175" s="16" t="s">
        <v>190</v>
      </c>
      <c r="BO175" s="16" t="s">
        <v>190</v>
      </c>
      <c r="BP175" s="16">
        <v>2</v>
      </c>
      <c r="BQ175" s="16">
        <v>3</v>
      </c>
      <c r="BR175" s="16">
        <v>3</v>
      </c>
      <c r="BS175" s="16">
        <v>0</v>
      </c>
      <c r="BT175" s="205"/>
      <c r="BU175" s="16">
        <v>0</v>
      </c>
      <c r="BV175" s="16">
        <v>1</v>
      </c>
      <c r="BW175" s="16">
        <v>35</v>
      </c>
      <c r="BX175" s="16" t="s">
        <v>190</v>
      </c>
      <c r="BY175" s="205"/>
      <c r="CD175" s="205"/>
      <c r="CI175" s="205"/>
      <c r="CN175" s="205"/>
      <c r="CS175" s="205"/>
      <c r="CX175" s="205"/>
      <c r="DC175" s="205"/>
      <c r="DH175" s="205"/>
      <c r="DM175" s="205"/>
      <c r="DN175" s="205"/>
      <c r="DO175" s="205"/>
      <c r="DQ175" s="206"/>
      <c r="DR175" s="188">
        <f t="shared" si="64"/>
        <v>0</v>
      </c>
      <c r="DS175" s="188"/>
      <c r="DT175" s="189">
        <f t="shared" si="65"/>
        <v>1</v>
      </c>
      <c r="DU175" s="189"/>
      <c r="DV175" s="188">
        <f t="shared" si="66"/>
        <v>35</v>
      </c>
      <c r="DW175" s="183" t="e">
        <f t="shared" ca="1" si="67"/>
        <v>#NAME?</v>
      </c>
      <c r="DX175" s="207"/>
      <c r="DY175" s="190" t="e">
        <f t="shared" ca="1" si="68"/>
        <v>#NAME?</v>
      </c>
      <c r="DZ175" s="191">
        <f t="shared" si="264"/>
        <v>3.1052631578947367</v>
      </c>
      <c r="EA175" s="191" t="str">
        <f t="shared" si="265"/>
        <v/>
      </c>
      <c r="EB175" s="191" t="str">
        <f t="shared" si="266"/>
        <v/>
      </c>
      <c r="EC175" s="208" t="e">
        <f t="shared" ca="1" si="72"/>
        <v>#NAME?</v>
      </c>
      <c r="ED175" s="36" t="str">
        <f t="shared" si="73"/>
        <v>SAFE</v>
      </c>
      <c r="EE175" s="193">
        <f>COUNTIF($ED$2:$ED$92, ED175)/(COUNTIF($ED$2:$ED$92, "&lt;&gt;""") - COUNTIF($ED$2:$ED$92, ""))</f>
        <v>0.37777777777777777</v>
      </c>
      <c r="EF175" s="36" t="str">
        <f t="shared" si="74"/>
        <v>Early</v>
      </c>
      <c r="EG175" s="207"/>
      <c r="EH175" s="194" t="e">
        <f t="shared" ca="1" si="75"/>
        <v>#NAME?</v>
      </c>
      <c r="EI175" s="194" t="e">
        <f t="shared" ca="1" si="76"/>
        <v>#NAME?</v>
      </c>
      <c r="EJ175" s="209" t="e">
        <f t="shared" ca="1" si="77"/>
        <v>#NAME?</v>
      </c>
      <c r="EK175" s="208" t="e">
        <f t="shared" ca="1" si="267"/>
        <v>#NAME?</v>
      </c>
      <c r="EL175" s="36" t="str">
        <f t="shared" si="79"/>
        <v>Yes</v>
      </c>
      <c r="EM175" s="207"/>
      <c r="EN175" s="192">
        <f t="shared" si="268"/>
        <v>1</v>
      </c>
      <c r="EO175" s="192">
        <f t="shared" si="269"/>
        <v>2</v>
      </c>
      <c r="EP175" s="209">
        <f t="shared" si="82"/>
        <v>3</v>
      </c>
      <c r="EQ175" s="210">
        <f t="shared" si="270"/>
        <v>1.7850467289719627</v>
      </c>
      <c r="ER175" s="36" t="e">
        <f t="shared" ca="1" si="84"/>
        <v>#NAME?</v>
      </c>
      <c r="ES175" s="40">
        <f ca="1">COUNTIF($ER$2:$ER$92, ER175)/(COUNTIF($ER$2:$ER$92, "&lt;&gt;""") - COUNTIF($ER$2:$ER$92, ""))</f>
        <v>1</v>
      </c>
      <c r="ET175" s="36">
        <f t="shared" si="85"/>
        <v>1</v>
      </c>
      <c r="EU175" s="40">
        <f>COUNTIF($ET$2:$ET$92, ET175)/(COUNTIF($ET$2:$ET$92, "&lt;&gt;""") - COUNTIF($ET$2:$ET$92, ""))</f>
        <v>0.45555555555555555</v>
      </c>
      <c r="EV175" s="36">
        <f t="shared" si="86"/>
        <v>3</v>
      </c>
      <c r="EW175" s="40">
        <f>COUNTIF($EV$2:$EV$92, EV175)/(COUNTIF($EV$2:$EV$92, "&lt;&gt;""") - COUNTIF($EV$2:$EV$92, ""))</f>
        <v>8.8888888888888892E-2</v>
      </c>
      <c r="EX175" s="36" t="str">
        <f t="shared" si="87"/>
        <v>No</v>
      </c>
      <c r="EY175" s="40">
        <f>COUNTIF($EX$2:$EX$92, EX175)/(COUNTIF($EX$2:$EX$92, "&lt;&gt;""") - COUNTIF($EX$2:$EX$92, ""))</f>
        <v>0.72222222222222221</v>
      </c>
      <c r="EZ175" s="36" t="str">
        <f t="shared" ref="EZ175:FB175" si="308">BM175</f>
        <v>No</v>
      </c>
      <c r="FA175" s="36" t="str">
        <f t="shared" si="308"/>
        <v>No</v>
      </c>
      <c r="FB175" s="36" t="str">
        <f t="shared" si="308"/>
        <v>No</v>
      </c>
      <c r="FC175" s="207"/>
      <c r="FD175" s="36" t="str">
        <f t="shared" si="89"/>
        <v>Recurring</v>
      </c>
      <c r="FE175" s="40">
        <f>COUNTIF($FD$2:$FD$92, FD175)/(COUNTIF($FD$2:$FD$92, "&lt;&gt;""") - COUNTIF($FD$2:$FD$92, ""))</f>
        <v>0.4</v>
      </c>
      <c r="FF175" s="36" t="str">
        <f t="shared" si="90"/>
        <v>B2C</v>
      </c>
      <c r="FG175" s="40">
        <f>COUNTIF($FF$2:$FF$92, FF175)/(COUNTIF($FF$2:$FF$92, "&lt;&gt;""") - COUNTIF($FF$2:$FF$92, ""))</f>
        <v>0.41111111111111109</v>
      </c>
      <c r="FH175" s="36" t="str">
        <f t="shared" si="91"/>
        <v>Low</v>
      </c>
      <c r="FI175" s="40">
        <f>COUNTIF($FH$2:$FH$92, FH175)/(COUNTIF($FH$2:$FH$92, "&lt;&gt;""") - COUNTIF($FH$2:$FH$92, ""))</f>
        <v>0.46666666666666667</v>
      </c>
      <c r="FJ175" s="36" t="str">
        <f t="shared" si="92"/>
        <v>Low</v>
      </c>
      <c r="FK175" s="40">
        <f>COUNTIF($FJ$2:$FJ$92, FJ175)/(COUNTIF($FJ$2:$FJ$92, "&lt;&gt;""") - COUNTIF($FJ$2:$FJ$92, ""))</f>
        <v>0.41111111111111109</v>
      </c>
      <c r="FL175" s="207"/>
      <c r="FM175" s="192">
        <f t="shared" si="93"/>
        <v>1</v>
      </c>
      <c r="FN175" s="192" t="e">
        <f t="shared" ca="1" si="94"/>
        <v>#NAME?</v>
      </c>
      <c r="FO175" s="192" t="e">
        <f t="shared" ca="1" si="95"/>
        <v>#NAME?</v>
      </c>
      <c r="FP175" s="192" t="e">
        <f t="shared" ca="1" si="96"/>
        <v>#NAME?</v>
      </c>
      <c r="FQ175" s="209" t="e">
        <f t="shared" ca="1" si="97"/>
        <v>#NAME?</v>
      </c>
      <c r="FR175" s="208" t="e">
        <f t="shared" ca="1" si="272"/>
        <v>#NAME?</v>
      </c>
      <c r="FS175" s="36" t="str">
        <f t="shared" si="99"/>
        <v>Pre-Product</v>
      </c>
      <c r="FT175" s="196">
        <f>COUNTIF($FS$2:$FS$92, FS175)/(COUNTIF($FS$2:$FS$92, "&lt;&gt;""") - COUNTIF($FZ$2:$FZ$92, ""))</f>
        <v>0.22222222222222221</v>
      </c>
      <c r="FU175" s="207"/>
      <c r="FV175" s="192" t="e">
        <f t="shared" ca="1" si="100"/>
        <v>#NAME?</v>
      </c>
      <c r="FW175" s="197" t="e">
        <f t="shared" ca="1" si="101"/>
        <v>#NAME?</v>
      </c>
      <c r="FX175" s="209" t="e">
        <f t="shared" ca="1" si="102"/>
        <v>#NAME?</v>
      </c>
      <c r="FY175" s="211" t="e">
        <f t="shared" ca="1" si="273"/>
        <v>#NAME?</v>
      </c>
      <c r="FZ175" s="36" t="str">
        <f t="shared" si="104"/>
        <v>No</v>
      </c>
      <c r="GA175" s="196">
        <f>COUNTIF($FZ$2:$FZ$92, FZ175)/(COUNTIF($FZ$2:$FZ$92, "&lt;&gt;""") - COUNTIF($FZ$2:$FZ$92, ""))</f>
        <v>0.76666666666666672</v>
      </c>
      <c r="GB175" s="196">
        <f t="shared" si="105"/>
        <v>0</v>
      </c>
      <c r="GC175" s="196">
        <f>COUNTIF($GB$2:$GB$92, GB175)/(COUNTIF($GB$2:$GB$92, "&lt;&gt;""") - COUNTIF($GB$2:$GB$92, ""))</f>
        <v>1.1111111111111112E-2</v>
      </c>
      <c r="GD175" s="196">
        <f t="shared" si="106"/>
        <v>0</v>
      </c>
      <c r="GE175" s="196">
        <f>COUNTIF($GD$2:$GD$92, GD175)/(COUNTIF($GD$2:$GD$92, "&lt;&gt;""") - COUNTIF($GD$2:$GD$92, ""))</f>
        <v>1.1111111111111112E-2</v>
      </c>
      <c r="GF175" s="207"/>
      <c r="GG175" s="36"/>
      <c r="GH175" s="209" t="e">
        <f t="shared" ca="1" si="107"/>
        <v>#NAME?</v>
      </c>
      <c r="GI175" s="212" t="e">
        <f t="shared" ca="1" si="274"/>
        <v>#NAME?</v>
      </c>
    </row>
    <row r="176" spans="1:191" ht="15.75" customHeight="1">
      <c r="A176" s="171"/>
      <c r="B176" s="171" t="s">
        <v>501</v>
      </c>
      <c r="C176" s="16">
        <v>1782777</v>
      </c>
      <c r="D176" s="233" t="s">
        <v>1447</v>
      </c>
      <c r="E176" s="234">
        <v>43746.409722222219</v>
      </c>
      <c r="F176" s="16" t="s">
        <v>329</v>
      </c>
      <c r="G176" s="235" t="s">
        <v>1448</v>
      </c>
      <c r="H176" s="235" t="s">
        <v>1449</v>
      </c>
      <c r="I176" s="241">
        <v>43746</v>
      </c>
      <c r="J176" s="233" t="s">
        <v>1450</v>
      </c>
      <c r="K176" s="233" t="s">
        <v>1451</v>
      </c>
      <c r="M176" s="16" t="s">
        <v>459</v>
      </c>
      <c r="N176" s="16" t="s">
        <v>230</v>
      </c>
      <c r="O176" s="16" t="s">
        <v>173</v>
      </c>
      <c r="P176" s="16" t="s">
        <v>197</v>
      </c>
      <c r="Q176" s="16" t="s">
        <v>35</v>
      </c>
      <c r="S176" s="16" t="s">
        <v>269</v>
      </c>
      <c r="T176" s="237"/>
      <c r="U176" s="213"/>
      <c r="V176" s="54"/>
      <c r="W176" s="54">
        <v>7500000</v>
      </c>
      <c r="X176" s="226">
        <v>0.2</v>
      </c>
      <c r="Y176" s="55">
        <f t="shared" si="158"/>
        <v>6000000</v>
      </c>
      <c r="Z176" s="274">
        <f t="shared" si="159"/>
        <v>6000000</v>
      </c>
      <c r="AA176" s="183" t="e">
        <f t="shared" ca="1" si="160"/>
        <v>#NAME?</v>
      </c>
      <c r="AB176" s="16" t="s">
        <v>36</v>
      </c>
      <c r="AC176" s="16" t="s">
        <v>218</v>
      </c>
      <c r="AD176" s="16" t="s">
        <v>180</v>
      </c>
      <c r="AE176" s="16" t="s">
        <v>227</v>
      </c>
      <c r="AF176" s="16" t="s">
        <v>39</v>
      </c>
      <c r="AG176" s="16" t="s">
        <v>181</v>
      </c>
      <c r="AH176" s="16" t="s">
        <v>227</v>
      </c>
      <c r="AI176" s="54"/>
      <c r="AJ176" s="278">
        <v>5700000000</v>
      </c>
      <c r="AK176" s="224" t="e">
        <f t="shared" ca="1" si="161"/>
        <v>#NAME?</v>
      </c>
      <c r="AL176" s="278">
        <v>5700000000</v>
      </c>
      <c r="AM176" s="224" t="e">
        <f t="shared" ca="1" si="162"/>
        <v>#NAME?</v>
      </c>
      <c r="AN176" s="278">
        <v>0.15</v>
      </c>
      <c r="AO176" s="185" t="e">
        <f t="shared" ca="1" si="63"/>
        <v>#NAME?</v>
      </c>
      <c r="AP176" s="185" t="s">
        <v>242</v>
      </c>
      <c r="AQ176" s="16" t="s">
        <v>39</v>
      </c>
      <c r="AR176" s="16" t="s">
        <v>181</v>
      </c>
      <c r="AS176" s="16" t="s">
        <v>182</v>
      </c>
      <c r="AT176" s="159"/>
      <c r="AU176" s="159"/>
      <c r="AV176" s="16" t="s">
        <v>190</v>
      </c>
      <c r="AW176" s="16" t="s">
        <v>190</v>
      </c>
      <c r="AX176" s="16" t="s">
        <v>227</v>
      </c>
      <c r="AY176" s="16" t="s">
        <v>227</v>
      </c>
      <c r="AZ176" s="54">
        <v>258659</v>
      </c>
      <c r="BA176" s="55" t="e">
        <f t="shared" ca="1" si="163"/>
        <v>#NAME?</v>
      </c>
      <c r="BB176" s="278">
        <v>2390</v>
      </c>
      <c r="BC176" s="278">
        <v>235000</v>
      </c>
      <c r="BD176" s="62" t="e">
        <f t="shared" ca="1" si="164"/>
        <v>#NAME?</v>
      </c>
      <c r="BE176" s="277">
        <f t="shared" si="165"/>
        <v>1.0170212765957446E-2</v>
      </c>
      <c r="BF176" s="62" t="e">
        <f t="shared" ca="1" si="166"/>
        <v>#NAME?</v>
      </c>
      <c r="BG176" s="16" t="s">
        <v>219</v>
      </c>
      <c r="BI176" s="16" t="s">
        <v>190</v>
      </c>
      <c r="BJ176" s="16">
        <v>0</v>
      </c>
      <c r="BK176" s="278">
        <v>2</v>
      </c>
      <c r="BL176" s="16" t="s">
        <v>227</v>
      </c>
      <c r="BM176" s="16" t="s">
        <v>190</v>
      </c>
      <c r="BN176" s="16" t="s">
        <v>190</v>
      </c>
      <c r="BO176" s="16" t="s">
        <v>190</v>
      </c>
      <c r="BP176" s="16">
        <v>3</v>
      </c>
      <c r="BQ176" s="16">
        <v>7</v>
      </c>
      <c r="BR176" s="16">
        <v>2</v>
      </c>
      <c r="BS176" s="16">
        <v>0</v>
      </c>
      <c r="BT176" s="205"/>
      <c r="BU176" s="16">
        <v>1</v>
      </c>
      <c r="BV176" s="16">
        <v>0</v>
      </c>
      <c r="BW176" s="16">
        <v>27</v>
      </c>
      <c r="BX176" s="16" t="s">
        <v>190</v>
      </c>
      <c r="BY176" s="205"/>
      <c r="BZ176" s="16">
        <v>1</v>
      </c>
      <c r="CA176" s="16">
        <v>0</v>
      </c>
      <c r="CB176" s="16">
        <v>30</v>
      </c>
      <c r="CC176" s="16" t="s">
        <v>190</v>
      </c>
      <c r="CD176" s="205"/>
      <c r="CI176" s="205"/>
      <c r="CN176" s="205"/>
      <c r="CS176" s="205"/>
      <c r="CX176" s="205"/>
      <c r="DC176" s="205"/>
      <c r="DH176" s="205"/>
      <c r="DM176" s="205"/>
      <c r="DN176" s="205"/>
      <c r="DO176" s="205"/>
      <c r="DQ176" s="206"/>
      <c r="DR176" s="188">
        <f t="shared" si="64"/>
        <v>1</v>
      </c>
      <c r="DS176" s="188"/>
      <c r="DT176" s="189">
        <f t="shared" si="65"/>
        <v>0</v>
      </c>
      <c r="DU176" s="189"/>
      <c r="DV176" s="188">
        <f t="shared" si="66"/>
        <v>28.5</v>
      </c>
      <c r="DW176" s="183" t="e">
        <f t="shared" ca="1" si="67"/>
        <v>#NAME?</v>
      </c>
      <c r="DX176" s="207"/>
      <c r="DY176" s="190" t="e">
        <f t="shared" ca="1" si="68"/>
        <v>#NAME?</v>
      </c>
      <c r="DZ176" s="191">
        <f t="shared" si="264"/>
        <v>3.1052631578947367</v>
      </c>
      <c r="EA176" s="191" t="str">
        <f t="shared" si="265"/>
        <v/>
      </c>
      <c r="EB176" s="191" t="str">
        <f t="shared" si="266"/>
        <v/>
      </c>
      <c r="EC176" s="208" t="e">
        <f t="shared" ca="1" si="72"/>
        <v>#NAME?</v>
      </c>
      <c r="ED176" s="36" t="str">
        <f t="shared" si="73"/>
        <v>SAFE</v>
      </c>
      <c r="EE176" s="193">
        <f>COUNTIF($ED$2:$ED$92, ED176)/(COUNTIF($ED$2:$ED$92, "&lt;&gt;""") - COUNTIF($ED$2:$ED$92, ""))</f>
        <v>0.37777777777777777</v>
      </c>
      <c r="EF176" s="36" t="str">
        <f t="shared" si="74"/>
        <v>Growth</v>
      </c>
      <c r="EG176" s="207"/>
      <c r="EH176" s="194" t="e">
        <f t="shared" ca="1" si="75"/>
        <v>#NAME?</v>
      </c>
      <c r="EI176" s="194" t="e">
        <f t="shared" ca="1" si="76"/>
        <v>#NAME?</v>
      </c>
      <c r="EJ176" s="209" t="e">
        <f t="shared" ca="1" si="77"/>
        <v>#NAME?</v>
      </c>
      <c r="EK176" s="208" t="e">
        <f t="shared" ca="1" si="267"/>
        <v>#NAME?</v>
      </c>
      <c r="EL176" s="36" t="str">
        <f t="shared" si="79"/>
        <v>No</v>
      </c>
      <c r="EM176" s="207"/>
      <c r="EN176" s="192">
        <f t="shared" si="268"/>
        <v>1.0952380952380953</v>
      </c>
      <c r="EO176" s="192">
        <f t="shared" si="269"/>
        <v>1</v>
      </c>
      <c r="EP176" s="209">
        <f t="shared" si="82"/>
        <v>2.0952380952380953</v>
      </c>
      <c r="EQ176" s="210">
        <f t="shared" si="270"/>
        <v>1.0747663551401869</v>
      </c>
      <c r="ER176" s="36" t="e">
        <f t="shared" ca="1" si="84"/>
        <v>#NAME?</v>
      </c>
      <c r="ES176" s="40">
        <f ca="1">COUNTIF($ER$2:$ER$92, ER176)/(COUNTIF($ER$2:$ER$92, "&lt;&gt;""") - COUNTIF($ER$2:$ER$92, ""))</f>
        <v>1</v>
      </c>
      <c r="ET176" s="36">
        <f t="shared" si="85"/>
        <v>2</v>
      </c>
      <c r="EU176" s="40">
        <f>COUNTIF($ET$2:$ET$92, ET176)/(COUNTIF($ET$2:$ET$92, "&lt;&gt;""") - COUNTIF($ET$2:$ET$92, ""))</f>
        <v>0.45555555555555555</v>
      </c>
      <c r="EV176" s="36">
        <f t="shared" si="86"/>
        <v>7</v>
      </c>
      <c r="EW176" s="40">
        <f>COUNTIF($EV$2:$EV$92, EV176)/(COUNTIF($EV$2:$EV$92, "&lt;&gt;""") - COUNTIF($EV$2:$EV$92, ""))</f>
        <v>4.4444444444444446E-2</v>
      </c>
      <c r="EX176" s="36" t="str">
        <f t="shared" si="87"/>
        <v>Yes</v>
      </c>
      <c r="EY176" s="40">
        <f>COUNTIF($EX$2:$EX$92, EX176)/(COUNTIF($EX$2:$EX$92, "&lt;&gt;""") - COUNTIF($EX$2:$EX$92, ""))</f>
        <v>0.27777777777777779</v>
      </c>
      <c r="EZ176" s="36" t="str">
        <f t="shared" ref="EZ176:FB176" si="309">BM176</f>
        <v>No</v>
      </c>
      <c r="FA176" s="36" t="str">
        <f t="shared" si="309"/>
        <v>No</v>
      </c>
      <c r="FB176" s="36" t="str">
        <f t="shared" si="309"/>
        <v>No</v>
      </c>
      <c r="FC176" s="207"/>
      <c r="FD176" s="36" t="str">
        <f t="shared" si="89"/>
        <v>Transactional</v>
      </c>
      <c r="FE176" s="40">
        <f>COUNTIF($FD$2:$FD$92, FD176)/(COUNTIF($FD$2:$FD$92, "&lt;&gt;""") - COUNTIF($FD$2:$FD$92, ""))</f>
        <v>0.6</v>
      </c>
      <c r="FF176" s="36" t="str">
        <f t="shared" si="90"/>
        <v>B2B/B2C</v>
      </c>
      <c r="FG176" s="40">
        <f>COUNTIF($FF$2:$FF$92, FF176)/(COUNTIF($FF$2:$FF$92, "&lt;&gt;""") - COUNTIF($FF$2:$FF$92, ""))</f>
        <v>0.27777777777777779</v>
      </c>
      <c r="FH176" s="36" t="str">
        <f t="shared" si="91"/>
        <v>High</v>
      </c>
      <c r="FI176" s="40">
        <f>COUNTIF($FH$2:$FH$92, FH176)/(COUNTIF($FH$2:$FH$92, "&lt;&gt;""") - COUNTIF($FH$2:$FH$92, ""))</f>
        <v>0.53333333333333333</v>
      </c>
      <c r="FJ176" s="36" t="str">
        <f t="shared" si="92"/>
        <v>Low</v>
      </c>
      <c r="FK176" s="40">
        <f>COUNTIF($FJ$2:$FJ$92, FJ176)/(COUNTIF($FJ$2:$FJ$92, "&lt;&gt;""") - COUNTIF($FJ$2:$FJ$92, ""))</f>
        <v>0.41111111111111109</v>
      </c>
      <c r="FL176" s="207"/>
      <c r="FM176" s="192">
        <f t="shared" si="93"/>
        <v>5</v>
      </c>
      <c r="FN176" s="192" t="e">
        <f t="shared" ca="1" si="94"/>
        <v>#NAME?</v>
      </c>
      <c r="FO176" s="192" t="e">
        <f t="shared" ca="1" si="95"/>
        <v>#NAME?</v>
      </c>
      <c r="FP176" s="192" t="e">
        <f t="shared" ca="1" si="96"/>
        <v>#NAME?</v>
      </c>
      <c r="FQ176" s="209" t="e">
        <f t="shared" ca="1" si="97"/>
        <v>#NAME?</v>
      </c>
      <c r="FR176" s="208" t="e">
        <f t="shared" ca="1" si="272"/>
        <v>#NAME?</v>
      </c>
      <c r="FS176" s="36" t="str">
        <f t="shared" si="99"/>
        <v>Profitable</v>
      </c>
      <c r="FT176" s="196">
        <f>COUNTIF($FS$2:$FS$92, FS176)/(COUNTIF($FS$2:$FS$92, "&lt;&gt;""") - COUNTIF($FZ$2:$FZ$92, ""))</f>
        <v>6.6666666666666666E-2</v>
      </c>
      <c r="FU176" s="207"/>
      <c r="FV176" s="192">
        <f t="shared" si="100"/>
        <v>3</v>
      </c>
      <c r="FW176" s="197" t="e">
        <f t="shared" ca="1" si="101"/>
        <v>#NAME?</v>
      </c>
      <c r="FX176" s="209" t="e">
        <f t="shared" ca="1" si="102"/>
        <v>#NAME?</v>
      </c>
      <c r="FY176" s="211" t="e">
        <f t="shared" ca="1" si="273"/>
        <v>#NAME?</v>
      </c>
      <c r="FZ176" s="36" t="str">
        <f t="shared" si="104"/>
        <v>No</v>
      </c>
      <c r="GA176" s="196">
        <f>COUNTIF($FZ$2:$FZ$92, FZ176)/(COUNTIF($FZ$2:$FZ$92, "&lt;&gt;""") - COUNTIF($FZ$2:$FZ$92, ""))</f>
        <v>0.76666666666666672</v>
      </c>
      <c r="GB176" s="196">
        <f t="shared" si="105"/>
        <v>0</v>
      </c>
      <c r="GC176" s="196">
        <f>COUNTIF($GB$2:$GB$92, GB176)/(COUNTIF($GB$2:$GB$92, "&lt;&gt;""") - COUNTIF($GB$2:$GB$92, ""))</f>
        <v>1.1111111111111112E-2</v>
      </c>
      <c r="GD176" s="196">
        <f t="shared" si="106"/>
        <v>0</v>
      </c>
      <c r="GE176" s="196">
        <f>COUNTIF($GD$2:$GD$92, GD176)/(COUNTIF($GD$2:$GD$92, "&lt;&gt;""") - COUNTIF($GD$2:$GD$92, ""))</f>
        <v>1.1111111111111112E-2</v>
      </c>
      <c r="GF176" s="207"/>
      <c r="GG176" s="36"/>
      <c r="GH176" s="209" t="e">
        <f t="shared" ca="1" si="107"/>
        <v>#NAME?</v>
      </c>
      <c r="GI176" s="212" t="e">
        <f t="shared" ca="1" si="274"/>
        <v>#NAME?</v>
      </c>
    </row>
    <row r="177" spans="1:191" ht="15.75" customHeight="1">
      <c r="A177" s="171"/>
      <c r="B177" s="171" t="s">
        <v>501</v>
      </c>
      <c r="C177" s="16">
        <v>1787792</v>
      </c>
      <c r="D177" s="233" t="s">
        <v>1452</v>
      </c>
      <c r="E177" s="234">
        <v>43746.424305555556</v>
      </c>
      <c r="F177" s="16" t="s">
        <v>337</v>
      </c>
      <c r="G177" s="235" t="s">
        <v>1453</v>
      </c>
      <c r="H177" s="235" t="s">
        <v>1454</v>
      </c>
      <c r="I177" s="241">
        <v>43833</v>
      </c>
      <c r="J177" s="233" t="s">
        <v>1455</v>
      </c>
      <c r="K177" s="233" t="s">
        <v>1452</v>
      </c>
      <c r="M177" s="29" t="s">
        <v>747</v>
      </c>
      <c r="N177" s="16" t="s">
        <v>324</v>
      </c>
      <c r="O177" s="16" t="s">
        <v>173</v>
      </c>
      <c r="P177" s="16" t="s">
        <v>197</v>
      </c>
      <c r="Q177" s="16" t="s">
        <v>35</v>
      </c>
      <c r="S177" s="16" t="s">
        <v>216</v>
      </c>
      <c r="T177" s="237"/>
      <c r="U177" s="213"/>
      <c r="V177" s="54">
        <v>15000000</v>
      </c>
      <c r="W177" s="54"/>
      <c r="X177" s="226"/>
      <c r="Y177" s="55" t="str">
        <f t="shared" si="158"/>
        <v/>
      </c>
      <c r="Z177" s="274">
        <f t="shared" si="159"/>
        <v>15000000</v>
      </c>
      <c r="AA177" s="183" t="e">
        <f t="shared" ca="1" si="160"/>
        <v>#NAME?</v>
      </c>
      <c r="AB177" s="16" t="s">
        <v>178</v>
      </c>
      <c r="AC177" s="16" t="s">
        <v>179</v>
      </c>
      <c r="AD177" s="16" t="s">
        <v>38</v>
      </c>
      <c r="AE177" s="16" t="s">
        <v>227</v>
      </c>
      <c r="AF177" s="16" t="s">
        <v>181</v>
      </c>
      <c r="AG177" s="16" t="s">
        <v>181</v>
      </c>
      <c r="AH177" s="16" t="s">
        <v>190</v>
      </c>
      <c r="AI177" s="54"/>
      <c r="AJ177" s="278">
        <v>4323000000</v>
      </c>
      <c r="AK177" s="224" t="e">
        <f t="shared" ca="1" si="161"/>
        <v>#NAME?</v>
      </c>
      <c r="AL177" s="278">
        <v>4323000000</v>
      </c>
      <c r="AM177" s="224" t="e">
        <f t="shared" ca="1" si="162"/>
        <v>#NAME?</v>
      </c>
      <c r="AN177" s="278">
        <v>0.06</v>
      </c>
      <c r="AO177" s="185" t="e">
        <f t="shared" ca="1" si="63"/>
        <v>#NAME?</v>
      </c>
      <c r="AP177" s="185" t="s">
        <v>169</v>
      </c>
      <c r="AQ177" s="16" t="s">
        <v>181</v>
      </c>
      <c r="AR177" s="16" t="s">
        <v>181</v>
      </c>
      <c r="AS177" s="16" t="s">
        <v>42</v>
      </c>
      <c r="AT177" s="159"/>
      <c r="AU177" s="159"/>
      <c r="AV177" s="16" t="s">
        <v>190</v>
      </c>
      <c r="AW177" s="16" t="s">
        <v>227</v>
      </c>
      <c r="AX177" s="16" t="s">
        <v>227</v>
      </c>
      <c r="AY177" s="16" t="s">
        <v>227</v>
      </c>
      <c r="AZ177" s="54">
        <v>4717684</v>
      </c>
      <c r="BA177" s="55" t="e">
        <f t="shared" ca="1" si="163"/>
        <v>#NAME?</v>
      </c>
      <c r="BB177" s="278">
        <v>16694</v>
      </c>
      <c r="BC177" s="278">
        <v>1800000</v>
      </c>
      <c r="BD177" s="62" t="e">
        <f t="shared" ca="1" si="164"/>
        <v>#NAME?</v>
      </c>
      <c r="BE177" s="277">
        <f t="shared" si="165"/>
        <v>9.2744444444444445E-3</v>
      </c>
      <c r="BF177" s="62" t="e">
        <f t="shared" ca="1" si="166"/>
        <v>#NAME?</v>
      </c>
      <c r="BG177" s="16" t="s">
        <v>219</v>
      </c>
      <c r="BI177" s="16" t="s">
        <v>190</v>
      </c>
      <c r="BJ177" s="16">
        <v>0</v>
      </c>
      <c r="BK177" s="278">
        <v>2</v>
      </c>
      <c r="BL177" s="16" t="s">
        <v>227</v>
      </c>
      <c r="BM177" s="16" t="s">
        <v>190</v>
      </c>
      <c r="BN177" s="16" t="s">
        <v>190</v>
      </c>
      <c r="BO177" s="16" t="s">
        <v>190</v>
      </c>
      <c r="BP177" s="16">
        <v>2</v>
      </c>
      <c r="BQ177" s="16">
        <v>8</v>
      </c>
      <c r="BR177" s="16">
        <v>2</v>
      </c>
      <c r="BS177" s="16">
        <v>0</v>
      </c>
      <c r="BT177" s="205"/>
      <c r="BU177" s="16">
        <v>11</v>
      </c>
      <c r="BV177" s="16">
        <v>0</v>
      </c>
      <c r="BW177" s="16">
        <v>46</v>
      </c>
      <c r="BX177" s="16" t="s">
        <v>227</v>
      </c>
      <c r="BY177" s="205"/>
      <c r="BZ177" s="16">
        <v>13</v>
      </c>
      <c r="CA177" s="16">
        <v>0</v>
      </c>
      <c r="CB177" s="16">
        <v>64</v>
      </c>
      <c r="CC177" s="16" t="s">
        <v>227</v>
      </c>
      <c r="CD177" s="205"/>
      <c r="CI177" s="205"/>
      <c r="CN177" s="205"/>
      <c r="CS177" s="205"/>
      <c r="CX177" s="205"/>
      <c r="DC177" s="205"/>
      <c r="DH177" s="205"/>
      <c r="DM177" s="205"/>
      <c r="DN177" s="205"/>
      <c r="DO177" s="205"/>
      <c r="DQ177" s="206"/>
      <c r="DR177" s="188">
        <f t="shared" si="64"/>
        <v>12</v>
      </c>
      <c r="DS177" s="188"/>
      <c r="DT177" s="189">
        <f t="shared" si="65"/>
        <v>0</v>
      </c>
      <c r="DU177" s="189"/>
      <c r="DV177" s="188">
        <f t="shared" si="66"/>
        <v>55</v>
      </c>
      <c r="DW177" s="183" t="e">
        <f t="shared" ca="1" si="67"/>
        <v>#NAME?</v>
      </c>
      <c r="DX177" s="207"/>
      <c r="DY177" s="190" t="e">
        <f t="shared" ca="1" si="68"/>
        <v>#NAME?</v>
      </c>
      <c r="DZ177" s="191" t="str">
        <f t="shared" si="264"/>
        <v/>
      </c>
      <c r="EA177" s="191" t="str">
        <f t="shared" si="265"/>
        <v/>
      </c>
      <c r="EB177" s="191" t="str">
        <f t="shared" si="266"/>
        <v/>
      </c>
      <c r="EC177" s="208" t="e">
        <f t="shared" ca="1" si="72"/>
        <v>#NAME?</v>
      </c>
      <c r="ED177" s="36" t="str">
        <f t="shared" si="73"/>
        <v>Equity - Common</v>
      </c>
      <c r="EE177" s="193">
        <f>COUNTIF($ED$2:$ED$92, ED177)/(COUNTIF($ED$2:$ED$92, "&lt;&gt;""") - COUNTIF($ED$2:$ED$92, ""))</f>
        <v>0.32222222222222224</v>
      </c>
      <c r="EF177" s="36" t="str">
        <f t="shared" si="74"/>
        <v>Growth</v>
      </c>
      <c r="EG177" s="207"/>
      <c r="EH177" s="194" t="e">
        <f t="shared" ca="1" si="75"/>
        <v>#NAME?</v>
      </c>
      <c r="EI177" s="194" t="e">
        <f t="shared" ca="1" si="76"/>
        <v>#NAME?</v>
      </c>
      <c r="EJ177" s="209" t="e">
        <f t="shared" ca="1" si="77"/>
        <v>#NAME?</v>
      </c>
      <c r="EK177" s="208" t="e">
        <f t="shared" ca="1" si="267"/>
        <v>#NAME?</v>
      </c>
      <c r="EL177" s="36" t="str">
        <f t="shared" si="79"/>
        <v>No</v>
      </c>
      <c r="EM177" s="207"/>
      <c r="EN177" s="192">
        <f t="shared" si="268"/>
        <v>2.1428571428571428</v>
      </c>
      <c r="EO177" s="192">
        <f t="shared" si="269"/>
        <v>1</v>
      </c>
      <c r="EP177" s="209">
        <f t="shared" si="82"/>
        <v>3.1428571428571428</v>
      </c>
      <c r="EQ177" s="210">
        <f t="shared" si="270"/>
        <v>1.8971962616822431</v>
      </c>
      <c r="ER177" s="36" t="e">
        <f t="shared" ca="1" si="84"/>
        <v>#NAME?</v>
      </c>
      <c r="ES177" s="40">
        <f ca="1">COUNTIF($ER$2:$ER$92, ER177)/(COUNTIF($ER$2:$ER$92, "&lt;&gt;""") - COUNTIF($ER$2:$ER$92, ""))</f>
        <v>1</v>
      </c>
      <c r="ET177" s="36">
        <f t="shared" si="85"/>
        <v>2</v>
      </c>
      <c r="EU177" s="40">
        <f>COUNTIF($ET$2:$ET$92, ET177)/(COUNTIF($ET$2:$ET$92, "&lt;&gt;""") - COUNTIF($ET$2:$ET$92, ""))</f>
        <v>0.45555555555555555</v>
      </c>
      <c r="EV177" s="36">
        <f t="shared" si="86"/>
        <v>8</v>
      </c>
      <c r="EW177" s="40">
        <f>COUNTIF($EV$2:$EV$92, EV177)/(COUNTIF($EV$2:$EV$92, "&lt;&gt;""") - COUNTIF($EV$2:$EV$92, ""))</f>
        <v>5.5555555555555552E-2</v>
      </c>
      <c r="EX177" s="36" t="str">
        <f t="shared" si="87"/>
        <v>Yes</v>
      </c>
      <c r="EY177" s="40">
        <f>COUNTIF($EX$2:$EX$92, EX177)/(COUNTIF($EX$2:$EX$92, "&lt;&gt;""") - COUNTIF($EX$2:$EX$92, ""))</f>
        <v>0.27777777777777779</v>
      </c>
      <c r="EZ177" s="36" t="str">
        <f t="shared" ref="EZ177:FB177" si="310">BM177</f>
        <v>No</v>
      </c>
      <c r="FA177" s="36" t="str">
        <f t="shared" si="310"/>
        <v>No</v>
      </c>
      <c r="FB177" s="36" t="str">
        <f t="shared" si="310"/>
        <v>No</v>
      </c>
      <c r="FC177" s="207"/>
      <c r="FD177" s="36" t="str">
        <f t="shared" si="89"/>
        <v>Recurring</v>
      </c>
      <c r="FE177" s="40">
        <f>COUNTIF($FD$2:$FD$92, FD177)/(COUNTIF($FD$2:$FD$92, "&lt;&gt;""") - COUNTIF($FD$2:$FD$92, ""))</f>
        <v>0.4</v>
      </c>
      <c r="FF177" s="36" t="str">
        <f t="shared" si="90"/>
        <v>B2C</v>
      </c>
      <c r="FG177" s="40">
        <f>COUNTIF($FF$2:$FF$92, FF177)/(COUNTIF($FF$2:$FF$92, "&lt;&gt;""") - COUNTIF($FF$2:$FF$92, ""))</f>
        <v>0.41111111111111109</v>
      </c>
      <c r="FH177" s="36" t="str">
        <f t="shared" si="91"/>
        <v>Low</v>
      </c>
      <c r="FI177" s="40">
        <f>COUNTIF($FH$2:$FH$92, FH177)/(COUNTIF($FH$2:$FH$92, "&lt;&gt;""") - COUNTIF($FH$2:$FH$92, ""))</f>
        <v>0.46666666666666667</v>
      </c>
      <c r="FJ177" s="36" t="str">
        <f t="shared" si="92"/>
        <v>Low</v>
      </c>
      <c r="FK177" s="40">
        <f>COUNTIF($FJ$2:$FJ$92, FJ177)/(COUNTIF($FJ$2:$FJ$92, "&lt;&gt;""") - COUNTIF($FJ$2:$FJ$92, ""))</f>
        <v>0.41111111111111109</v>
      </c>
      <c r="FL177" s="207"/>
      <c r="FM177" s="192">
        <f t="shared" si="93"/>
        <v>5</v>
      </c>
      <c r="FN177" s="192" t="e">
        <f t="shared" ca="1" si="94"/>
        <v>#NAME?</v>
      </c>
      <c r="FO177" s="192" t="e">
        <f t="shared" ca="1" si="95"/>
        <v>#NAME?</v>
      </c>
      <c r="FP177" s="192" t="e">
        <f t="shared" ca="1" si="96"/>
        <v>#NAME?</v>
      </c>
      <c r="FQ177" s="209" t="e">
        <f t="shared" ca="1" si="97"/>
        <v>#NAME?</v>
      </c>
      <c r="FR177" s="208" t="e">
        <f t="shared" ca="1" si="272"/>
        <v>#NAME?</v>
      </c>
      <c r="FS177" s="36" t="str">
        <f t="shared" si="99"/>
        <v>Profitable</v>
      </c>
      <c r="FT177" s="196">
        <f>COUNTIF($FS$2:$FS$92, FS177)/(COUNTIF($FS$2:$FS$92, "&lt;&gt;""") - COUNTIF($FZ$2:$FZ$92, ""))</f>
        <v>6.6666666666666666E-2</v>
      </c>
      <c r="FU177" s="207"/>
      <c r="FV177" s="192" t="e">
        <f t="shared" ca="1" si="100"/>
        <v>#NAME?</v>
      </c>
      <c r="FW177" s="197" t="e">
        <f t="shared" ca="1" si="101"/>
        <v>#NAME?</v>
      </c>
      <c r="FX177" s="209" t="e">
        <f t="shared" ca="1" si="102"/>
        <v>#NAME?</v>
      </c>
      <c r="FY177" s="211" t="e">
        <f t="shared" ca="1" si="273"/>
        <v>#NAME?</v>
      </c>
      <c r="FZ177" s="36" t="str">
        <f t="shared" si="104"/>
        <v>Yes</v>
      </c>
      <c r="GA177" s="196">
        <f>COUNTIF($FZ$2:$FZ$92, FZ177)/(COUNTIF($FZ$2:$FZ$92, "&lt;&gt;""") - COUNTIF($FZ$2:$FZ$92, ""))</f>
        <v>0.23333333333333334</v>
      </c>
      <c r="GB177" s="196">
        <f t="shared" si="105"/>
        <v>0</v>
      </c>
      <c r="GC177" s="196">
        <f>COUNTIF($GB$2:$GB$92, GB177)/(COUNTIF($GB$2:$GB$92, "&lt;&gt;""") - COUNTIF($GB$2:$GB$92, ""))</f>
        <v>1.1111111111111112E-2</v>
      </c>
      <c r="GD177" s="196">
        <f t="shared" si="106"/>
        <v>0</v>
      </c>
      <c r="GE177" s="196">
        <f>COUNTIF($GD$2:$GD$92, GD177)/(COUNTIF($GD$2:$GD$92, "&lt;&gt;""") - COUNTIF($GD$2:$GD$92, ""))</f>
        <v>1.1111111111111112E-2</v>
      </c>
      <c r="GF177" s="207"/>
      <c r="GG177" s="36"/>
      <c r="GH177" s="209" t="e">
        <f t="shared" ca="1" si="107"/>
        <v>#NAME?</v>
      </c>
      <c r="GI177" s="212" t="e">
        <f t="shared" ca="1" si="274"/>
        <v>#NAME?</v>
      </c>
    </row>
    <row r="178" spans="1:191" ht="15.75" customHeight="1">
      <c r="A178" s="171"/>
      <c r="B178" s="171" t="s">
        <v>501</v>
      </c>
      <c r="C178" s="16">
        <v>1706765</v>
      </c>
      <c r="D178" s="233" t="s">
        <v>1456</v>
      </c>
      <c r="E178" s="234">
        <v>43747.400694444441</v>
      </c>
      <c r="F178" s="16" t="s">
        <v>344</v>
      </c>
      <c r="G178" s="235" t="s">
        <v>1457</v>
      </c>
      <c r="H178" s="235" t="s">
        <v>1458</v>
      </c>
      <c r="I178" s="241">
        <v>43728</v>
      </c>
      <c r="J178" s="233" t="s">
        <v>1459</v>
      </c>
      <c r="K178" s="233" t="s">
        <v>1456</v>
      </c>
      <c r="M178" s="16" t="s">
        <v>193</v>
      </c>
      <c r="N178" s="16" t="s">
        <v>315</v>
      </c>
      <c r="O178" s="16" t="s">
        <v>173</v>
      </c>
      <c r="P178" s="16" t="s">
        <v>197</v>
      </c>
      <c r="Q178" s="16" t="s">
        <v>35</v>
      </c>
      <c r="S178" s="16" t="s">
        <v>232</v>
      </c>
      <c r="T178" s="237"/>
      <c r="U178" s="213"/>
      <c r="V178" s="54">
        <v>17600000</v>
      </c>
      <c r="W178" s="54"/>
      <c r="X178" s="226"/>
      <c r="Y178" s="55" t="str">
        <f t="shared" si="158"/>
        <v/>
      </c>
      <c r="Z178" s="274">
        <f t="shared" si="159"/>
        <v>17600000</v>
      </c>
      <c r="AA178" s="183" t="e">
        <f t="shared" ca="1" si="160"/>
        <v>#NAME?</v>
      </c>
      <c r="AB178" s="16" t="s">
        <v>36</v>
      </c>
      <c r="AC178" s="16" t="s">
        <v>218</v>
      </c>
      <c r="AD178" s="16" t="s">
        <v>180</v>
      </c>
      <c r="AE178" s="16" t="s">
        <v>227</v>
      </c>
      <c r="AF178" s="16" t="s">
        <v>39</v>
      </c>
      <c r="AG178" s="16" t="s">
        <v>181</v>
      </c>
      <c r="AH178" s="16" t="s">
        <v>227</v>
      </c>
      <c r="AI178" s="54"/>
      <c r="AJ178" s="278">
        <v>450000000000</v>
      </c>
      <c r="AK178" s="224" t="e">
        <f t="shared" ca="1" si="161"/>
        <v>#NAME?</v>
      </c>
      <c r="AL178" s="278">
        <v>450000000000</v>
      </c>
      <c r="AM178" s="224" t="e">
        <f t="shared" ca="1" si="162"/>
        <v>#NAME?</v>
      </c>
      <c r="AN178" s="278">
        <v>0.06</v>
      </c>
      <c r="AO178" s="185" t="e">
        <f t="shared" ca="1" si="63"/>
        <v>#NAME?</v>
      </c>
      <c r="AP178" s="185" t="s">
        <v>192</v>
      </c>
      <c r="AQ178" s="16" t="s">
        <v>181</v>
      </c>
      <c r="AR178" s="16" t="s">
        <v>181</v>
      </c>
      <c r="AS178" s="16" t="s">
        <v>182</v>
      </c>
      <c r="AT178" s="159"/>
      <c r="AU178" s="159"/>
      <c r="AV178" s="16" t="s">
        <v>190</v>
      </c>
      <c r="AW178" s="16" t="s">
        <v>190</v>
      </c>
      <c r="AX178" s="16" t="s">
        <v>227</v>
      </c>
      <c r="AY178" s="16" t="s">
        <v>227</v>
      </c>
      <c r="AZ178" s="54">
        <v>313961</v>
      </c>
      <c r="BA178" s="55" t="e">
        <f t="shared" ca="1" si="163"/>
        <v>#NAME?</v>
      </c>
      <c r="BB178" s="278">
        <v>60738</v>
      </c>
      <c r="BC178" s="278">
        <v>4513039</v>
      </c>
      <c r="BD178" s="62" t="e">
        <f t="shared" ca="1" si="164"/>
        <v>#NAME?</v>
      </c>
      <c r="BE178" s="277">
        <f t="shared" si="165"/>
        <v>1.3458337054033879E-2</v>
      </c>
      <c r="BF178" s="62" t="e">
        <f t="shared" ca="1" si="166"/>
        <v>#NAME?</v>
      </c>
      <c r="BG178" s="16" t="s">
        <v>202</v>
      </c>
      <c r="BI178" s="16" t="s">
        <v>227</v>
      </c>
      <c r="BJ178" s="16">
        <v>4</v>
      </c>
      <c r="BK178" s="278">
        <v>1</v>
      </c>
      <c r="BL178" s="16" t="s">
        <v>227</v>
      </c>
      <c r="BM178" s="16" t="s">
        <v>190</v>
      </c>
      <c r="BN178" s="16" t="s">
        <v>190</v>
      </c>
      <c r="BO178" s="16" t="s">
        <v>190</v>
      </c>
      <c r="BP178" s="16">
        <v>4</v>
      </c>
      <c r="BQ178" s="16">
        <v>12</v>
      </c>
      <c r="BR178" s="16">
        <v>0</v>
      </c>
      <c r="BS178" s="16">
        <v>0</v>
      </c>
      <c r="BT178" s="205"/>
      <c r="BU178" s="16">
        <v>16</v>
      </c>
      <c r="BV178" s="16">
        <v>1</v>
      </c>
      <c r="BW178" s="16">
        <v>50</v>
      </c>
      <c r="BX178" s="16" t="s">
        <v>227</v>
      </c>
      <c r="BY178" s="205"/>
      <c r="CD178" s="205"/>
      <c r="CI178" s="205"/>
      <c r="CN178" s="205"/>
      <c r="CS178" s="205"/>
      <c r="CX178" s="205"/>
      <c r="DC178" s="205"/>
      <c r="DH178" s="205"/>
      <c r="DM178" s="205"/>
      <c r="DN178" s="205"/>
      <c r="DO178" s="205"/>
      <c r="DQ178" s="206"/>
      <c r="DR178" s="188">
        <f t="shared" si="64"/>
        <v>16</v>
      </c>
      <c r="DS178" s="188"/>
      <c r="DT178" s="189">
        <f t="shared" si="65"/>
        <v>1</v>
      </c>
      <c r="DU178" s="189"/>
      <c r="DV178" s="188">
        <f t="shared" si="66"/>
        <v>50</v>
      </c>
      <c r="DW178" s="183" t="e">
        <f t="shared" ca="1" si="67"/>
        <v>#NAME?</v>
      </c>
      <c r="DX178" s="207"/>
      <c r="DY178" s="190" t="e">
        <f t="shared" ca="1" si="68"/>
        <v>#NAME?</v>
      </c>
      <c r="DZ178" s="191" t="str">
        <f t="shared" si="264"/>
        <v/>
      </c>
      <c r="EA178" s="191" t="str">
        <f t="shared" si="265"/>
        <v/>
      </c>
      <c r="EB178" s="191" t="str">
        <f t="shared" si="266"/>
        <v/>
      </c>
      <c r="EC178" s="208" t="e">
        <f t="shared" ca="1" si="72"/>
        <v>#NAME?</v>
      </c>
      <c r="ED178" s="36" t="str">
        <f t="shared" si="73"/>
        <v>Equity - Preferred</v>
      </c>
      <c r="EE178" s="193">
        <f>COUNTIF($ED$2:$ED$92, ED178)/(COUNTIF($ED$2:$ED$92, "&lt;&gt;""") - COUNTIF($ED$2:$ED$92, ""))</f>
        <v>6.6666666666666666E-2</v>
      </c>
      <c r="EF178" s="36" t="str">
        <f t="shared" si="74"/>
        <v>Growth</v>
      </c>
      <c r="EG178" s="207"/>
      <c r="EH178" s="194" t="e">
        <f t="shared" ca="1" si="75"/>
        <v>#NAME?</v>
      </c>
      <c r="EI178" s="194" t="e">
        <f t="shared" ca="1" si="76"/>
        <v>#NAME?</v>
      </c>
      <c r="EJ178" s="209" t="e">
        <f t="shared" ca="1" si="77"/>
        <v>#NAME?</v>
      </c>
      <c r="EK178" s="208" t="e">
        <f t="shared" ca="1" si="267"/>
        <v>#NAME?</v>
      </c>
      <c r="EL178" s="36" t="str">
        <f t="shared" si="79"/>
        <v>No</v>
      </c>
      <c r="EM178" s="207"/>
      <c r="EN178" s="192">
        <f t="shared" si="268"/>
        <v>2.5238095238095237</v>
      </c>
      <c r="EO178" s="192">
        <f t="shared" si="269"/>
        <v>2</v>
      </c>
      <c r="EP178" s="209">
        <f t="shared" si="82"/>
        <v>4.5238095238095237</v>
      </c>
      <c r="EQ178" s="210">
        <f t="shared" si="270"/>
        <v>2.981308411214953</v>
      </c>
      <c r="ER178" s="36" t="e">
        <f t="shared" ca="1" si="84"/>
        <v>#NAME?</v>
      </c>
      <c r="ES178" s="40">
        <f ca="1">COUNTIF($ER$2:$ER$92, ER178)/(COUNTIF($ER$2:$ER$92, "&lt;&gt;""") - COUNTIF($ER$2:$ER$92, ""))</f>
        <v>1</v>
      </c>
      <c r="ET178" s="36">
        <f t="shared" si="85"/>
        <v>1</v>
      </c>
      <c r="EU178" s="40">
        <f>COUNTIF($ET$2:$ET$92, ET178)/(COUNTIF($ET$2:$ET$92, "&lt;&gt;""") - COUNTIF($ET$2:$ET$92, ""))</f>
        <v>0.45555555555555555</v>
      </c>
      <c r="EV178" s="36">
        <f t="shared" si="86"/>
        <v>12</v>
      </c>
      <c r="EW178" s="40">
        <f>COUNTIF($EV$2:$EV$92, EV178)/(COUNTIF($EV$2:$EV$92, "&lt;&gt;""") - COUNTIF($EV$2:$EV$92, ""))</f>
        <v>1.1111111111111112E-2</v>
      </c>
      <c r="EX178" s="36" t="str">
        <f t="shared" si="87"/>
        <v>Yes</v>
      </c>
      <c r="EY178" s="40">
        <f>COUNTIF($EX$2:$EX$92, EX178)/(COUNTIF($EX$2:$EX$92, "&lt;&gt;""") - COUNTIF($EX$2:$EX$92, ""))</f>
        <v>0.27777777777777779</v>
      </c>
      <c r="EZ178" s="36" t="str">
        <f t="shared" ref="EZ178:FB178" si="311">BM178</f>
        <v>No</v>
      </c>
      <c r="FA178" s="36" t="str">
        <f t="shared" si="311"/>
        <v>No</v>
      </c>
      <c r="FB178" s="36" t="str">
        <f t="shared" si="311"/>
        <v>No</v>
      </c>
      <c r="FC178" s="207"/>
      <c r="FD178" s="36" t="str">
        <f t="shared" si="89"/>
        <v>Transactional</v>
      </c>
      <c r="FE178" s="40">
        <f>COUNTIF($FD$2:$FD$92, FD178)/(COUNTIF($FD$2:$FD$92, "&lt;&gt;""") - COUNTIF($FD$2:$FD$92, ""))</f>
        <v>0.6</v>
      </c>
      <c r="FF178" s="36" t="str">
        <f t="shared" si="90"/>
        <v>B2B/B2C</v>
      </c>
      <c r="FG178" s="40">
        <f>COUNTIF($FF$2:$FF$92, FF178)/(COUNTIF($FF$2:$FF$92, "&lt;&gt;""") - COUNTIF($FF$2:$FF$92, ""))</f>
        <v>0.27777777777777779</v>
      </c>
      <c r="FH178" s="36" t="str">
        <f t="shared" si="91"/>
        <v>High</v>
      </c>
      <c r="FI178" s="40">
        <f>COUNTIF($FH$2:$FH$92, FH178)/(COUNTIF($FH$2:$FH$92, "&lt;&gt;""") - COUNTIF($FH$2:$FH$92, ""))</f>
        <v>0.53333333333333333</v>
      </c>
      <c r="FJ178" s="36" t="str">
        <f t="shared" si="92"/>
        <v>Low</v>
      </c>
      <c r="FK178" s="40">
        <f>COUNTIF($FJ$2:$FJ$92, FJ178)/(COUNTIF($FJ$2:$FJ$92, "&lt;&gt;""") - COUNTIF($FJ$2:$FJ$92, ""))</f>
        <v>0.41111111111111109</v>
      </c>
      <c r="FL178" s="207"/>
      <c r="FM178" s="192">
        <f t="shared" si="93"/>
        <v>5</v>
      </c>
      <c r="FN178" s="192" t="e">
        <f t="shared" ca="1" si="94"/>
        <v>#NAME?</v>
      </c>
      <c r="FO178" s="192" t="e">
        <f t="shared" ca="1" si="95"/>
        <v>#NAME?</v>
      </c>
      <c r="FP178" s="192" t="e">
        <f t="shared" ca="1" si="96"/>
        <v>#NAME?</v>
      </c>
      <c r="FQ178" s="209" t="e">
        <f t="shared" ca="1" si="97"/>
        <v>#NAME?</v>
      </c>
      <c r="FR178" s="208" t="e">
        <f t="shared" ca="1" si="272"/>
        <v>#NAME?</v>
      </c>
      <c r="FS178" s="36" t="str">
        <f t="shared" si="99"/>
        <v>Pre-Profit</v>
      </c>
      <c r="FT178" s="196">
        <f>COUNTIF($FS$2:$FS$92, FS178)/(COUNTIF($FS$2:$FS$92, "&lt;&gt;""") - COUNTIF($FZ$2:$FZ$92, ""))</f>
        <v>0.51111111111111107</v>
      </c>
      <c r="FU178" s="207"/>
      <c r="FV178" s="192" t="e">
        <f t="shared" ca="1" si="100"/>
        <v>#NAME?</v>
      </c>
      <c r="FW178" s="197" t="e">
        <f t="shared" ca="1" si="101"/>
        <v>#NAME?</v>
      </c>
      <c r="FX178" s="209" t="e">
        <f t="shared" ca="1" si="102"/>
        <v>#NAME?</v>
      </c>
      <c r="FY178" s="211" t="e">
        <f t="shared" ca="1" si="273"/>
        <v>#NAME?</v>
      </c>
      <c r="FZ178" s="36" t="str">
        <f t="shared" si="104"/>
        <v>No</v>
      </c>
      <c r="GA178" s="196">
        <f>COUNTIF($FZ$2:$FZ$92, FZ178)/(COUNTIF($FZ$2:$FZ$92, "&lt;&gt;""") - COUNTIF($FZ$2:$FZ$92, ""))</f>
        <v>0.76666666666666672</v>
      </c>
      <c r="GB178" s="196">
        <f t="shared" si="105"/>
        <v>0</v>
      </c>
      <c r="GC178" s="196">
        <f>COUNTIF($GB$2:$GB$92, GB178)/(COUNTIF($GB$2:$GB$92, "&lt;&gt;""") - COUNTIF($GB$2:$GB$92, ""))</f>
        <v>1.1111111111111112E-2</v>
      </c>
      <c r="GD178" s="196">
        <f t="shared" si="106"/>
        <v>0</v>
      </c>
      <c r="GE178" s="196">
        <f>COUNTIF($GD$2:$GD$92, GD178)/(COUNTIF($GD$2:$GD$92, "&lt;&gt;""") - COUNTIF($GD$2:$GD$92, ""))</f>
        <v>1.1111111111111112E-2</v>
      </c>
      <c r="GF178" s="207"/>
      <c r="GG178" s="36"/>
      <c r="GH178" s="209" t="e">
        <f t="shared" ca="1" si="107"/>
        <v>#NAME?</v>
      </c>
      <c r="GI178" s="212" t="e">
        <f t="shared" ca="1" si="274"/>
        <v>#NAME?</v>
      </c>
    </row>
    <row r="179" spans="1:191" ht="15.75" customHeight="1">
      <c r="A179" s="171"/>
      <c r="B179" s="171" t="s">
        <v>501</v>
      </c>
      <c r="C179" s="16">
        <v>1787343</v>
      </c>
      <c r="D179" s="233" t="s">
        <v>1460</v>
      </c>
      <c r="E179" s="234">
        <v>43747.404166666667</v>
      </c>
      <c r="F179" s="16" t="s">
        <v>344</v>
      </c>
      <c r="G179" s="235" t="s">
        <v>1461</v>
      </c>
      <c r="H179" s="235" t="s">
        <v>1462</v>
      </c>
      <c r="I179" s="241">
        <v>43727</v>
      </c>
      <c r="J179" s="233" t="s">
        <v>1463</v>
      </c>
      <c r="K179" s="233" t="s">
        <v>1460</v>
      </c>
      <c r="M179" s="16" t="s">
        <v>1176</v>
      </c>
      <c r="N179" s="16" t="s">
        <v>254</v>
      </c>
      <c r="O179" s="16" t="s">
        <v>30</v>
      </c>
      <c r="P179" s="16" t="s">
        <v>197</v>
      </c>
      <c r="Q179" s="16" t="s">
        <v>35</v>
      </c>
      <c r="S179" s="16" t="s">
        <v>269</v>
      </c>
      <c r="T179" s="237"/>
      <c r="U179" s="213"/>
      <c r="V179" s="54"/>
      <c r="W179" s="54">
        <v>4500000</v>
      </c>
      <c r="X179" s="226">
        <v>0.2</v>
      </c>
      <c r="Y179" s="55">
        <f t="shared" si="158"/>
        <v>3600000</v>
      </c>
      <c r="Z179" s="274">
        <f t="shared" si="159"/>
        <v>3600000</v>
      </c>
      <c r="AA179" s="183" t="e">
        <f t="shared" ca="1" si="160"/>
        <v>#NAME?</v>
      </c>
      <c r="AB179" s="16" t="s">
        <v>178</v>
      </c>
      <c r="AC179" s="16" t="s">
        <v>37</v>
      </c>
      <c r="AD179" s="16" t="s">
        <v>180</v>
      </c>
      <c r="AE179" s="16" t="s">
        <v>227</v>
      </c>
      <c r="AF179" s="16" t="s">
        <v>39</v>
      </c>
      <c r="AG179" s="16" t="s">
        <v>181</v>
      </c>
      <c r="AH179" s="16" t="s">
        <v>190</v>
      </c>
      <c r="AI179" s="54"/>
      <c r="AJ179" s="278">
        <v>28000000000</v>
      </c>
      <c r="AK179" s="224" t="e">
        <f t="shared" ca="1" si="161"/>
        <v>#NAME?</v>
      </c>
      <c r="AL179" s="278">
        <v>28000000000</v>
      </c>
      <c r="AM179" s="224" t="e">
        <f t="shared" ca="1" si="162"/>
        <v>#NAME?</v>
      </c>
      <c r="AN179" s="278">
        <v>0.22</v>
      </c>
      <c r="AO179" s="185" t="e">
        <f t="shared" ca="1" si="63"/>
        <v>#NAME?</v>
      </c>
      <c r="AP179" s="185" t="s">
        <v>169</v>
      </c>
      <c r="AQ179" s="16" t="s">
        <v>181</v>
      </c>
      <c r="AR179" s="16" t="s">
        <v>181</v>
      </c>
      <c r="AS179" s="16" t="s">
        <v>201</v>
      </c>
      <c r="AT179" s="159"/>
      <c r="AU179" s="159"/>
      <c r="AV179" s="16" t="s">
        <v>190</v>
      </c>
      <c r="AW179" s="16" t="s">
        <v>190</v>
      </c>
      <c r="AX179" s="16" t="s">
        <v>227</v>
      </c>
      <c r="AY179" s="16" t="s">
        <v>227</v>
      </c>
      <c r="AZ179" s="54">
        <v>234</v>
      </c>
      <c r="BA179" s="55" t="e">
        <f t="shared" ca="1" si="163"/>
        <v>#NAME?</v>
      </c>
      <c r="BB179" s="278">
        <v>15035</v>
      </c>
      <c r="BC179" s="278">
        <v>723992</v>
      </c>
      <c r="BD179" s="62" t="e">
        <f t="shared" ca="1" si="164"/>
        <v>#NAME?</v>
      </c>
      <c r="BE179" s="277">
        <f t="shared" si="165"/>
        <v>2.0766804053083461E-2</v>
      </c>
      <c r="BF179" s="62" t="e">
        <f t="shared" ca="1" si="166"/>
        <v>#NAME?</v>
      </c>
      <c r="BG179" s="16" t="s">
        <v>202</v>
      </c>
      <c r="BI179" s="16" t="s">
        <v>227</v>
      </c>
      <c r="BJ179" s="16">
        <v>0</v>
      </c>
      <c r="BK179" s="278">
        <v>1</v>
      </c>
      <c r="BL179" s="16" t="s">
        <v>227</v>
      </c>
      <c r="BM179" s="16" t="s">
        <v>190</v>
      </c>
      <c r="BN179" s="16" t="s">
        <v>190</v>
      </c>
      <c r="BO179" s="16" t="s">
        <v>190</v>
      </c>
      <c r="BP179" s="16">
        <v>2</v>
      </c>
      <c r="BQ179" s="16">
        <v>2</v>
      </c>
      <c r="BR179" s="16">
        <v>1</v>
      </c>
      <c r="BS179" s="16">
        <v>0</v>
      </c>
      <c r="BT179" s="205"/>
      <c r="BU179" s="16">
        <v>7</v>
      </c>
      <c r="BV179" s="16">
        <v>0</v>
      </c>
      <c r="BW179" s="16">
        <v>49</v>
      </c>
      <c r="BX179" s="16" t="s">
        <v>190</v>
      </c>
      <c r="BY179" s="205"/>
      <c r="CD179" s="205"/>
      <c r="CI179" s="205"/>
      <c r="CN179" s="205"/>
      <c r="CS179" s="205"/>
      <c r="CX179" s="205"/>
      <c r="DC179" s="205"/>
      <c r="DH179" s="205"/>
      <c r="DM179" s="205"/>
      <c r="DN179" s="205"/>
      <c r="DO179" s="205"/>
      <c r="DQ179" s="206"/>
      <c r="DR179" s="188">
        <f t="shared" si="64"/>
        <v>7</v>
      </c>
      <c r="DS179" s="188"/>
      <c r="DT179" s="189">
        <f t="shared" si="65"/>
        <v>0</v>
      </c>
      <c r="DU179" s="189"/>
      <c r="DV179" s="188">
        <f t="shared" si="66"/>
        <v>49</v>
      </c>
      <c r="DW179" s="183" t="e">
        <f t="shared" ca="1" si="67"/>
        <v>#NAME?</v>
      </c>
      <c r="DX179" s="207"/>
      <c r="DY179" s="190" t="e">
        <f t="shared" ca="1" si="68"/>
        <v>#NAME?</v>
      </c>
      <c r="DZ179" s="191">
        <f t="shared" si="264"/>
        <v>3.1052631578947367</v>
      </c>
      <c r="EA179" s="191" t="str">
        <f t="shared" si="265"/>
        <v/>
      </c>
      <c r="EB179" s="191" t="str">
        <f t="shared" si="266"/>
        <v/>
      </c>
      <c r="EC179" s="208" t="e">
        <f t="shared" ca="1" si="72"/>
        <v>#NAME?</v>
      </c>
      <c r="ED179" s="36" t="str">
        <f t="shared" si="73"/>
        <v>SAFE</v>
      </c>
      <c r="EE179" s="193">
        <f>COUNTIF($ED$2:$ED$92, ED179)/(COUNTIF($ED$2:$ED$92, "&lt;&gt;""") - COUNTIF($ED$2:$ED$92, ""))</f>
        <v>0.37777777777777777</v>
      </c>
      <c r="EF179" s="36" t="str">
        <f t="shared" si="74"/>
        <v>Early</v>
      </c>
      <c r="EG179" s="207"/>
      <c r="EH179" s="194" t="e">
        <f t="shared" ca="1" si="75"/>
        <v>#NAME?</v>
      </c>
      <c r="EI179" s="194" t="e">
        <f t="shared" ca="1" si="76"/>
        <v>#NAME?</v>
      </c>
      <c r="EJ179" s="209" t="e">
        <f t="shared" ca="1" si="77"/>
        <v>#NAME?</v>
      </c>
      <c r="EK179" s="208" t="e">
        <f t="shared" ca="1" si="267"/>
        <v>#NAME?</v>
      </c>
      <c r="EL179" s="36" t="str">
        <f t="shared" si="79"/>
        <v>No</v>
      </c>
      <c r="EM179" s="207"/>
      <c r="EN179" s="192">
        <f t="shared" si="268"/>
        <v>1.6666666666666665</v>
      </c>
      <c r="EO179" s="192">
        <f t="shared" si="269"/>
        <v>1</v>
      </c>
      <c r="EP179" s="209">
        <f t="shared" si="82"/>
        <v>2.6666666666666665</v>
      </c>
      <c r="EQ179" s="210">
        <f t="shared" si="270"/>
        <v>1.5233644859813085</v>
      </c>
      <c r="ER179" s="36" t="e">
        <f t="shared" ca="1" si="84"/>
        <v>#NAME?</v>
      </c>
      <c r="ES179" s="40">
        <f ca="1">COUNTIF($ER$2:$ER$92, ER179)/(COUNTIF($ER$2:$ER$92, "&lt;&gt;""") - COUNTIF($ER$2:$ER$92, ""))</f>
        <v>1</v>
      </c>
      <c r="ET179" s="36">
        <f t="shared" si="85"/>
        <v>1</v>
      </c>
      <c r="EU179" s="40">
        <f>COUNTIF($ET$2:$ET$92, ET179)/(COUNTIF($ET$2:$ET$92, "&lt;&gt;""") - COUNTIF($ET$2:$ET$92, ""))</f>
        <v>0.45555555555555555</v>
      </c>
      <c r="EV179" s="36">
        <f t="shared" si="86"/>
        <v>2</v>
      </c>
      <c r="EW179" s="40">
        <f>COUNTIF($EV$2:$EV$92, EV179)/(COUNTIF($EV$2:$EV$92, "&lt;&gt;""") - COUNTIF($EV$2:$EV$92, ""))</f>
        <v>0.15555555555555556</v>
      </c>
      <c r="EX179" s="36" t="str">
        <f t="shared" si="87"/>
        <v>Yes</v>
      </c>
      <c r="EY179" s="40">
        <f>COUNTIF($EX$2:$EX$92, EX179)/(COUNTIF($EX$2:$EX$92, "&lt;&gt;""") - COUNTIF($EX$2:$EX$92, ""))</f>
        <v>0.27777777777777779</v>
      </c>
      <c r="EZ179" s="36" t="str">
        <f t="shared" ref="EZ179:FB179" si="312">BM179</f>
        <v>No</v>
      </c>
      <c r="FA179" s="36" t="str">
        <f t="shared" si="312"/>
        <v>No</v>
      </c>
      <c r="FB179" s="36" t="str">
        <f t="shared" si="312"/>
        <v>No</v>
      </c>
      <c r="FC179" s="207"/>
      <c r="FD179" s="36" t="str">
        <f t="shared" si="89"/>
        <v>Recurring</v>
      </c>
      <c r="FE179" s="40">
        <f>COUNTIF($FD$2:$FD$92, FD179)/(COUNTIF($FD$2:$FD$92, "&lt;&gt;""") - COUNTIF($FD$2:$FD$92, ""))</f>
        <v>0.4</v>
      </c>
      <c r="FF179" s="36" t="str">
        <f t="shared" si="90"/>
        <v>B2B</v>
      </c>
      <c r="FG179" s="40">
        <f>COUNTIF($FF$2:$FF$92, FF179)/(COUNTIF($FF$2:$FF$92, "&lt;&gt;""") - COUNTIF($FF$2:$FF$92, ""))</f>
        <v>0.24444444444444444</v>
      </c>
      <c r="FH179" s="36" t="str">
        <f t="shared" si="91"/>
        <v>High</v>
      </c>
      <c r="FI179" s="40">
        <f>COUNTIF($FH$2:$FH$92, FH179)/(COUNTIF($FH$2:$FH$92, "&lt;&gt;""") - COUNTIF($FH$2:$FH$92, ""))</f>
        <v>0.53333333333333333</v>
      </c>
      <c r="FJ179" s="36" t="str">
        <f t="shared" si="92"/>
        <v>Low</v>
      </c>
      <c r="FK179" s="40">
        <f>COUNTIF($FJ$2:$FJ$92, FJ179)/(COUNTIF($FJ$2:$FJ$92, "&lt;&gt;""") - COUNTIF($FJ$2:$FJ$92, ""))</f>
        <v>0.41111111111111109</v>
      </c>
      <c r="FL179" s="207"/>
      <c r="FM179" s="192">
        <f t="shared" si="93"/>
        <v>5</v>
      </c>
      <c r="FN179" s="192" t="e">
        <f t="shared" ca="1" si="94"/>
        <v>#NAME?</v>
      </c>
      <c r="FO179" s="192" t="e">
        <f t="shared" ca="1" si="95"/>
        <v>#NAME?</v>
      </c>
      <c r="FP179" s="192" t="e">
        <f t="shared" ca="1" si="96"/>
        <v>#NAME?</v>
      </c>
      <c r="FQ179" s="209" t="e">
        <f t="shared" ca="1" si="97"/>
        <v>#NAME?</v>
      </c>
      <c r="FR179" s="208" t="e">
        <f t="shared" ca="1" si="272"/>
        <v>#NAME?</v>
      </c>
      <c r="FS179" s="36" t="str">
        <f t="shared" si="99"/>
        <v>Pre-Profit</v>
      </c>
      <c r="FT179" s="196">
        <f>COUNTIF($FS$2:$FS$92, FS179)/(COUNTIF($FS$2:$FS$92, "&lt;&gt;""") - COUNTIF($FZ$2:$FZ$92, ""))</f>
        <v>0.51111111111111107</v>
      </c>
      <c r="FU179" s="207"/>
      <c r="FV179" s="192" t="e">
        <f t="shared" ca="1" si="100"/>
        <v>#NAME?</v>
      </c>
      <c r="FW179" s="197" t="e">
        <f t="shared" ca="1" si="101"/>
        <v>#NAME?</v>
      </c>
      <c r="FX179" s="209" t="e">
        <f t="shared" ca="1" si="102"/>
        <v>#NAME?</v>
      </c>
      <c r="FY179" s="211" t="e">
        <f t="shared" ca="1" si="273"/>
        <v>#NAME?</v>
      </c>
      <c r="FZ179" s="36" t="str">
        <f t="shared" si="104"/>
        <v>No</v>
      </c>
      <c r="GA179" s="196">
        <f>COUNTIF($FZ$2:$FZ$92, FZ179)/(COUNTIF($FZ$2:$FZ$92, "&lt;&gt;""") - COUNTIF($FZ$2:$FZ$92, ""))</f>
        <v>0.76666666666666672</v>
      </c>
      <c r="GB179" s="196">
        <f t="shared" si="105"/>
        <v>0</v>
      </c>
      <c r="GC179" s="196">
        <f>COUNTIF($GB$2:$GB$92, GB179)/(COUNTIF($GB$2:$GB$92, "&lt;&gt;""") - COUNTIF($GB$2:$GB$92, ""))</f>
        <v>1.1111111111111112E-2</v>
      </c>
      <c r="GD179" s="196">
        <f t="shared" si="106"/>
        <v>0</v>
      </c>
      <c r="GE179" s="196">
        <f>COUNTIF($GD$2:$GD$92, GD179)/(COUNTIF($GD$2:$GD$92, "&lt;&gt;""") - COUNTIF($GD$2:$GD$92, ""))</f>
        <v>1.1111111111111112E-2</v>
      </c>
      <c r="GF179" s="207"/>
      <c r="GG179" s="36"/>
      <c r="GH179" s="209" t="e">
        <f t="shared" ca="1" si="107"/>
        <v>#NAME?</v>
      </c>
      <c r="GI179" s="212" t="e">
        <f t="shared" ca="1" si="274"/>
        <v>#NAME?</v>
      </c>
    </row>
    <row r="180" spans="1:191" ht="15.75" customHeight="1">
      <c r="A180" s="171"/>
      <c r="B180" s="171" t="s">
        <v>501</v>
      </c>
      <c r="C180" s="16">
        <v>1784430</v>
      </c>
      <c r="D180" s="233" t="s">
        <v>1464</v>
      </c>
      <c r="E180" s="234">
        <v>43749.438888888886</v>
      </c>
      <c r="F180" s="16" t="s">
        <v>337</v>
      </c>
      <c r="G180" s="235" t="s">
        <v>1465</v>
      </c>
      <c r="H180" s="235" t="s">
        <v>1466</v>
      </c>
      <c r="I180" s="241">
        <v>43875</v>
      </c>
      <c r="J180" s="233" t="s">
        <v>1467</v>
      </c>
      <c r="K180" s="233" t="s">
        <v>1464</v>
      </c>
      <c r="M180" s="243" t="s">
        <v>28</v>
      </c>
      <c r="N180" s="16" t="s">
        <v>230</v>
      </c>
      <c r="O180" s="16" t="s">
        <v>30</v>
      </c>
      <c r="P180" s="16" t="s">
        <v>31</v>
      </c>
      <c r="Q180" s="16" t="s">
        <v>35</v>
      </c>
      <c r="S180" s="16" t="s">
        <v>216</v>
      </c>
      <c r="T180" s="237"/>
      <c r="U180" s="213"/>
      <c r="V180" s="54">
        <v>5040000</v>
      </c>
      <c r="W180" s="54"/>
      <c r="X180" s="226"/>
      <c r="Y180" s="55" t="str">
        <f t="shared" si="158"/>
        <v/>
      </c>
      <c r="Z180" s="274">
        <f t="shared" si="159"/>
        <v>5040000</v>
      </c>
      <c r="AA180" s="183" t="e">
        <f t="shared" ca="1" si="160"/>
        <v>#NAME?</v>
      </c>
      <c r="AB180" s="16" t="s">
        <v>36</v>
      </c>
      <c r="AC180" s="16" t="s">
        <v>218</v>
      </c>
      <c r="AD180" s="16" t="s">
        <v>38</v>
      </c>
      <c r="AE180" s="16" t="s">
        <v>227</v>
      </c>
      <c r="AF180" s="16" t="s">
        <v>39</v>
      </c>
      <c r="AG180" s="16" t="s">
        <v>181</v>
      </c>
      <c r="AH180" s="16" t="s">
        <v>190</v>
      </c>
      <c r="AI180" s="54"/>
      <c r="AJ180" s="278">
        <v>200000000000</v>
      </c>
      <c r="AK180" s="224" t="e">
        <f t="shared" ca="1" si="161"/>
        <v>#NAME?</v>
      </c>
      <c r="AL180" s="278">
        <v>200000000000</v>
      </c>
      <c r="AM180" s="224" t="e">
        <f t="shared" ca="1" si="162"/>
        <v>#NAME?</v>
      </c>
      <c r="AN180" s="278">
        <v>0.16</v>
      </c>
      <c r="AO180" s="185" t="e">
        <f t="shared" ca="1" si="63"/>
        <v>#NAME?</v>
      </c>
      <c r="AP180" s="185" t="s">
        <v>211</v>
      </c>
      <c r="AQ180" s="16" t="s">
        <v>39</v>
      </c>
      <c r="AR180" s="16" t="s">
        <v>181</v>
      </c>
      <c r="AS180" s="16" t="s">
        <v>182</v>
      </c>
      <c r="AT180" s="159"/>
      <c r="AU180" s="159"/>
      <c r="AV180" s="16" t="s">
        <v>190</v>
      </c>
      <c r="AW180" s="16" t="s">
        <v>190</v>
      </c>
      <c r="AX180" s="16" t="s">
        <v>227</v>
      </c>
      <c r="AY180" s="16" t="s">
        <v>227</v>
      </c>
      <c r="AZ180" s="54">
        <v>0</v>
      </c>
      <c r="BA180" s="55" t="e">
        <f t="shared" ca="1" si="163"/>
        <v>#NAME?</v>
      </c>
      <c r="BB180" s="278">
        <v>0</v>
      </c>
      <c r="BC180" s="278">
        <v>0</v>
      </c>
      <c r="BD180" s="62" t="e">
        <f t="shared" ca="1" si="164"/>
        <v>#NAME?</v>
      </c>
      <c r="BE180" s="277">
        <f t="shared" si="165"/>
        <v>1</v>
      </c>
      <c r="BF180" s="62" t="e">
        <f t="shared" ca="1" si="166"/>
        <v>#NAME?</v>
      </c>
      <c r="BG180" s="16" t="s">
        <v>202</v>
      </c>
      <c r="BI180" s="16" t="s">
        <v>227</v>
      </c>
      <c r="BJ180" s="16">
        <v>200</v>
      </c>
      <c r="BK180" s="278">
        <v>2</v>
      </c>
      <c r="BL180" s="16" t="s">
        <v>190</v>
      </c>
      <c r="BM180" s="16" t="s">
        <v>190</v>
      </c>
      <c r="BN180" s="16" t="s">
        <v>227</v>
      </c>
      <c r="BO180" s="16" t="s">
        <v>190</v>
      </c>
      <c r="BP180" s="16">
        <v>2</v>
      </c>
      <c r="BQ180" s="16">
        <v>2</v>
      </c>
      <c r="BR180" s="16">
        <v>1</v>
      </c>
      <c r="BS180" s="16">
        <v>0</v>
      </c>
      <c r="BT180" s="205"/>
      <c r="BU180" s="16">
        <v>0</v>
      </c>
      <c r="BV180" s="16">
        <v>0</v>
      </c>
      <c r="BW180" s="16">
        <v>28</v>
      </c>
      <c r="BX180" s="16" t="s">
        <v>190</v>
      </c>
      <c r="BY180" s="205"/>
      <c r="BZ180" s="16">
        <v>0</v>
      </c>
      <c r="CA180" s="16">
        <v>0</v>
      </c>
      <c r="CB180" s="16">
        <v>26</v>
      </c>
      <c r="CC180" s="16" t="s">
        <v>190</v>
      </c>
      <c r="CD180" s="205"/>
      <c r="CI180" s="205"/>
      <c r="CN180" s="205"/>
      <c r="CS180" s="205"/>
      <c r="CX180" s="205"/>
      <c r="DC180" s="205"/>
      <c r="DH180" s="205"/>
      <c r="DM180" s="205"/>
      <c r="DN180" s="205"/>
      <c r="DO180" s="205"/>
      <c r="DQ180" s="206"/>
      <c r="DR180" s="188">
        <f t="shared" si="64"/>
        <v>0</v>
      </c>
      <c r="DS180" s="188"/>
      <c r="DT180" s="189">
        <f t="shared" si="65"/>
        <v>0</v>
      </c>
      <c r="DU180" s="189"/>
      <c r="DV180" s="188">
        <f t="shared" si="66"/>
        <v>27</v>
      </c>
      <c r="DW180" s="183" t="e">
        <f t="shared" ca="1" si="67"/>
        <v>#NAME?</v>
      </c>
      <c r="DX180" s="207"/>
      <c r="DY180" s="190" t="e">
        <f t="shared" ca="1" si="68"/>
        <v>#NAME?</v>
      </c>
      <c r="DZ180" s="191" t="str">
        <f t="shared" si="264"/>
        <v/>
      </c>
      <c r="EA180" s="191" t="str">
        <f t="shared" si="265"/>
        <v/>
      </c>
      <c r="EB180" s="191" t="str">
        <f t="shared" si="266"/>
        <v/>
      </c>
      <c r="EC180" s="208" t="e">
        <f t="shared" ca="1" si="72"/>
        <v>#NAME?</v>
      </c>
      <c r="ED180" s="36" t="str">
        <f t="shared" si="73"/>
        <v>Equity - Common</v>
      </c>
      <c r="EE180" s="193">
        <f>COUNTIF($ED$2:$ED$92, ED180)/(COUNTIF($ED$2:$ED$92, "&lt;&gt;""") - COUNTIF($ED$2:$ED$92, ""))</f>
        <v>0.32222222222222224</v>
      </c>
      <c r="EF180" s="36" t="str">
        <f t="shared" si="74"/>
        <v>Early</v>
      </c>
      <c r="EG180" s="207"/>
      <c r="EH180" s="194" t="e">
        <f t="shared" ca="1" si="75"/>
        <v>#NAME?</v>
      </c>
      <c r="EI180" s="194" t="e">
        <f t="shared" ca="1" si="76"/>
        <v>#NAME?</v>
      </c>
      <c r="EJ180" s="209" t="e">
        <f t="shared" ca="1" si="77"/>
        <v>#NAME?</v>
      </c>
      <c r="EK180" s="208" t="e">
        <f t="shared" ca="1" si="267"/>
        <v>#NAME?</v>
      </c>
      <c r="EL180" s="36" t="str">
        <f t="shared" si="79"/>
        <v>No</v>
      </c>
      <c r="EM180" s="207"/>
      <c r="EN180" s="192">
        <f t="shared" si="268"/>
        <v>1</v>
      </c>
      <c r="EO180" s="192">
        <f t="shared" si="269"/>
        <v>1</v>
      </c>
      <c r="EP180" s="209">
        <f t="shared" si="82"/>
        <v>2</v>
      </c>
      <c r="EQ180" s="210">
        <f t="shared" si="270"/>
        <v>1</v>
      </c>
      <c r="ER180" s="36" t="e">
        <f t="shared" ca="1" si="84"/>
        <v>#NAME?</v>
      </c>
      <c r="ES180" s="40">
        <f ca="1">COUNTIF($ER$2:$ER$92, ER180)/(COUNTIF($ER$2:$ER$92, "&lt;&gt;""") - COUNTIF($ER$2:$ER$92, ""))</f>
        <v>1</v>
      </c>
      <c r="ET180" s="36">
        <f t="shared" si="85"/>
        <v>2</v>
      </c>
      <c r="EU180" s="40">
        <f>COUNTIF($ET$2:$ET$92, ET180)/(COUNTIF($ET$2:$ET$92, "&lt;&gt;""") - COUNTIF($ET$2:$ET$92, ""))</f>
        <v>0.45555555555555555</v>
      </c>
      <c r="EV180" s="36">
        <f t="shared" si="86"/>
        <v>2</v>
      </c>
      <c r="EW180" s="40">
        <f>COUNTIF($EV$2:$EV$92, EV180)/(COUNTIF($EV$2:$EV$92, "&lt;&gt;""") - COUNTIF($EV$2:$EV$92, ""))</f>
        <v>0.15555555555555556</v>
      </c>
      <c r="EX180" s="36" t="str">
        <f t="shared" si="87"/>
        <v>No</v>
      </c>
      <c r="EY180" s="40">
        <f>COUNTIF($EX$2:$EX$92, EX180)/(COUNTIF($EX$2:$EX$92, "&lt;&gt;""") - COUNTIF($EX$2:$EX$92, ""))</f>
        <v>0.72222222222222221</v>
      </c>
      <c r="EZ180" s="36" t="str">
        <f t="shared" ref="EZ180:FB180" si="313">BM180</f>
        <v>No</v>
      </c>
      <c r="FA180" s="36" t="str">
        <f t="shared" si="313"/>
        <v>Yes</v>
      </c>
      <c r="FB180" s="36" t="str">
        <f t="shared" si="313"/>
        <v>No</v>
      </c>
      <c r="FC180" s="207"/>
      <c r="FD180" s="36" t="str">
        <f t="shared" si="89"/>
        <v>Transactional</v>
      </c>
      <c r="FE180" s="40">
        <f>COUNTIF($FD$2:$FD$92, FD180)/(COUNTIF($FD$2:$FD$92, "&lt;&gt;""") - COUNTIF($FD$2:$FD$92, ""))</f>
        <v>0.6</v>
      </c>
      <c r="FF180" s="36" t="str">
        <f t="shared" si="90"/>
        <v>B2B/B2C</v>
      </c>
      <c r="FG180" s="40">
        <f>COUNTIF($FF$2:$FF$92, FF180)/(COUNTIF($FF$2:$FF$92, "&lt;&gt;""") - COUNTIF($FF$2:$FF$92, ""))</f>
        <v>0.27777777777777779</v>
      </c>
      <c r="FH180" s="36" t="str">
        <f t="shared" si="91"/>
        <v>High</v>
      </c>
      <c r="FI180" s="40">
        <f>COUNTIF($FH$2:$FH$92, FH180)/(COUNTIF($FH$2:$FH$92, "&lt;&gt;""") - COUNTIF($FH$2:$FH$92, ""))</f>
        <v>0.53333333333333333</v>
      </c>
      <c r="FJ180" s="36" t="str">
        <f t="shared" si="92"/>
        <v>Low</v>
      </c>
      <c r="FK180" s="40">
        <f>COUNTIF($FJ$2:$FJ$92, FJ180)/(COUNTIF($FJ$2:$FJ$92, "&lt;&gt;""") - COUNTIF($FJ$2:$FJ$92, ""))</f>
        <v>0.41111111111111109</v>
      </c>
      <c r="FL180" s="207"/>
      <c r="FM180" s="192">
        <f t="shared" si="93"/>
        <v>5</v>
      </c>
      <c r="FN180" s="192" t="e">
        <f t="shared" ca="1" si="94"/>
        <v>#NAME?</v>
      </c>
      <c r="FO180" s="192" t="e">
        <f t="shared" ca="1" si="95"/>
        <v>#NAME?</v>
      </c>
      <c r="FP180" s="192" t="e">
        <f t="shared" ca="1" si="96"/>
        <v>#NAME?</v>
      </c>
      <c r="FQ180" s="209" t="e">
        <f t="shared" ca="1" si="97"/>
        <v>#NAME?</v>
      </c>
      <c r="FR180" s="208" t="e">
        <f t="shared" ca="1" si="272"/>
        <v>#NAME?</v>
      </c>
      <c r="FS180" s="36" t="str">
        <f t="shared" si="99"/>
        <v>Pre-Profit</v>
      </c>
      <c r="FT180" s="196">
        <f>COUNTIF($FS$2:$FS$92, FS180)/(COUNTIF($FS$2:$FS$92, "&lt;&gt;""") - COUNTIF($FZ$2:$FZ$92, ""))</f>
        <v>0.51111111111111107</v>
      </c>
      <c r="FU180" s="207"/>
      <c r="FV180" s="192">
        <f t="shared" si="100"/>
        <v>3</v>
      </c>
      <c r="FW180" s="197" t="e">
        <f t="shared" ca="1" si="101"/>
        <v>#NAME?</v>
      </c>
      <c r="FX180" s="209" t="e">
        <f t="shared" ca="1" si="102"/>
        <v>#NAME?</v>
      </c>
      <c r="FY180" s="211" t="e">
        <f t="shared" ca="1" si="273"/>
        <v>#NAME?</v>
      </c>
      <c r="FZ180" s="36" t="str">
        <f t="shared" si="104"/>
        <v>No</v>
      </c>
      <c r="GA180" s="196">
        <f>COUNTIF($FZ$2:$FZ$92, FZ180)/(COUNTIF($FZ$2:$FZ$92, "&lt;&gt;""") - COUNTIF($FZ$2:$FZ$92, ""))</f>
        <v>0.76666666666666672</v>
      </c>
      <c r="GB180" s="196">
        <f t="shared" si="105"/>
        <v>0</v>
      </c>
      <c r="GC180" s="196">
        <f>COUNTIF($GB$2:$GB$92, GB180)/(COUNTIF($GB$2:$GB$92, "&lt;&gt;""") - COUNTIF($GB$2:$GB$92, ""))</f>
        <v>1.1111111111111112E-2</v>
      </c>
      <c r="GD180" s="196">
        <f t="shared" si="106"/>
        <v>0</v>
      </c>
      <c r="GE180" s="196">
        <f>COUNTIF($GD$2:$GD$92, GD180)/(COUNTIF($GD$2:$GD$92, "&lt;&gt;""") - COUNTIF($GD$2:$GD$92, ""))</f>
        <v>1.1111111111111112E-2</v>
      </c>
      <c r="GF180" s="207"/>
      <c r="GG180" s="36"/>
      <c r="GH180" s="209" t="e">
        <f t="shared" ca="1" si="107"/>
        <v>#NAME?</v>
      </c>
      <c r="GI180" s="212" t="e">
        <f t="shared" ca="1" si="274"/>
        <v>#NAME?</v>
      </c>
    </row>
    <row r="181" spans="1:191" ht="15.75" customHeight="1">
      <c r="A181" s="171"/>
      <c r="B181" s="171" t="s">
        <v>501</v>
      </c>
      <c r="C181" s="16">
        <v>1782117</v>
      </c>
      <c r="D181" s="233" t="s">
        <v>1468</v>
      </c>
      <c r="E181" s="234">
        <v>43749.444444444445</v>
      </c>
      <c r="F181" s="16" t="s">
        <v>337</v>
      </c>
      <c r="G181" s="235" t="s">
        <v>1469</v>
      </c>
      <c r="H181" s="235" t="s">
        <v>1470</v>
      </c>
      <c r="I181" s="241">
        <v>43896</v>
      </c>
      <c r="J181" s="233" t="s">
        <v>1471</v>
      </c>
      <c r="K181" s="233" t="s">
        <v>1468</v>
      </c>
      <c r="M181" s="16" t="s">
        <v>171</v>
      </c>
      <c r="N181" s="16" t="s">
        <v>168</v>
      </c>
      <c r="O181" s="16" t="s">
        <v>173</v>
      </c>
      <c r="P181" s="16" t="s">
        <v>197</v>
      </c>
      <c r="Q181" s="16" t="s">
        <v>35</v>
      </c>
      <c r="S181" s="16" t="s">
        <v>216</v>
      </c>
      <c r="T181" s="237"/>
      <c r="U181" s="213"/>
      <c r="V181" s="54">
        <v>6000000</v>
      </c>
      <c r="W181" s="54"/>
      <c r="X181" s="226"/>
      <c r="Y181" s="55" t="str">
        <f t="shared" si="158"/>
        <v/>
      </c>
      <c r="Z181" s="274">
        <f t="shared" si="159"/>
        <v>6000000</v>
      </c>
      <c r="AA181" s="183" t="e">
        <f t="shared" ca="1" si="160"/>
        <v>#NAME?</v>
      </c>
      <c r="AB181" s="16" t="s">
        <v>36</v>
      </c>
      <c r="AC181" s="16" t="s">
        <v>218</v>
      </c>
      <c r="AD181" s="16" t="s">
        <v>38</v>
      </c>
      <c r="AE181" s="16" t="s">
        <v>227</v>
      </c>
      <c r="AF181" s="16" t="s">
        <v>181</v>
      </c>
      <c r="AG181" s="16" t="s">
        <v>181</v>
      </c>
      <c r="AH181" s="16" t="s">
        <v>190</v>
      </c>
      <c r="AI181" s="54"/>
      <c r="AJ181" s="278">
        <v>947900000000</v>
      </c>
      <c r="AK181" s="224" t="e">
        <f t="shared" ca="1" si="161"/>
        <v>#NAME?</v>
      </c>
      <c r="AL181" s="278">
        <v>947900000000</v>
      </c>
      <c r="AM181" s="224" t="e">
        <f t="shared" ca="1" si="162"/>
        <v>#NAME?</v>
      </c>
      <c r="AN181" s="278">
        <v>0.12</v>
      </c>
      <c r="AO181" s="185" t="e">
        <f t="shared" ca="1" si="63"/>
        <v>#NAME?</v>
      </c>
      <c r="AP181" s="185" t="s">
        <v>228</v>
      </c>
      <c r="AQ181" s="16" t="s">
        <v>181</v>
      </c>
      <c r="AR181" s="16" t="s">
        <v>181</v>
      </c>
      <c r="AS181" s="16" t="s">
        <v>42</v>
      </c>
      <c r="AT181" s="159"/>
      <c r="AU181" s="159"/>
      <c r="AV181" s="16" t="s">
        <v>190</v>
      </c>
      <c r="AW181" s="16" t="s">
        <v>190</v>
      </c>
      <c r="AX181" s="16" t="s">
        <v>227</v>
      </c>
      <c r="AY181" s="16" t="s">
        <v>227</v>
      </c>
      <c r="AZ181" s="54">
        <v>334811</v>
      </c>
      <c r="BA181" s="55" t="e">
        <f t="shared" ca="1" si="163"/>
        <v>#NAME?</v>
      </c>
      <c r="BB181" s="278">
        <v>11082</v>
      </c>
      <c r="BC181" s="278">
        <v>136000</v>
      </c>
      <c r="BD181" s="62" t="e">
        <f t="shared" ca="1" si="164"/>
        <v>#NAME?</v>
      </c>
      <c r="BE181" s="277">
        <f t="shared" si="165"/>
        <v>8.1485294117647059E-2</v>
      </c>
      <c r="BF181" s="62" t="e">
        <f t="shared" ca="1" si="166"/>
        <v>#NAME?</v>
      </c>
      <c r="BG181" s="16" t="s">
        <v>202</v>
      </c>
      <c r="BI181" s="16" t="s">
        <v>190</v>
      </c>
      <c r="BJ181" s="16">
        <v>0</v>
      </c>
      <c r="BK181" s="278">
        <v>2</v>
      </c>
      <c r="BL181" s="16" t="s">
        <v>227</v>
      </c>
      <c r="BM181" s="16" t="s">
        <v>227</v>
      </c>
      <c r="BN181" s="16" t="s">
        <v>227</v>
      </c>
      <c r="BO181" s="16" t="s">
        <v>190</v>
      </c>
      <c r="BP181" s="16">
        <v>4</v>
      </c>
      <c r="BQ181" s="16">
        <v>2</v>
      </c>
      <c r="BR181" s="16">
        <v>0</v>
      </c>
      <c r="BS181" s="16">
        <v>0</v>
      </c>
      <c r="BT181" s="205"/>
      <c r="BU181" s="16">
        <v>6</v>
      </c>
      <c r="BV181" s="16">
        <v>0</v>
      </c>
      <c r="BW181" s="16">
        <v>38</v>
      </c>
      <c r="BX181" s="16" t="s">
        <v>190</v>
      </c>
      <c r="BY181" s="205"/>
      <c r="BZ181" s="16">
        <v>6</v>
      </c>
      <c r="CA181" s="16">
        <v>0</v>
      </c>
      <c r="CB181" s="16">
        <v>30</v>
      </c>
      <c r="CC181" s="16" t="s">
        <v>190</v>
      </c>
      <c r="CD181" s="205"/>
      <c r="CI181" s="205"/>
      <c r="CN181" s="205"/>
      <c r="CS181" s="205"/>
      <c r="CX181" s="205"/>
      <c r="DC181" s="205"/>
      <c r="DH181" s="205"/>
      <c r="DM181" s="205"/>
      <c r="DN181" s="205"/>
      <c r="DO181" s="205"/>
      <c r="DQ181" s="206"/>
      <c r="DR181" s="188">
        <f t="shared" si="64"/>
        <v>6</v>
      </c>
      <c r="DS181" s="188"/>
      <c r="DT181" s="189">
        <f t="shared" si="65"/>
        <v>0</v>
      </c>
      <c r="DU181" s="189"/>
      <c r="DV181" s="188">
        <f t="shared" si="66"/>
        <v>34</v>
      </c>
      <c r="DW181" s="183" t="e">
        <f t="shared" ca="1" si="67"/>
        <v>#NAME?</v>
      </c>
      <c r="DX181" s="207"/>
      <c r="DY181" s="190" t="e">
        <f t="shared" ca="1" si="68"/>
        <v>#NAME?</v>
      </c>
      <c r="DZ181" s="191" t="str">
        <f t="shared" si="264"/>
        <v/>
      </c>
      <c r="EA181" s="191" t="str">
        <f t="shared" si="265"/>
        <v/>
      </c>
      <c r="EB181" s="191" t="str">
        <f t="shared" si="266"/>
        <v/>
      </c>
      <c r="EC181" s="208" t="e">
        <f t="shared" ca="1" si="72"/>
        <v>#NAME?</v>
      </c>
      <c r="ED181" s="36" t="str">
        <f t="shared" si="73"/>
        <v>Equity - Common</v>
      </c>
      <c r="EE181" s="193">
        <f>COUNTIF($ED$2:$ED$92, ED181)/(COUNTIF($ED$2:$ED$92, "&lt;&gt;""") - COUNTIF($ED$2:$ED$92, ""))</f>
        <v>0.32222222222222224</v>
      </c>
      <c r="EF181" s="36" t="str">
        <f t="shared" si="74"/>
        <v>Growth</v>
      </c>
      <c r="EG181" s="207"/>
      <c r="EH181" s="194" t="e">
        <f t="shared" ca="1" si="75"/>
        <v>#NAME?</v>
      </c>
      <c r="EI181" s="194" t="e">
        <f t="shared" ca="1" si="76"/>
        <v>#NAME?</v>
      </c>
      <c r="EJ181" s="209" t="e">
        <f t="shared" ca="1" si="77"/>
        <v>#NAME?</v>
      </c>
      <c r="EK181" s="208" t="e">
        <f t="shared" ca="1" si="267"/>
        <v>#NAME?</v>
      </c>
      <c r="EL181" s="36" t="str">
        <f t="shared" si="79"/>
        <v>No</v>
      </c>
      <c r="EM181" s="207"/>
      <c r="EN181" s="192">
        <f t="shared" si="268"/>
        <v>1.5714285714285714</v>
      </c>
      <c r="EO181" s="192">
        <f t="shared" si="269"/>
        <v>1</v>
      </c>
      <c r="EP181" s="209">
        <f t="shared" si="82"/>
        <v>2.5714285714285712</v>
      </c>
      <c r="EQ181" s="210">
        <f t="shared" si="270"/>
        <v>1.4485981308411213</v>
      </c>
      <c r="ER181" s="36" t="e">
        <f t="shared" ca="1" si="84"/>
        <v>#NAME?</v>
      </c>
      <c r="ES181" s="40">
        <f ca="1">COUNTIF($ER$2:$ER$92, ER181)/(COUNTIF($ER$2:$ER$92, "&lt;&gt;""") - COUNTIF($ER$2:$ER$92, ""))</f>
        <v>1</v>
      </c>
      <c r="ET181" s="36">
        <f t="shared" si="85"/>
        <v>2</v>
      </c>
      <c r="EU181" s="40">
        <f>COUNTIF($ET$2:$ET$92, ET181)/(COUNTIF($ET$2:$ET$92, "&lt;&gt;""") - COUNTIF($ET$2:$ET$92, ""))</f>
        <v>0.45555555555555555</v>
      </c>
      <c r="EV181" s="36">
        <f t="shared" si="86"/>
        <v>2</v>
      </c>
      <c r="EW181" s="40">
        <f>COUNTIF($EV$2:$EV$92, EV181)/(COUNTIF($EV$2:$EV$92, "&lt;&gt;""") - COUNTIF($EV$2:$EV$92, ""))</f>
        <v>0.15555555555555556</v>
      </c>
      <c r="EX181" s="36" t="str">
        <f t="shared" si="87"/>
        <v>Yes</v>
      </c>
      <c r="EY181" s="40">
        <f>COUNTIF($EX$2:$EX$92, EX181)/(COUNTIF($EX$2:$EX$92, "&lt;&gt;""") - COUNTIF($EX$2:$EX$92, ""))</f>
        <v>0.27777777777777779</v>
      </c>
      <c r="EZ181" s="36" t="str">
        <f t="shared" ref="EZ181:FB181" si="314">BM181</f>
        <v>Yes</v>
      </c>
      <c r="FA181" s="36" t="str">
        <f t="shared" si="314"/>
        <v>Yes</v>
      </c>
      <c r="FB181" s="36" t="str">
        <f t="shared" si="314"/>
        <v>No</v>
      </c>
      <c r="FC181" s="207"/>
      <c r="FD181" s="36" t="str">
        <f t="shared" si="89"/>
        <v>Transactional</v>
      </c>
      <c r="FE181" s="40">
        <f>COUNTIF($FD$2:$FD$92, FD181)/(COUNTIF($FD$2:$FD$92, "&lt;&gt;""") - COUNTIF($FD$2:$FD$92, ""))</f>
        <v>0.6</v>
      </c>
      <c r="FF181" s="36" t="str">
        <f t="shared" si="90"/>
        <v>B2B/B2C</v>
      </c>
      <c r="FG181" s="40">
        <f>COUNTIF($FF$2:$FF$92, FF181)/(COUNTIF($FF$2:$FF$92, "&lt;&gt;""") - COUNTIF($FF$2:$FF$92, ""))</f>
        <v>0.27777777777777779</v>
      </c>
      <c r="FH181" s="36" t="str">
        <f t="shared" si="91"/>
        <v>Low</v>
      </c>
      <c r="FI181" s="40">
        <f>COUNTIF($FH$2:$FH$92, FH181)/(COUNTIF($FH$2:$FH$92, "&lt;&gt;""") - COUNTIF($FH$2:$FH$92, ""))</f>
        <v>0.46666666666666667</v>
      </c>
      <c r="FJ181" s="36" t="str">
        <f t="shared" si="92"/>
        <v>Low</v>
      </c>
      <c r="FK181" s="40">
        <f>COUNTIF($FJ$2:$FJ$92, FJ181)/(COUNTIF($FJ$2:$FJ$92, "&lt;&gt;""") - COUNTIF($FJ$2:$FJ$92, ""))</f>
        <v>0.41111111111111109</v>
      </c>
      <c r="FL181" s="207"/>
      <c r="FM181" s="192">
        <f t="shared" si="93"/>
        <v>5</v>
      </c>
      <c r="FN181" s="192" t="e">
        <f t="shared" ca="1" si="94"/>
        <v>#NAME?</v>
      </c>
      <c r="FO181" s="192" t="e">
        <f t="shared" ca="1" si="95"/>
        <v>#NAME?</v>
      </c>
      <c r="FP181" s="192" t="e">
        <f t="shared" ca="1" si="96"/>
        <v>#NAME?</v>
      </c>
      <c r="FQ181" s="209" t="e">
        <f t="shared" ca="1" si="97"/>
        <v>#NAME?</v>
      </c>
      <c r="FR181" s="208" t="e">
        <f t="shared" ca="1" si="272"/>
        <v>#NAME?</v>
      </c>
      <c r="FS181" s="36" t="str">
        <f t="shared" si="99"/>
        <v>Pre-Profit</v>
      </c>
      <c r="FT181" s="196">
        <f>COUNTIF($FS$2:$FS$92, FS181)/(COUNTIF($FS$2:$FS$92, "&lt;&gt;""") - COUNTIF($FZ$2:$FZ$92, ""))</f>
        <v>0.51111111111111107</v>
      </c>
      <c r="FU181" s="207"/>
      <c r="FV181" s="192" t="e">
        <f t="shared" ca="1" si="100"/>
        <v>#NAME?</v>
      </c>
      <c r="FW181" s="197" t="e">
        <f t="shared" ca="1" si="101"/>
        <v>#NAME?</v>
      </c>
      <c r="FX181" s="209" t="e">
        <f t="shared" ca="1" si="102"/>
        <v>#NAME?</v>
      </c>
      <c r="FY181" s="211" t="e">
        <f t="shared" ca="1" si="273"/>
        <v>#NAME?</v>
      </c>
      <c r="FZ181" s="36" t="str">
        <f t="shared" si="104"/>
        <v>No</v>
      </c>
      <c r="GA181" s="196">
        <f>COUNTIF($FZ$2:$FZ$92, FZ181)/(COUNTIF($FZ$2:$FZ$92, "&lt;&gt;""") - COUNTIF($FZ$2:$FZ$92, ""))</f>
        <v>0.76666666666666672</v>
      </c>
      <c r="GB181" s="196">
        <f t="shared" si="105"/>
        <v>0</v>
      </c>
      <c r="GC181" s="196">
        <f>COUNTIF($GB$2:$GB$92, GB181)/(COUNTIF($GB$2:$GB$92, "&lt;&gt;""") - COUNTIF($GB$2:$GB$92, ""))</f>
        <v>1.1111111111111112E-2</v>
      </c>
      <c r="GD181" s="196">
        <f t="shared" si="106"/>
        <v>0</v>
      </c>
      <c r="GE181" s="196">
        <f>COUNTIF($GD$2:$GD$92, GD181)/(COUNTIF($GD$2:$GD$92, "&lt;&gt;""") - COUNTIF($GD$2:$GD$92, ""))</f>
        <v>1.1111111111111112E-2</v>
      </c>
      <c r="GF181" s="207"/>
      <c r="GG181" s="36"/>
      <c r="GH181" s="209" t="e">
        <f t="shared" ca="1" si="107"/>
        <v>#NAME?</v>
      </c>
      <c r="GI181" s="212" t="e">
        <f t="shared" ca="1" si="274"/>
        <v>#NAME?</v>
      </c>
    </row>
    <row r="182" spans="1:191" ht="15.75" customHeight="1">
      <c r="A182" s="171"/>
      <c r="B182" s="171" t="s">
        <v>501</v>
      </c>
      <c r="C182" s="16">
        <v>1785581</v>
      </c>
      <c r="D182" s="233" t="s">
        <v>1472</v>
      </c>
      <c r="E182" s="234">
        <v>43754.418055555558</v>
      </c>
      <c r="F182" s="16" t="s">
        <v>337</v>
      </c>
      <c r="G182" s="235" t="s">
        <v>1473</v>
      </c>
      <c r="H182" s="235" t="s">
        <v>1474</v>
      </c>
      <c r="I182" s="241">
        <v>43903</v>
      </c>
      <c r="J182" s="233" t="s">
        <v>1475</v>
      </c>
      <c r="K182" s="233" t="s">
        <v>1472</v>
      </c>
      <c r="M182" s="239" t="s">
        <v>28</v>
      </c>
      <c r="N182" s="16" t="s">
        <v>168</v>
      </c>
      <c r="O182" s="16" t="s">
        <v>30</v>
      </c>
      <c r="P182" s="16" t="s">
        <v>174</v>
      </c>
      <c r="Q182" s="16" t="s">
        <v>35</v>
      </c>
      <c r="S182" s="16" t="s">
        <v>216</v>
      </c>
      <c r="T182" s="237"/>
      <c r="U182" s="213"/>
      <c r="V182" s="54">
        <v>7504410</v>
      </c>
      <c r="W182" s="54"/>
      <c r="X182" s="226"/>
      <c r="Y182" s="55" t="str">
        <f t="shared" si="158"/>
        <v/>
      </c>
      <c r="Z182" s="274">
        <f t="shared" si="159"/>
        <v>7504410</v>
      </c>
      <c r="AA182" s="183" t="e">
        <f t="shared" ca="1" si="160"/>
        <v>#NAME?</v>
      </c>
      <c r="AB182" s="16" t="s">
        <v>36</v>
      </c>
      <c r="AC182" s="16" t="s">
        <v>218</v>
      </c>
      <c r="AD182" s="16" t="s">
        <v>38</v>
      </c>
      <c r="AE182" s="16" t="s">
        <v>227</v>
      </c>
      <c r="AF182" s="16" t="s">
        <v>181</v>
      </c>
      <c r="AG182" s="16" t="s">
        <v>181</v>
      </c>
      <c r="AH182" s="16" t="s">
        <v>190</v>
      </c>
      <c r="AI182" s="54"/>
      <c r="AJ182" s="278">
        <v>114200000000</v>
      </c>
      <c r="AK182" s="224" t="e">
        <f t="shared" ca="1" si="161"/>
        <v>#NAME?</v>
      </c>
      <c r="AL182" s="278">
        <v>27600000000</v>
      </c>
      <c r="AM182" s="224" t="e">
        <f t="shared" ca="1" si="162"/>
        <v>#NAME?</v>
      </c>
      <c r="AN182" s="278">
        <v>0.04</v>
      </c>
      <c r="AO182" s="185" t="e">
        <f t="shared" ca="1" si="63"/>
        <v>#NAME?</v>
      </c>
      <c r="AP182" s="185" t="s">
        <v>264</v>
      </c>
      <c r="AQ182" s="16" t="s">
        <v>181</v>
      </c>
      <c r="AR182" s="16" t="s">
        <v>181</v>
      </c>
      <c r="AS182" s="16" t="s">
        <v>42</v>
      </c>
      <c r="AT182" s="159"/>
      <c r="AU182" s="159"/>
      <c r="AV182" s="16" t="s">
        <v>190</v>
      </c>
      <c r="AW182" s="16" t="s">
        <v>190</v>
      </c>
      <c r="AX182" s="16" t="s">
        <v>190</v>
      </c>
      <c r="AY182" s="16" t="s">
        <v>190</v>
      </c>
      <c r="AZ182" s="54">
        <v>0</v>
      </c>
      <c r="BA182" s="55" t="e">
        <f t="shared" ca="1" si="163"/>
        <v>#NAME?</v>
      </c>
      <c r="BB182" s="278">
        <v>1689</v>
      </c>
      <c r="BC182" s="278">
        <v>54238</v>
      </c>
      <c r="BD182" s="62" t="e">
        <f t="shared" ca="1" si="164"/>
        <v>#NAME?</v>
      </c>
      <c r="BE182" s="277">
        <f t="shared" si="165"/>
        <v>3.1140528780559756E-2</v>
      </c>
      <c r="BF182" s="62" t="e">
        <f t="shared" ca="1" si="166"/>
        <v>#NAME?</v>
      </c>
      <c r="BG182" s="16" t="s">
        <v>183</v>
      </c>
      <c r="BI182" s="16" t="s">
        <v>190</v>
      </c>
      <c r="BJ182" s="16">
        <v>0</v>
      </c>
      <c r="BK182" s="278">
        <v>1</v>
      </c>
      <c r="BL182" s="16" t="s">
        <v>190</v>
      </c>
      <c r="BM182" s="16" t="s">
        <v>190</v>
      </c>
      <c r="BN182" s="16" t="s">
        <v>190</v>
      </c>
      <c r="BO182" s="16" t="s">
        <v>190</v>
      </c>
      <c r="BP182" s="16">
        <v>1</v>
      </c>
      <c r="BQ182" s="16">
        <v>2</v>
      </c>
      <c r="BR182" s="16">
        <v>1</v>
      </c>
      <c r="BS182" s="16">
        <v>0</v>
      </c>
      <c r="BT182" s="205"/>
      <c r="BU182" s="16">
        <v>0</v>
      </c>
      <c r="BV182" s="16">
        <v>0</v>
      </c>
      <c r="BW182" s="16">
        <v>45</v>
      </c>
      <c r="BX182" s="16" t="s">
        <v>190</v>
      </c>
      <c r="BY182" s="205"/>
      <c r="CD182" s="205"/>
      <c r="CI182" s="205"/>
      <c r="CN182" s="205"/>
      <c r="CS182" s="205"/>
      <c r="CX182" s="205"/>
      <c r="DC182" s="205"/>
      <c r="DH182" s="205"/>
      <c r="DM182" s="205"/>
      <c r="DN182" s="205"/>
      <c r="DO182" s="205"/>
      <c r="DQ182" s="206"/>
      <c r="DR182" s="188">
        <f t="shared" si="64"/>
        <v>0</v>
      </c>
      <c r="DS182" s="188"/>
      <c r="DT182" s="189">
        <f t="shared" si="65"/>
        <v>0</v>
      </c>
      <c r="DU182" s="189"/>
      <c r="DV182" s="188">
        <f t="shared" si="66"/>
        <v>45</v>
      </c>
      <c r="DW182" s="183" t="e">
        <f t="shared" ca="1" si="67"/>
        <v>#NAME?</v>
      </c>
      <c r="DX182" s="207"/>
      <c r="DY182" s="190" t="e">
        <f t="shared" ca="1" si="68"/>
        <v>#NAME?</v>
      </c>
      <c r="DZ182" s="191" t="str">
        <f t="shared" si="264"/>
        <v/>
      </c>
      <c r="EA182" s="191" t="str">
        <f t="shared" si="265"/>
        <v/>
      </c>
      <c r="EB182" s="191" t="str">
        <f t="shared" si="266"/>
        <v/>
      </c>
      <c r="EC182" s="208" t="e">
        <f t="shared" ca="1" si="72"/>
        <v>#NAME?</v>
      </c>
      <c r="ED182" s="36" t="str">
        <f t="shared" si="73"/>
        <v>Equity - Common</v>
      </c>
      <c r="EE182" s="193">
        <f>COUNTIF($ED$2:$ED$92, ED182)/(COUNTIF($ED$2:$ED$92, "&lt;&gt;""") - COUNTIF($ED$2:$ED$92, ""))</f>
        <v>0.32222222222222224</v>
      </c>
      <c r="EF182" s="36" t="str">
        <f t="shared" si="74"/>
        <v>Early</v>
      </c>
      <c r="EG182" s="207"/>
      <c r="EH182" s="194" t="e">
        <f t="shared" ca="1" si="75"/>
        <v>#NAME?</v>
      </c>
      <c r="EI182" s="194" t="e">
        <f t="shared" ca="1" si="76"/>
        <v>#NAME?</v>
      </c>
      <c r="EJ182" s="209" t="e">
        <f t="shared" ca="1" si="77"/>
        <v>#NAME?</v>
      </c>
      <c r="EK182" s="208" t="e">
        <f t="shared" ca="1" si="267"/>
        <v>#NAME?</v>
      </c>
      <c r="EL182" s="36" t="str">
        <f t="shared" si="79"/>
        <v>No</v>
      </c>
      <c r="EM182" s="207"/>
      <c r="EN182" s="192">
        <f t="shared" si="268"/>
        <v>1</v>
      </c>
      <c r="EO182" s="192">
        <f t="shared" si="269"/>
        <v>1</v>
      </c>
      <c r="EP182" s="209">
        <f t="shared" si="82"/>
        <v>2</v>
      </c>
      <c r="EQ182" s="210">
        <f t="shared" si="270"/>
        <v>1</v>
      </c>
      <c r="ER182" s="36" t="e">
        <f t="shared" ca="1" si="84"/>
        <v>#NAME?</v>
      </c>
      <c r="ES182" s="40">
        <f ca="1">COUNTIF($ER$2:$ER$92, ER182)/(COUNTIF($ER$2:$ER$92, "&lt;&gt;""") - COUNTIF($ER$2:$ER$92, ""))</f>
        <v>1</v>
      </c>
      <c r="ET182" s="36">
        <f t="shared" si="85"/>
        <v>1</v>
      </c>
      <c r="EU182" s="40">
        <f>COUNTIF($ET$2:$ET$92, ET182)/(COUNTIF($ET$2:$ET$92, "&lt;&gt;""") - COUNTIF($ET$2:$ET$92, ""))</f>
        <v>0.45555555555555555</v>
      </c>
      <c r="EV182" s="36">
        <f t="shared" si="86"/>
        <v>2</v>
      </c>
      <c r="EW182" s="40">
        <f>COUNTIF($EV$2:$EV$92, EV182)/(COUNTIF($EV$2:$EV$92, "&lt;&gt;""") - COUNTIF($EV$2:$EV$92, ""))</f>
        <v>0.15555555555555556</v>
      </c>
      <c r="EX182" s="36" t="str">
        <f t="shared" si="87"/>
        <v>No</v>
      </c>
      <c r="EY182" s="40">
        <f>COUNTIF($EX$2:$EX$92, EX182)/(COUNTIF($EX$2:$EX$92, "&lt;&gt;""") - COUNTIF($EX$2:$EX$92, ""))</f>
        <v>0.72222222222222221</v>
      </c>
      <c r="EZ182" s="36" t="str">
        <f t="shared" ref="EZ182:FB182" si="315">BM182</f>
        <v>No</v>
      </c>
      <c r="FA182" s="36" t="str">
        <f t="shared" si="315"/>
        <v>No</v>
      </c>
      <c r="FB182" s="36" t="str">
        <f t="shared" si="315"/>
        <v>No</v>
      </c>
      <c r="FC182" s="207"/>
      <c r="FD182" s="36" t="str">
        <f t="shared" si="89"/>
        <v>Transactional</v>
      </c>
      <c r="FE182" s="40">
        <f>COUNTIF($FD$2:$FD$92, FD182)/(COUNTIF($FD$2:$FD$92, "&lt;&gt;""") - COUNTIF($FD$2:$FD$92, ""))</f>
        <v>0.6</v>
      </c>
      <c r="FF182" s="36" t="str">
        <f t="shared" si="90"/>
        <v>B2B/B2C</v>
      </c>
      <c r="FG182" s="40">
        <f>COUNTIF($FF$2:$FF$92, FF182)/(COUNTIF($FF$2:$FF$92, "&lt;&gt;""") - COUNTIF($FF$2:$FF$92, ""))</f>
        <v>0.27777777777777779</v>
      </c>
      <c r="FH182" s="36" t="str">
        <f t="shared" si="91"/>
        <v>Low</v>
      </c>
      <c r="FI182" s="40">
        <f>COUNTIF($FH$2:$FH$92, FH182)/(COUNTIF($FH$2:$FH$92, "&lt;&gt;""") - COUNTIF($FH$2:$FH$92, ""))</f>
        <v>0.46666666666666667</v>
      </c>
      <c r="FJ182" s="36" t="str">
        <f t="shared" si="92"/>
        <v>Low</v>
      </c>
      <c r="FK182" s="40">
        <f>COUNTIF($FJ$2:$FJ$92, FJ182)/(COUNTIF($FJ$2:$FJ$92, "&lt;&gt;""") - COUNTIF($FJ$2:$FJ$92, ""))</f>
        <v>0.41111111111111109</v>
      </c>
      <c r="FL182" s="207"/>
      <c r="FM182" s="192">
        <f t="shared" si="93"/>
        <v>1</v>
      </c>
      <c r="FN182" s="192" t="e">
        <f t="shared" ca="1" si="94"/>
        <v>#NAME?</v>
      </c>
      <c r="FO182" s="192" t="e">
        <f t="shared" ca="1" si="95"/>
        <v>#NAME?</v>
      </c>
      <c r="FP182" s="192" t="e">
        <f t="shared" ca="1" si="96"/>
        <v>#NAME?</v>
      </c>
      <c r="FQ182" s="209" t="e">
        <f t="shared" ca="1" si="97"/>
        <v>#NAME?</v>
      </c>
      <c r="FR182" s="208" t="e">
        <f t="shared" ca="1" si="272"/>
        <v>#NAME?</v>
      </c>
      <c r="FS182" s="36" t="str">
        <f t="shared" si="99"/>
        <v>Pre-Revenue</v>
      </c>
      <c r="FT182" s="196">
        <f>COUNTIF($FS$2:$FS$92, FS182)/(COUNTIF($FS$2:$FS$92, "&lt;&gt;""") - COUNTIF($FZ$2:$FZ$92, ""))</f>
        <v>0.2</v>
      </c>
      <c r="FU182" s="207"/>
      <c r="FV182" s="192" t="e">
        <f t="shared" ca="1" si="100"/>
        <v>#NAME?</v>
      </c>
      <c r="FW182" s="197" t="e">
        <f t="shared" ca="1" si="101"/>
        <v>#NAME?</v>
      </c>
      <c r="FX182" s="209" t="e">
        <f t="shared" ca="1" si="102"/>
        <v>#NAME?</v>
      </c>
      <c r="FY182" s="211" t="e">
        <f t="shared" ca="1" si="273"/>
        <v>#NAME?</v>
      </c>
      <c r="FZ182" s="36" t="str">
        <f t="shared" si="104"/>
        <v>No</v>
      </c>
      <c r="GA182" s="196">
        <f>COUNTIF($FZ$2:$FZ$92, FZ182)/(COUNTIF($FZ$2:$FZ$92, "&lt;&gt;""") - COUNTIF($FZ$2:$FZ$92, ""))</f>
        <v>0.76666666666666672</v>
      </c>
      <c r="GB182" s="196">
        <f t="shared" si="105"/>
        <v>0</v>
      </c>
      <c r="GC182" s="196">
        <f>COUNTIF($GB$2:$GB$92, GB182)/(COUNTIF($GB$2:$GB$92, "&lt;&gt;""") - COUNTIF($GB$2:$GB$92, ""))</f>
        <v>1.1111111111111112E-2</v>
      </c>
      <c r="GD182" s="196">
        <f t="shared" si="106"/>
        <v>0</v>
      </c>
      <c r="GE182" s="196">
        <f>COUNTIF($GD$2:$GD$92, GD182)/(COUNTIF($GD$2:$GD$92, "&lt;&gt;""") - COUNTIF($GD$2:$GD$92, ""))</f>
        <v>1.1111111111111112E-2</v>
      </c>
      <c r="GF182" s="207"/>
      <c r="GG182" s="36"/>
      <c r="GH182" s="209" t="e">
        <f t="shared" ca="1" si="107"/>
        <v>#NAME?</v>
      </c>
      <c r="GI182" s="212" t="e">
        <f t="shared" ca="1" si="274"/>
        <v>#NAME?</v>
      </c>
    </row>
    <row r="183" spans="1:191" ht="15.75" customHeight="1">
      <c r="A183" s="171"/>
      <c r="B183" s="171" t="s">
        <v>501</v>
      </c>
      <c r="C183" s="16">
        <v>1785581</v>
      </c>
      <c r="D183" s="233" t="s">
        <v>1476</v>
      </c>
      <c r="E183" s="234">
        <v>43754.42083333333</v>
      </c>
      <c r="F183" s="16" t="s">
        <v>337</v>
      </c>
      <c r="G183" s="235" t="s">
        <v>1477</v>
      </c>
      <c r="H183" s="235" t="s">
        <v>1478</v>
      </c>
      <c r="I183" s="241">
        <v>43840</v>
      </c>
      <c r="J183" s="233" t="s">
        <v>1479</v>
      </c>
      <c r="K183" s="233" t="s">
        <v>1476</v>
      </c>
      <c r="M183" s="35" t="s">
        <v>293</v>
      </c>
      <c r="N183" s="16" t="s">
        <v>287</v>
      </c>
      <c r="O183" s="16" t="s">
        <v>173</v>
      </c>
      <c r="P183" s="16" t="s">
        <v>197</v>
      </c>
      <c r="Q183" s="16" t="s">
        <v>35</v>
      </c>
      <c r="S183" s="16" t="s">
        <v>216</v>
      </c>
      <c r="T183" s="237"/>
      <c r="U183" s="213"/>
      <c r="V183" s="54">
        <v>14029817</v>
      </c>
      <c r="W183" s="54"/>
      <c r="X183" s="226"/>
      <c r="Y183" s="55" t="str">
        <f t="shared" si="158"/>
        <v/>
      </c>
      <c r="Z183" s="274">
        <f t="shared" si="159"/>
        <v>14029817</v>
      </c>
      <c r="AA183" s="183" t="e">
        <f t="shared" ca="1" si="160"/>
        <v>#NAME?</v>
      </c>
      <c r="AB183" s="16" t="s">
        <v>36</v>
      </c>
      <c r="AC183" s="16" t="s">
        <v>218</v>
      </c>
      <c r="AD183" s="16" t="s">
        <v>38</v>
      </c>
      <c r="AE183" s="16" t="s">
        <v>227</v>
      </c>
      <c r="AF183" s="16" t="s">
        <v>181</v>
      </c>
      <c r="AG183" s="16" t="s">
        <v>181</v>
      </c>
      <c r="AH183" s="16" t="s">
        <v>190</v>
      </c>
      <c r="AI183" s="54"/>
      <c r="AJ183" s="278">
        <v>46460000000</v>
      </c>
      <c r="AK183" s="224" t="e">
        <f t="shared" ca="1" si="161"/>
        <v>#NAME?</v>
      </c>
      <c r="AL183" s="278">
        <v>46460000000</v>
      </c>
      <c r="AM183" s="224" t="e">
        <f t="shared" ca="1" si="162"/>
        <v>#NAME?</v>
      </c>
      <c r="AN183" s="278">
        <v>0.08</v>
      </c>
      <c r="AO183" s="185" t="e">
        <f t="shared" ca="1" si="63"/>
        <v>#NAME?</v>
      </c>
      <c r="AP183" s="185" t="s">
        <v>192</v>
      </c>
      <c r="AQ183" s="16" t="s">
        <v>39</v>
      </c>
      <c r="AR183" s="16" t="s">
        <v>181</v>
      </c>
      <c r="AS183" s="16" t="s">
        <v>182</v>
      </c>
      <c r="AT183" s="159"/>
      <c r="AU183" s="159"/>
      <c r="AV183" s="16" t="s">
        <v>227</v>
      </c>
      <c r="AW183" s="16" t="s">
        <v>227</v>
      </c>
      <c r="AX183" s="16" t="s">
        <v>227</v>
      </c>
      <c r="AY183" s="16" t="s">
        <v>227</v>
      </c>
      <c r="AZ183" s="54">
        <v>1565135</v>
      </c>
      <c r="BA183" s="55" t="e">
        <f t="shared" ca="1" si="163"/>
        <v>#NAME?</v>
      </c>
      <c r="BB183" s="278">
        <v>34126</v>
      </c>
      <c r="BC183" s="278">
        <v>565000</v>
      </c>
      <c r="BD183" s="62" t="e">
        <f t="shared" ca="1" si="164"/>
        <v>#NAME?</v>
      </c>
      <c r="BE183" s="277">
        <f t="shared" si="165"/>
        <v>6.0400000000000002E-2</v>
      </c>
      <c r="BF183" s="62" t="e">
        <f t="shared" ca="1" si="166"/>
        <v>#NAME?</v>
      </c>
      <c r="BG183" s="16" t="s">
        <v>202</v>
      </c>
      <c r="BI183" s="16" t="s">
        <v>227</v>
      </c>
      <c r="BJ183" s="16">
        <v>7</v>
      </c>
      <c r="BK183" s="278">
        <v>1</v>
      </c>
      <c r="BL183" s="16" t="s">
        <v>227</v>
      </c>
      <c r="BM183" s="16" t="s">
        <v>190</v>
      </c>
      <c r="BN183" s="16" t="s">
        <v>190</v>
      </c>
      <c r="BO183" s="16" t="s">
        <v>190</v>
      </c>
      <c r="BP183" s="16">
        <v>2</v>
      </c>
      <c r="BQ183" s="16">
        <v>11</v>
      </c>
      <c r="BR183" s="16">
        <v>1</v>
      </c>
      <c r="BS183" s="16">
        <v>0</v>
      </c>
      <c r="BT183" s="205"/>
      <c r="BU183" s="16">
        <v>13</v>
      </c>
      <c r="BV183" s="16">
        <v>1</v>
      </c>
      <c r="BW183" s="16">
        <v>42</v>
      </c>
      <c r="BX183" s="16" t="s">
        <v>190</v>
      </c>
      <c r="BY183" s="205"/>
      <c r="CD183" s="205"/>
      <c r="CI183" s="205"/>
      <c r="CN183" s="205"/>
      <c r="CS183" s="205"/>
      <c r="CX183" s="205"/>
      <c r="DC183" s="205"/>
      <c r="DH183" s="205"/>
      <c r="DM183" s="205"/>
      <c r="DN183" s="205"/>
      <c r="DO183" s="205"/>
      <c r="DQ183" s="206"/>
      <c r="DR183" s="188">
        <f t="shared" si="64"/>
        <v>13</v>
      </c>
      <c r="DS183" s="188"/>
      <c r="DT183" s="189">
        <f t="shared" si="65"/>
        <v>1</v>
      </c>
      <c r="DU183" s="189"/>
      <c r="DV183" s="188">
        <f t="shared" si="66"/>
        <v>42</v>
      </c>
      <c r="DW183" s="183" t="e">
        <f t="shared" ca="1" si="67"/>
        <v>#NAME?</v>
      </c>
      <c r="DX183" s="207"/>
      <c r="DY183" s="190" t="e">
        <f t="shared" ca="1" si="68"/>
        <v>#NAME?</v>
      </c>
      <c r="DZ183" s="191" t="str">
        <f t="shared" si="264"/>
        <v/>
      </c>
      <c r="EA183" s="191" t="str">
        <f t="shared" si="265"/>
        <v/>
      </c>
      <c r="EB183" s="191" t="str">
        <f t="shared" si="266"/>
        <v/>
      </c>
      <c r="EC183" s="208" t="e">
        <f t="shared" ca="1" si="72"/>
        <v>#NAME?</v>
      </c>
      <c r="ED183" s="36" t="str">
        <f t="shared" si="73"/>
        <v>Equity - Common</v>
      </c>
      <c r="EE183" s="193">
        <f>COUNTIF($ED$2:$ED$92, ED183)/(COUNTIF($ED$2:$ED$92, "&lt;&gt;""") - COUNTIF($ED$2:$ED$92, ""))</f>
        <v>0.32222222222222224</v>
      </c>
      <c r="EF183" s="36" t="str">
        <f t="shared" si="74"/>
        <v>Growth</v>
      </c>
      <c r="EG183" s="207"/>
      <c r="EH183" s="194" t="e">
        <f t="shared" ca="1" si="75"/>
        <v>#NAME?</v>
      </c>
      <c r="EI183" s="194" t="e">
        <f t="shared" ca="1" si="76"/>
        <v>#NAME?</v>
      </c>
      <c r="EJ183" s="209" t="e">
        <f t="shared" ca="1" si="77"/>
        <v>#NAME?</v>
      </c>
      <c r="EK183" s="208" t="e">
        <f t="shared" ca="1" si="267"/>
        <v>#NAME?</v>
      </c>
      <c r="EL183" s="36" t="str">
        <f t="shared" si="79"/>
        <v>Yes</v>
      </c>
      <c r="EM183" s="207"/>
      <c r="EN183" s="192">
        <f t="shared" si="268"/>
        <v>2.2380952380952381</v>
      </c>
      <c r="EO183" s="192">
        <f t="shared" si="269"/>
        <v>2</v>
      </c>
      <c r="EP183" s="209">
        <f t="shared" si="82"/>
        <v>4.2380952380952381</v>
      </c>
      <c r="EQ183" s="210">
        <f t="shared" si="270"/>
        <v>2.7570093457943927</v>
      </c>
      <c r="ER183" s="36" t="e">
        <f t="shared" ca="1" si="84"/>
        <v>#NAME?</v>
      </c>
      <c r="ES183" s="40">
        <f ca="1">COUNTIF($ER$2:$ER$92, ER183)/(COUNTIF($ER$2:$ER$92, "&lt;&gt;""") - COUNTIF($ER$2:$ER$92, ""))</f>
        <v>1</v>
      </c>
      <c r="ET183" s="36">
        <f t="shared" si="85"/>
        <v>1</v>
      </c>
      <c r="EU183" s="40">
        <f>COUNTIF($ET$2:$ET$92, ET183)/(COUNTIF($ET$2:$ET$92, "&lt;&gt;""") - COUNTIF($ET$2:$ET$92, ""))</f>
        <v>0.45555555555555555</v>
      </c>
      <c r="EV183" s="36">
        <f t="shared" si="86"/>
        <v>11</v>
      </c>
      <c r="EW183" s="40">
        <f>COUNTIF($EV$2:$EV$92, EV183)/(COUNTIF($EV$2:$EV$92, "&lt;&gt;""") - COUNTIF($EV$2:$EV$92, ""))</f>
        <v>3.3333333333333333E-2</v>
      </c>
      <c r="EX183" s="36" t="str">
        <f t="shared" si="87"/>
        <v>Yes</v>
      </c>
      <c r="EY183" s="40">
        <f>COUNTIF($EX$2:$EX$92, EX183)/(COUNTIF($EX$2:$EX$92, "&lt;&gt;""") - COUNTIF($EX$2:$EX$92, ""))</f>
        <v>0.27777777777777779</v>
      </c>
      <c r="EZ183" s="36" t="str">
        <f t="shared" ref="EZ183:FB183" si="316">BM183</f>
        <v>No</v>
      </c>
      <c r="FA183" s="36" t="str">
        <f t="shared" si="316"/>
        <v>No</v>
      </c>
      <c r="FB183" s="36" t="str">
        <f t="shared" si="316"/>
        <v>No</v>
      </c>
      <c r="FC183" s="207"/>
      <c r="FD183" s="36" t="str">
        <f t="shared" si="89"/>
        <v>Transactional</v>
      </c>
      <c r="FE183" s="40">
        <f>COUNTIF($FD$2:$FD$92, FD183)/(COUNTIF($FD$2:$FD$92, "&lt;&gt;""") - COUNTIF($FD$2:$FD$92, ""))</f>
        <v>0.6</v>
      </c>
      <c r="FF183" s="36" t="str">
        <f t="shared" si="90"/>
        <v>B2B/B2C</v>
      </c>
      <c r="FG183" s="40">
        <f>COUNTIF($FF$2:$FF$92, FF183)/(COUNTIF($FF$2:$FF$92, "&lt;&gt;""") - COUNTIF($FF$2:$FF$92, ""))</f>
        <v>0.27777777777777779</v>
      </c>
      <c r="FH183" s="36" t="str">
        <f t="shared" si="91"/>
        <v>Low</v>
      </c>
      <c r="FI183" s="40">
        <f>COUNTIF($FH$2:$FH$92, FH183)/(COUNTIF($FH$2:$FH$92, "&lt;&gt;""") - COUNTIF($FH$2:$FH$92, ""))</f>
        <v>0.46666666666666667</v>
      </c>
      <c r="FJ183" s="36" t="str">
        <f t="shared" si="92"/>
        <v>Low</v>
      </c>
      <c r="FK183" s="40">
        <f>COUNTIF($FJ$2:$FJ$92, FJ183)/(COUNTIF($FJ$2:$FJ$92, "&lt;&gt;""") - COUNTIF($FJ$2:$FJ$92, ""))</f>
        <v>0.41111111111111109</v>
      </c>
      <c r="FL183" s="207"/>
      <c r="FM183" s="192">
        <f t="shared" si="93"/>
        <v>5</v>
      </c>
      <c r="FN183" s="192" t="e">
        <f t="shared" ca="1" si="94"/>
        <v>#NAME?</v>
      </c>
      <c r="FO183" s="192" t="e">
        <f t="shared" ca="1" si="95"/>
        <v>#NAME?</v>
      </c>
      <c r="FP183" s="192" t="e">
        <f t="shared" ca="1" si="96"/>
        <v>#NAME?</v>
      </c>
      <c r="FQ183" s="209" t="e">
        <f t="shared" ca="1" si="97"/>
        <v>#NAME?</v>
      </c>
      <c r="FR183" s="208" t="e">
        <f t="shared" ca="1" si="272"/>
        <v>#NAME?</v>
      </c>
      <c r="FS183" s="36" t="str">
        <f t="shared" si="99"/>
        <v>Pre-Profit</v>
      </c>
      <c r="FT183" s="196">
        <f>COUNTIF($FS$2:$FS$92, FS183)/(COUNTIF($FS$2:$FS$92, "&lt;&gt;""") - COUNTIF($FZ$2:$FZ$92, ""))</f>
        <v>0.51111111111111107</v>
      </c>
      <c r="FU183" s="207"/>
      <c r="FV183" s="192">
        <f t="shared" si="100"/>
        <v>3</v>
      </c>
      <c r="FW183" s="197" t="e">
        <f t="shared" ca="1" si="101"/>
        <v>#NAME?</v>
      </c>
      <c r="FX183" s="209" t="e">
        <f t="shared" ca="1" si="102"/>
        <v>#NAME?</v>
      </c>
      <c r="FY183" s="211" t="e">
        <f t="shared" ca="1" si="273"/>
        <v>#NAME?</v>
      </c>
      <c r="FZ183" s="36" t="str">
        <f t="shared" si="104"/>
        <v>Yes</v>
      </c>
      <c r="GA183" s="196">
        <f>COUNTIF($FZ$2:$FZ$92, FZ183)/(COUNTIF($FZ$2:$FZ$92, "&lt;&gt;""") - COUNTIF($FZ$2:$FZ$92, ""))</f>
        <v>0.23333333333333334</v>
      </c>
      <c r="GB183" s="196">
        <f t="shared" si="105"/>
        <v>0</v>
      </c>
      <c r="GC183" s="196">
        <f>COUNTIF($GB$2:$GB$92, GB183)/(COUNTIF($GB$2:$GB$92, "&lt;&gt;""") - COUNTIF($GB$2:$GB$92, ""))</f>
        <v>1.1111111111111112E-2</v>
      </c>
      <c r="GD183" s="196">
        <f t="shared" si="106"/>
        <v>0</v>
      </c>
      <c r="GE183" s="196">
        <f>COUNTIF($GD$2:$GD$92, GD183)/(COUNTIF($GD$2:$GD$92, "&lt;&gt;""") - COUNTIF($GD$2:$GD$92, ""))</f>
        <v>1.1111111111111112E-2</v>
      </c>
      <c r="GF183" s="207"/>
      <c r="GG183" s="36"/>
      <c r="GH183" s="209" t="e">
        <f t="shared" ca="1" si="107"/>
        <v>#NAME?</v>
      </c>
      <c r="GI183" s="212" t="e">
        <f t="shared" ca="1" si="274"/>
        <v>#NAME?</v>
      </c>
    </row>
    <row r="184" spans="1:191" ht="15.75" customHeight="1">
      <c r="A184" s="171"/>
      <c r="B184" s="171" t="s">
        <v>501</v>
      </c>
      <c r="C184" s="16">
        <v>1788657</v>
      </c>
      <c r="D184" s="233" t="s">
        <v>1480</v>
      </c>
      <c r="E184" s="234">
        <v>43755.405555555553</v>
      </c>
      <c r="F184" s="16" t="s">
        <v>341</v>
      </c>
      <c r="G184" s="235" t="s">
        <v>1481</v>
      </c>
      <c r="H184" s="235" t="s">
        <v>1482</v>
      </c>
      <c r="I184" s="241">
        <v>43846</v>
      </c>
      <c r="J184" s="233" t="s">
        <v>1483</v>
      </c>
      <c r="K184" s="233" t="s">
        <v>1480</v>
      </c>
      <c r="M184" s="16" t="s">
        <v>459</v>
      </c>
      <c r="N184" s="16" t="s">
        <v>320</v>
      </c>
      <c r="O184" s="16" t="s">
        <v>30</v>
      </c>
      <c r="P184" s="16" t="s">
        <v>174</v>
      </c>
      <c r="Q184" s="16" t="s">
        <v>35</v>
      </c>
      <c r="S184" s="16" t="s">
        <v>216</v>
      </c>
      <c r="T184" s="237"/>
      <c r="U184" s="213"/>
      <c r="V184" s="54">
        <v>2400000</v>
      </c>
      <c r="W184" s="54"/>
      <c r="X184" s="226"/>
      <c r="Y184" s="55" t="str">
        <f t="shared" si="158"/>
        <v/>
      </c>
      <c r="Z184" s="274">
        <f t="shared" si="159"/>
        <v>2400000</v>
      </c>
      <c r="AA184" s="183" t="e">
        <f t="shared" ca="1" si="160"/>
        <v>#NAME?</v>
      </c>
      <c r="AB184" s="16" t="s">
        <v>178</v>
      </c>
      <c r="AC184" s="16" t="s">
        <v>179</v>
      </c>
      <c r="AD184" s="16" t="s">
        <v>180</v>
      </c>
      <c r="AE184" s="16" t="s">
        <v>227</v>
      </c>
      <c r="AF184" s="16" t="s">
        <v>39</v>
      </c>
      <c r="AG184" s="16" t="s">
        <v>181</v>
      </c>
      <c r="AH184" s="16" t="s">
        <v>190</v>
      </c>
      <c r="AI184" s="54"/>
      <c r="AJ184" s="278">
        <v>5700000000</v>
      </c>
      <c r="AK184" s="224" t="e">
        <f t="shared" ca="1" si="161"/>
        <v>#NAME?</v>
      </c>
      <c r="AL184" s="278">
        <v>5700000000</v>
      </c>
      <c r="AM184" s="224" t="e">
        <f t="shared" ca="1" si="162"/>
        <v>#NAME?</v>
      </c>
      <c r="AN184" s="278">
        <v>0.15</v>
      </c>
      <c r="AO184" s="185" t="e">
        <f t="shared" ca="1" si="63"/>
        <v>#NAME?</v>
      </c>
      <c r="AP184" s="185" t="s">
        <v>242</v>
      </c>
      <c r="AQ184" s="16" t="s">
        <v>39</v>
      </c>
      <c r="AR184" s="16" t="s">
        <v>181</v>
      </c>
      <c r="AS184" s="16" t="s">
        <v>201</v>
      </c>
      <c r="AT184" s="159"/>
      <c r="AU184" s="159"/>
      <c r="AV184" s="16" t="s">
        <v>190</v>
      </c>
      <c r="AW184" s="16" t="s">
        <v>190</v>
      </c>
      <c r="AX184" s="16" t="s">
        <v>227</v>
      </c>
      <c r="AY184" s="16" t="s">
        <v>227</v>
      </c>
      <c r="AZ184" s="54">
        <v>635</v>
      </c>
      <c r="BA184" s="55" t="e">
        <f t="shared" ca="1" si="163"/>
        <v>#NAME?</v>
      </c>
      <c r="BB184" s="278">
        <v>407</v>
      </c>
      <c r="BC184" s="278">
        <v>10613</v>
      </c>
      <c r="BD184" s="62" t="e">
        <f t="shared" ca="1" si="164"/>
        <v>#NAME?</v>
      </c>
      <c r="BE184" s="277">
        <f t="shared" si="165"/>
        <v>3.8349194384245736E-2</v>
      </c>
      <c r="BF184" s="62" t="e">
        <f t="shared" ca="1" si="166"/>
        <v>#NAME?</v>
      </c>
      <c r="BG184" s="16" t="s">
        <v>202</v>
      </c>
      <c r="BI184" s="16" t="s">
        <v>190</v>
      </c>
      <c r="BJ184" s="16">
        <v>0</v>
      </c>
      <c r="BK184" s="278">
        <v>2</v>
      </c>
      <c r="BL184" s="16" t="s">
        <v>227</v>
      </c>
      <c r="BM184" s="16" t="s">
        <v>190</v>
      </c>
      <c r="BN184" s="16" t="s">
        <v>190</v>
      </c>
      <c r="BO184" s="16" t="s">
        <v>190</v>
      </c>
      <c r="BP184" s="16">
        <v>3</v>
      </c>
      <c r="BQ184" s="16">
        <v>1</v>
      </c>
      <c r="BR184" s="16">
        <v>4</v>
      </c>
      <c r="BS184" s="16">
        <v>0</v>
      </c>
      <c r="BT184" s="205"/>
      <c r="BU184" s="16">
        <v>6</v>
      </c>
      <c r="BV184" s="16">
        <v>0</v>
      </c>
      <c r="BW184" s="16">
        <v>34</v>
      </c>
      <c r="BX184" s="16" t="s">
        <v>190</v>
      </c>
      <c r="BY184" s="205"/>
      <c r="BZ184" s="16">
        <v>0</v>
      </c>
      <c r="CA184" s="16">
        <v>2</v>
      </c>
      <c r="CB184" s="16">
        <v>67</v>
      </c>
      <c r="CC184" s="16" t="s">
        <v>190</v>
      </c>
      <c r="CD184" s="205"/>
      <c r="CI184" s="205"/>
      <c r="CN184" s="205"/>
      <c r="CS184" s="205"/>
      <c r="CX184" s="205"/>
      <c r="DC184" s="205"/>
      <c r="DH184" s="205"/>
      <c r="DM184" s="205"/>
      <c r="DN184" s="205"/>
      <c r="DO184" s="205"/>
      <c r="DQ184" s="206"/>
      <c r="DR184" s="188">
        <f t="shared" si="64"/>
        <v>3</v>
      </c>
      <c r="DS184" s="188"/>
      <c r="DT184" s="189">
        <f t="shared" si="65"/>
        <v>2</v>
      </c>
      <c r="DU184" s="189"/>
      <c r="DV184" s="188">
        <f t="shared" si="66"/>
        <v>50.5</v>
      </c>
      <c r="DW184" s="183" t="e">
        <f t="shared" ca="1" si="67"/>
        <v>#NAME?</v>
      </c>
      <c r="DX184" s="207"/>
      <c r="DY184" s="190" t="e">
        <f t="shared" ca="1" si="68"/>
        <v>#NAME?</v>
      </c>
      <c r="DZ184" s="191" t="str">
        <f t="shared" si="264"/>
        <v/>
      </c>
      <c r="EA184" s="191" t="str">
        <f t="shared" si="265"/>
        <v/>
      </c>
      <c r="EB184" s="191" t="str">
        <f t="shared" si="266"/>
        <v/>
      </c>
      <c r="EC184" s="208" t="e">
        <f t="shared" ca="1" si="72"/>
        <v>#NAME?</v>
      </c>
      <c r="ED184" s="36" t="str">
        <f t="shared" si="73"/>
        <v>Equity - Common</v>
      </c>
      <c r="EE184" s="193">
        <f>COUNTIF($ED$2:$ED$92, ED184)/(COUNTIF($ED$2:$ED$92, "&lt;&gt;""") - COUNTIF($ED$2:$ED$92, ""))</f>
        <v>0.32222222222222224</v>
      </c>
      <c r="EF184" s="36" t="str">
        <f t="shared" si="74"/>
        <v>Early</v>
      </c>
      <c r="EG184" s="207"/>
      <c r="EH184" s="194" t="e">
        <f t="shared" ca="1" si="75"/>
        <v>#NAME?</v>
      </c>
      <c r="EI184" s="194" t="e">
        <f t="shared" ca="1" si="76"/>
        <v>#NAME?</v>
      </c>
      <c r="EJ184" s="209" t="e">
        <f t="shared" ca="1" si="77"/>
        <v>#NAME?</v>
      </c>
      <c r="EK184" s="208" t="e">
        <f t="shared" ca="1" si="267"/>
        <v>#NAME?</v>
      </c>
      <c r="EL184" s="36" t="str">
        <f t="shared" si="79"/>
        <v>No</v>
      </c>
      <c r="EM184" s="207"/>
      <c r="EN184" s="192">
        <f t="shared" si="268"/>
        <v>1.2857142857142856</v>
      </c>
      <c r="EO184" s="192">
        <f t="shared" si="269"/>
        <v>3</v>
      </c>
      <c r="EP184" s="209">
        <f t="shared" si="82"/>
        <v>4.2857142857142856</v>
      </c>
      <c r="EQ184" s="210">
        <f t="shared" si="270"/>
        <v>2.7943925233644862</v>
      </c>
      <c r="ER184" s="36" t="e">
        <f t="shared" ca="1" si="84"/>
        <v>#NAME?</v>
      </c>
      <c r="ES184" s="40">
        <f ca="1">COUNTIF($ER$2:$ER$92, ER184)/(COUNTIF($ER$2:$ER$92, "&lt;&gt;""") - COUNTIF($ER$2:$ER$92, ""))</f>
        <v>1</v>
      </c>
      <c r="ET184" s="36">
        <f t="shared" si="85"/>
        <v>2</v>
      </c>
      <c r="EU184" s="40">
        <f>COUNTIF($ET$2:$ET$92, ET184)/(COUNTIF($ET$2:$ET$92, "&lt;&gt;""") - COUNTIF($ET$2:$ET$92, ""))</f>
        <v>0.45555555555555555</v>
      </c>
      <c r="EV184" s="36">
        <f t="shared" si="86"/>
        <v>1</v>
      </c>
      <c r="EW184" s="40">
        <f>COUNTIF($EV$2:$EV$92, EV184)/(COUNTIF($EV$2:$EV$92, "&lt;&gt;""") - COUNTIF($EV$2:$EV$92, ""))</f>
        <v>7.7777777777777779E-2</v>
      </c>
      <c r="EX184" s="36" t="str">
        <f t="shared" si="87"/>
        <v>Yes</v>
      </c>
      <c r="EY184" s="40">
        <f>COUNTIF($EX$2:$EX$92, EX184)/(COUNTIF($EX$2:$EX$92, "&lt;&gt;""") - COUNTIF($EX$2:$EX$92, ""))</f>
        <v>0.27777777777777779</v>
      </c>
      <c r="EZ184" s="36" t="str">
        <f t="shared" ref="EZ184:FB184" si="317">BM184</f>
        <v>No</v>
      </c>
      <c r="FA184" s="36" t="str">
        <f t="shared" si="317"/>
        <v>No</v>
      </c>
      <c r="FB184" s="36" t="str">
        <f t="shared" si="317"/>
        <v>No</v>
      </c>
      <c r="FC184" s="207"/>
      <c r="FD184" s="36" t="str">
        <f t="shared" si="89"/>
        <v>Recurring</v>
      </c>
      <c r="FE184" s="40">
        <f>COUNTIF($FD$2:$FD$92, FD184)/(COUNTIF($FD$2:$FD$92, "&lt;&gt;""") - COUNTIF($FD$2:$FD$92, ""))</f>
        <v>0.4</v>
      </c>
      <c r="FF184" s="36" t="str">
        <f t="shared" si="90"/>
        <v>B2C</v>
      </c>
      <c r="FG184" s="40">
        <f>COUNTIF($FF$2:$FF$92, FF184)/(COUNTIF($FF$2:$FF$92, "&lt;&gt;""") - COUNTIF($FF$2:$FF$92, ""))</f>
        <v>0.41111111111111109</v>
      </c>
      <c r="FH184" s="36" t="str">
        <f t="shared" si="91"/>
        <v>High</v>
      </c>
      <c r="FI184" s="40">
        <f>COUNTIF($FH$2:$FH$92, FH184)/(COUNTIF($FH$2:$FH$92, "&lt;&gt;""") - COUNTIF($FH$2:$FH$92, ""))</f>
        <v>0.53333333333333333</v>
      </c>
      <c r="FJ184" s="36" t="str">
        <f t="shared" si="92"/>
        <v>Low</v>
      </c>
      <c r="FK184" s="40">
        <f>COUNTIF($FJ$2:$FJ$92, FJ184)/(COUNTIF($FJ$2:$FJ$92, "&lt;&gt;""") - COUNTIF($FJ$2:$FJ$92, ""))</f>
        <v>0.41111111111111109</v>
      </c>
      <c r="FL184" s="207"/>
      <c r="FM184" s="192">
        <f t="shared" si="93"/>
        <v>5</v>
      </c>
      <c r="FN184" s="192" t="e">
        <f t="shared" ca="1" si="94"/>
        <v>#NAME?</v>
      </c>
      <c r="FO184" s="192" t="e">
        <f t="shared" ca="1" si="95"/>
        <v>#NAME?</v>
      </c>
      <c r="FP184" s="192" t="e">
        <f t="shared" ca="1" si="96"/>
        <v>#NAME?</v>
      </c>
      <c r="FQ184" s="209" t="e">
        <f t="shared" ca="1" si="97"/>
        <v>#NAME?</v>
      </c>
      <c r="FR184" s="208" t="e">
        <f t="shared" ca="1" si="272"/>
        <v>#NAME?</v>
      </c>
      <c r="FS184" s="36" t="str">
        <f t="shared" si="99"/>
        <v>Pre-Profit</v>
      </c>
      <c r="FT184" s="196">
        <f>COUNTIF($FS$2:$FS$92, FS184)/(COUNTIF($FS$2:$FS$92, "&lt;&gt;""") - COUNTIF($FZ$2:$FZ$92, ""))</f>
        <v>0.51111111111111107</v>
      </c>
      <c r="FU184" s="207"/>
      <c r="FV184" s="192">
        <f t="shared" si="100"/>
        <v>3</v>
      </c>
      <c r="FW184" s="197" t="e">
        <f t="shared" ca="1" si="101"/>
        <v>#NAME?</v>
      </c>
      <c r="FX184" s="209" t="e">
        <f t="shared" ca="1" si="102"/>
        <v>#NAME?</v>
      </c>
      <c r="FY184" s="211" t="e">
        <f t="shared" ca="1" si="273"/>
        <v>#NAME?</v>
      </c>
      <c r="FZ184" s="36" t="str">
        <f t="shared" si="104"/>
        <v>No</v>
      </c>
      <c r="GA184" s="196">
        <f>COUNTIF($FZ$2:$FZ$92, FZ184)/(COUNTIF($FZ$2:$FZ$92, "&lt;&gt;""") - COUNTIF($FZ$2:$FZ$92, ""))</f>
        <v>0.76666666666666672</v>
      </c>
      <c r="GB184" s="196">
        <f t="shared" si="105"/>
        <v>0</v>
      </c>
      <c r="GC184" s="196">
        <f>COUNTIF($GB$2:$GB$92, GB184)/(COUNTIF($GB$2:$GB$92, "&lt;&gt;""") - COUNTIF($GB$2:$GB$92, ""))</f>
        <v>1.1111111111111112E-2</v>
      </c>
      <c r="GD184" s="196">
        <f t="shared" si="106"/>
        <v>0</v>
      </c>
      <c r="GE184" s="196">
        <f>COUNTIF($GD$2:$GD$92, GD184)/(COUNTIF($GD$2:$GD$92, "&lt;&gt;""") - COUNTIF($GD$2:$GD$92, ""))</f>
        <v>1.1111111111111112E-2</v>
      </c>
      <c r="GF184" s="207"/>
      <c r="GG184" s="36"/>
      <c r="GH184" s="209" t="e">
        <f t="shared" ca="1" si="107"/>
        <v>#NAME?</v>
      </c>
      <c r="GI184" s="212" t="e">
        <f t="shared" ca="1" si="274"/>
        <v>#NAME?</v>
      </c>
    </row>
    <row r="185" spans="1:191" ht="15.75" customHeight="1">
      <c r="A185" s="171"/>
      <c r="B185" s="171" t="s">
        <v>501</v>
      </c>
      <c r="C185" s="16">
        <v>1789864</v>
      </c>
      <c r="D185" s="233" t="s">
        <v>1484</v>
      </c>
      <c r="E185" s="234">
        <v>43759.488194444442</v>
      </c>
      <c r="F185" s="16" t="s">
        <v>312</v>
      </c>
      <c r="G185" s="235" t="s">
        <v>1485</v>
      </c>
      <c r="H185" s="235" t="s">
        <v>1486</v>
      </c>
      <c r="I185" s="241">
        <v>43805</v>
      </c>
      <c r="J185" s="233" t="s">
        <v>1487</v>
      </c>
      <c r="K185" s="233" t="s">
        <v>1484</v>
      </c>
      <c r="M185" s="16" t="s">
        <v>1488</v>
      </c>
      <c r="N185" s="16" t="s">
        <v>168</v>
      </c>
      <c r="O185" s="16" t="s">
        <v>173</v>
      </c>
      <c r="P185" s="16" t="s">
        <v>197</v>
      </c>
      <c r="Q185" s="16" t="s">
        <v>35</v>
      </c>
      <c r="S185" s="16" t="s">
        <v>216</v>
      </c>
      <c r="T185" s="237"/>
      <c r="U185" s="213"/>
      <c r="V185" s="54">
        <v>10000000</v>
      </c>
      <c r="W185" s="54"/>
      <c r="X185" s="226"/>
      <c r="Y185" s="55" t="str">
        <f t="shared" si="158"/>
        <v/>
      </c>
      <c r="Z185" s="274">
        <f t="shared" si="159"/>
        <v>10000000</v>
      </c>
      <c r="AA185" s="183" t="e">
        <f t="shared" ca="1" si="160"/>
        <v>#NAME?</v>
      </c>
      <c r="AB185" s="16" t="s">
        <v>36</v>
      </c>
      <c r="AC185" s="16" t="s">
        <v>37</v>
      </c>
      <c r="AD185" s="16" t="s">
        <v>38</v>
      </c>
      <c r="AE185" s="16" t="s">
        <v>227</v>
      </c>
      <c r="AF185" s="16" t="s">
        <v>181</v>
      </c>
      <c r="AG185" s="16" t="s">
        <v>181</v>
      </c>
      <c r="AH185" s="16" t="s">
        <v>190</v>
      </c>
      <c r="AI185" s="54"/>
      <c r="AJ185" s="278">
        <v>1195469000000</v>
      </c>
      <c r="AK185" s="224" t="e">
        <f t="shared" ca="1" si="161"/>
        <v>#NAME?</v>
      </c>
      <c r="AL185" s="278">
        <v>1195469000000</v>
      </c>
      <c r="AM185" s="224" t="e">
        <f t="shared" ca="1" si="162"/>
        <v>#NAME?</v>
      </c>
      <c r="AN185" s="278">
        <v>0.11</v>
      </c>
      <c r="AO185" s="185" t="e">
        <f t="shared" ca="1" si="63"/>
        <v>#NAME?</v>
      </c>
      <c r="AP185" s="185" t="s">
        <v>264</v>
      </c>
      <c r="AQ185" s="16" t="s">
        <v>181</v>
      </c>
      <c r="AR185" s="16" t="s">
        <v>181</v>
      </c>
      <c r="AS185" s="16" t="s">
        <v>42</v>
      </c>
      <c r="AT185" s="159"/>
      <c r="AU185" s="159"/>
      <c r="AV185" s="16" t="s">
        <v>227</v>
      </c>
      <c r="AW185" s="16" t="s">
        <v>190</v>
      </c>
      <c r="AX185" s="16" t="s">
        <v>227</v>
      </c>
      <c r="AY185" s="16" t="s">
        <v>227</v>
      </c>
      <c r="AZ185" s="54">
        <v>781010</v>
      </c>
      <c r="BA185" s="55" t="e">
        <f t="shared" ca="1" si="163"/>
        <v>#NAME?</v>
      </c>
      <c r="BB185" s="278">
        <v>13407</v>
      </c>
      <c r="BC185" s="278">
        <v>0</v>
      </c>
      <c r="BD185" s="62" t="e">
        <f t="shared" ca="1" si="164"/>
        <v>#NAME?</v>
      </c>
      <c r="BE185" s="277">
        <f t="shared" si="165"/>
        <v>1</v>
      </c>
      <c r="BF185" s="62" t="e">
        <f t="shared" ca="1" si="166"/>
        <v>#NAME?</v>
      </c>
      <c r="BG185" s="16" t="s">
        <v>202</v>
      </c>
      <c r="BI185" s="16" t="s">
        <v>227</v>
      </c>
      <c r="BJ185" s="16">
        <v>0</v>
      </c>
      <c r="BK185" s="278">
        <v>1</v>
      </c>
      <c r="BL185" s="16" t="s">
        <v>227</v>
      </c>
      <c r="BM185" s="16" t="s">
        <v>227</v>
      </c>
      <c r="BN185" s="16" t="s">
        <v>190</v>
      </c>
      <c r="BO185" s="16" t="s">
        <v>190</v>
      </c>
      <c r="BP185" s="16">
        <v>0</v>
      </c>
      <c r="BQ185" s="16">
        <v>1</v>
      </c>
      <c r="BR185" s="16">
        <v>0</v>
      </c>
      <c r="BS185" s="16">
        <v>0</v>
      </c>
      <c r="BT185" s="205"/>
      <c r="BU185" s="16">
        <v>12</v>
      </c>
      <c r="BV185" s="16">
        <v>0</v>
      </c>
      <c r="BW185" s="16">
        <v>42</v>
      </c>
      <c r="BX185" s="16" t="s">
        <v>190</v>
      </c>
      <c r="BY185" s="205"/>
      <c r="CD185" s="205"/>
      <c r="CI185" s="205"/>
      <c r="CN185" s="205"/>
      <c r="CS185" s="205"/>
      <c r="CX185" s="205"/>
      <c r="DC185" s="205"/>
      <c r="DH185" s="205"/>
      <c r="DM185" s="205"/>
      <c r="DN185" s="205"/>
      <c r="DO185" s="205"/>
      <c r="DQ185" s="206"/>
      <c r="DR185" s="188">
        <f t="shared" si="64"/>
        <v>12</v>
      </c>
      <c r="DS185" s="188"/>
      <c r="DT185" s="189">
        <f t="shared" si="65"/>
        <v>0</v>
      </c>
      <c r="DU185" s="189"/>
      <c r="DV185" s="188">
        <f t="shared" si="66"/>
        <v>42</v>
      </c>
      <c r="DW185" s="183" t="e">
        <f t="shared" ca="1" si="67"/>
        <v>#NAME?</v>
      </c>
      <c r="DX185" s="207"/>
      <c r="DY185" s="190" t="e">
        <f t="shared" ca="1" si="68"/>
        <v>#NAME?</v>
      </c>
      <c r="DZ185" s="191" t="str">
        <f t="shared" si="264"/>
        <v/>
      </c>
      <c r="EA185" s="191" t="str">
        <f t="shared" si="265"/>
        <v/>
      </c>
      <c r="EB185" s="191" t="str">
        <f t="shared" si="266"/>
        <v/>
      </c>
      <c r="EC185" s="208" t="e">
        <f t="shared" ca="1" si="72"/>
        <v>#NAME?</v>
      </c>
      <c r="ED185" s="36" t="str">
        <f t="shared" si="73"/>
        <v>Equity - Common</v>
      </c>
      <c r="EE185" s="193">
        <f>COUNTIF($ED$2:$ED$92, ED185)/(COUNTIF($ED$2:$ED$92, "&lt;&gt;""") - COUNTIF($ED$2:$ED$92, ""))</f>
        <v>0.32222222222222224</v>
      </c>
      <c r="EF185" s="36" t="str">
        <f t="shared" si="74"/>
        <v>Growth</v>
      </c>
      <c r="EG185" s="207"/>
      <c r="EH185" s="194" t="e">
        <f t="shared" ca="1" si="75"/>
        <v>#NAME?</v>
      </c>
      <c r="EI185" s="194" t="e">
        <f t="shared" ca="1" si="76"/>
        <v>#NAME?</v>
      </c>
      <c r="EJ185" s="209" t="e">
        <f t="shared" ca="1" si="77"/>
        <v>#NAME?</v>
      </c>
      <c r="EK185" s="208" t="e">
        <f t="shared" ca="1" si="267"/>
        <v>#NAME?</v>
      </c>
      <c r="EL185" s="36" t="str">
        <f t="shared" si="79"/>
        <v>Yes</v>
      </c>
      <c r="EM185" s="207"/>
      <c r="EN185" s="192">
        <f t="shared" si="268"/>
        <v>2.1428571428571428</v>
      </c>
      <c r="EO185" s="192">
        <f t="shared" si="269"/>
        <v>1</v>
      </c>
      <c r="EP185" s="209">
        <f t="shared" si="82"/>
        <v>3.1428571428571428</v>
      </c>
      <c r="EQ185" s="210">
        <f t="shared" si="270"/>
        <v>1.8971962616822431</v>
      </c>
      <c r="ER185" s="36" t="e">
        <f t="shared" ca="1" si="84"/>
        <v>#NAME?</v>
      </c>
      <c r="ES185" s="40">
        <f ca="1">COUNTIF($ER$2:$ER$92, ER185)/(COUNTIF($ER$2:$ER$92, "&lt;&gt;""") - COUNTIF($ER$2:$ER$92, ""))</f>
        <v>1</v>
      </c>
      <c r="ET185" s="36">
        <f t="shared" si="85"/>
        <v>1</v>
      </c>
      <c r="EU185" s="40">
        <f>COUNTIF($ET$2:$ET$92, ET185)/(COUNTIF($ET$2:$ET$92, "&lt;&gt;""") - COUNTIF($ET$2:$ET$92, ""))</f>
        <v>0.45555555555555555</v>
      </c>
      <c r="EV185" s="36">
        <f t="shared" si="86"/>
        <v>1</v>
      </c>
      <c r="EW185" s="40">
        <f>COUNTIF($EV$2:$EV$92, EV185)/(COUNTIF($EV$2:$EV$92, "&lt;&gt;""") - COUNTIF($EV$2:$EV$92, ""))</f>
        <v>7.7777777777777779E-2</v>
      </c>
      <c r="EX185" s="36" t="str">
        <f t="shared" si="87"/>
        <v>Yes</v>
      </c>
      <c r="EY185" s="40">
        <f>COUNTIF($EX$2:$EX$92, EX185)/(COUNTIF($EX$2:$EX$92, "&lt;&gt;""") - COUNTIF($EX$2:$EX$92, ""))</f>
        <v>0.27777777777777779</v>
      </c>
      <c r="EZ185" s="36" t="str">
        <f t="shared" ref="EZ185:FB185" si="318">BM185</f>
        <v>Yes</v>
      </c>
      <c r="FA185" s="36" t="str">
        <f t="shared" si="318"/>
        <v>No</v>
      </c>
      <c r="FB185" s="36" t="str">
        <f t="shared" si="318"/>
        <v>No</v>
      </c>
      <c r="FC185" s="207"/>
      <c r="FD185" s="36" t="str">
        <f t="shared" si="89"/>
        <v>Transactional</v>
      </c>
      <c r="FE185" s="40">
        <f>COUNTIF($FD$2:$FD$92, FD185)/(COUNTIF($FD$2:$FD$92, "&lt;&gt;""") - COUNTIF($FD$2:$FD$92, ""))</f>
        <v>0.6</v>
      </c>
      <c r="FF185" s="36" t="str">
        <f t="shared" si="90"/>
        <v>B2B</v>
      </c>
      <c r="FG185" s="40">
        <f>COUNTIF($FF$2:$FF$92, FF185)/(COUNTIF($FF$2:$FF$92, "&lt;&gt;""") - COUNTIF($FF$2:$FF$92, ""))</f>
        <v>0.24444444444444444</v>
      </c>
      <c r="FH185" s="36" t="str">
        <f t="shared" si="91"/>
        <v>Low</v>
      </c>
      <c r="FI185" s="40">
        <f>COUNTIF($FH$2:$FH$92, FH185)/(COUNTIF($FH$2:$FH$92, "&lt;&gt;""") - COUNTIF($FH$2:$FH$92, ""))</f>
        <v>0.46666666666666667</v>
      </c>
      <c r="FJ185" s="36" t="str">
        <f t="shared" si="92"/>
        <v>Low</v>
      </c>
      <c r="FK185" s="40">
        <f>COUNTIF($FJ$2:$FJ$92, FJ185)/(COUNTIF($FJ$2:$FJ$92, "&lt;&gt;""") - COUNTIF($FJ$2:$FJ$92, ""))</f>
        <v>0.41111111111111109</v>
      </c>
      <c r="FL185" s="207"/>
      <c r="FM185" s="192">
        <f t="shared" si="93"/>
        <v>5</v>
      </c>
      <c r="FN185" s="192" t="e">
        <f t="shared" ca="1" si="94"/>
        <v>#NAME?</v>
      </c>
      <c r="FO185" s="192" t="e">
        <f t="shared" ca="1" si="95"/>
        <v>#NAME?</v>
      </c>
      <c r="FP185" s="192" t="e">
        <f t="shared" ca="1" si="96"/>
        <v>#NAME?</v>
      </c>
      <c r="FQ185" s="209" t="e">
        <f t="shared" ca="1" si="97"/>
        <v>#NAME?</v>
      </c>
      <c r="FR185" s="208" t="e">
        <f t="shared" ca="1" si="272"/>
        <v>#NAME?</v>
      </c>
      <c r="FS185" s="36" t="str">
        <f t="shared" si="99"/>
        <v>Pre-Profit</v>
      </c>
      <c r="FT185" s="196">
        <f>COUNTIF($FS$2:$FS$92, FS185)/(COUNTIF($FS$2:$FS$92, "&lt;&gt;""") - COUNTIF($FZ$2:$FZ$92, ""))</f>
        <v>0.51111111111111107</v>
      </c>
      <c r="FU185" s="207"/>
      <c r="FV185" s="192" t="e">
        <f t="shared" ca="1" si="100"/>
        <v>#NAME?</v>
      </c>
      <c r="FW185" s="197" t="e">
        <f t="shared" ca="1" si="101"/>
        <v>#NAME?</v>
      </c>
      <c r="FX185" s="209" t="e">
        <f t="shared" ca="1" si="102"/>
        <v>#NAME?</v>
      </c>
      <c r="FY185" s="211" t="e">
        <f t="shared" ca="1" si="273"/>
        <v>#NAME?</v>
      </c>
      <c r="FZ185" s="36" t="str">
        <f t="shared" si="104"/>
        <v>No</v>
      </c>
      <c r="GA185" s="196">
        <f>COUNTIF($FZ$2:$FZ$92, FZ185)/(COUNTIF($FZ$2:$FZ$92, "&lt;&gt;""") - COUNTIF($FZ$2:$FZ$92, ""))</f>
        <v>0.76666666666666672</v>
      </c>
      <c r="GB185" s="196">
        <f t="shared" si="105"/>
        <v>0</v>
      </c>
      <c r="GC185" s="196">
        <f>COUNTIF($GB$2:$GB$92, GB185)/(COUNTIF($GB$2:$GB$92, "&lt;&gt;""") - COUNTIF($GB$2:$GB$92, ""))</f>
        <v>1.1111111111111112E-2</v>
      </c>
      <c r="GD185" s="196">
        <f t="shared" si="106"/>
        <v>0</v>
      </c>
      <c r="GE185" s="196">
        <f>COUNTIF($GD$2:$GD$92, GD185)/(COUNTIF($GD$2:$GD$92, "&lt;&gt;""") - COUNTIF($GD$2:$GD$92, ""))</f>
        <v>1.1111111111111112E-2</v>
      </c>
      <c r="GF185" s="207"/>
      <c r="GG185" s="36"/>
      <c r="GH185" s="209" t="e">
        <f t="shared" ca="1" si="107"/>
        <v>#NAME?</v>
      </c>
      <c r="GI185" s="212" t="e">
        <f t="shared" ca="1" si="274"/>
        <v>#NAME?</v>
      </c>
    </row>
    <row r="186" spans="1:191" ht="15.75" customHeight="1">
      <c r="A186" s="171"/>
      <c r="B186" s="171" t="s">
        <v>501</v>
      </c>
      <c r="C186" s="16">
        <v>1699476</v>
      </c>
      <c r="D186" s="233" t="s">
        <v>1489</v>
      </c>
      <c r="E186" s="234">
        <v>43760.369444444441</v>
      </c>
      <c r="F186" s="16" t="s">
        <v>337</v>
      </c>
      <c r="G186" s="235" t="s">
        <v>1490</v>
      </c>
      <c r="H186" s="235" t="s">
        <v>1491</v>
      </c>
      <c r="I186" s="241">
        <v>43847</v>
      </c>
      <c r="J186" s="233" t="s">
        <v>1492</v>
      </c>
      <c r="K186" s="233" t="s">
        <v>1493</v>
      </c>
      <c r="M186" s="29" t="s">
        <v>253</v>
      </c>
      <c r="N186" s="16" t="s">
        <v>172</v>
      </c>
      <c r="O186" s="16" t="s">
        <v>173</v>
      </c>
      <c r="P186" s="16" t="s">
        <v>197</v>
      </c>
      <c r="Q186" s="16" t="s">
        <v>35</v>
      </c>
      <c r="S186" s="16" t="s">
        <v>216</v>
      </c>
      <c r="T186" s="237"/>
      <c r="U186" s="213"/>
      <c r="V186" s="54">
        <v>33995244</v>
      </c>
      <c r="W186" s="54"/>
      <c r="X186" s="226"/>
      <c r="Y186" s="55" t="str">
        <f t="shared" si="158"/>
        <v/>
      </c>
      <c r="Z186" s="274">
        <f t="shared" si="159"/>
        <v>33995244</v>
      </c>
      <c r="AA186" s="183" t="e">
        <f t="shared" ca="1" si="160"/>
        <v>#NAME?</v>
      </c>
      <c r="AB186" s="16" t="s">
        <v>178</v>
      </c>
      <c r="AC186" s="16" t="s">
        <v>200</v>
      </c>
      <c r="AD186" s="16" t="s">
        <v>180</v>
      </c>
      <c r="AE186" s="16" t="s">
        <v>227</v>
      </c>
      <c r="AF186" s="16" t="s">
        <v>39</v>
      </c>
      <c r="AG186" s="16" t="s">
        <v>181</v>
      </c>
      <c r="AH186" s="16" t="s">
        <v>190</v>
      </c>
      <c r="AI186" s="54"/>
      <c r="AJ186" s="278">
        <v>53600000000</v>
      </c>
      <c r="AK186" s="224" t="e">
        <f t="shared" ca="1" si="161"/>
        <v>#NAME?</v>
      </c>
      <c r="AL186" s="278">
        <v>53600000000</v>
      </c>
      <c r="AM186" s="224" t="e">
        <f t="shared" ca="1" si="162"/>
        <v>#NAME?</v>
      </c>
      <c r="AN186" s="278">
        <v>7.0000000000000007E-2</v>
      </c>
      <c r="AO186" s="185" t="e">
        <f t="shared" ca="1" si="63"/>
        <v>#NAME?</v>
      </c>
      <c r="AP186" s="185" t="s">
        <v>192</v>
      </c>
      <c r="AQ186" s="16" t="s">
        <v>39</v>
      </c>
      <c r="AR186" s="16" t="s">
        <v>181</v>
      </c>
      <c r="AS186" s="16" t="s">
        <v>182</v>
      </c>
      <c r="AT186" s="159"/>
      <c r="AU186" s="159"/>
      <c r="AV186" s="16" t="s">
        <v>190</v>
      </c>
      <c r="AW186" s="16" t="s">
        <v>227</v>
      </c>
      <c r="AX186" s="16" t="s">
        <v>227</v>
      </c>
      <c r="AY186" s="16" t="s">
        <v>227</v>
      </c>
      <c r="AZ186" s="54">
        <v>2173483</v>
      </c>
      <c r="BA186" s="55" t="e">
        <f t="shared" ca="1" si="163"/>
        <v>#NAME?</v>
      </c>
      <c r="BB186" s="278">
        <v>565876</v>
      </c>
      <c r="BC186" s="278">
        <v>615901</v>
      </c>
      <c r="BD186" s="62" t="e">
        <f t="shared" ca="1" si="164"/>
        <v>#NAME?</v>
      </c>
      <c r="BE186" s="277">
        <f t="shared" si="165"/>
        <v>0.91877753080446367</v>
      </c>
      <c r="BF186" s="62" t="e">
        <f t="shared" ca="1" si="166"/>
        <v>#NAME?</v>
      </c>
      <c r="BG186" s="16" t="s">
        <v>202</v>
      </c>
      <c r="BI186" s="16" t="s">
        <v>227</v>
      </c>
      <c r="BJ186" s="16">
        <v>2</v>
      </c>
      <c r="BK186" s="278">
        <v>1</v>
      </c>
      <c r="BL186" s="16" t="s">
        <v>227</v>
      </c>
      <c r="BM186" s="16" t="s">
        <v>190</v>
      </c>
      <c r="BN186" s="16" t="s">
        <v>190</v>
      </c>
      <c r="BO186" s="16" t="s">
        <v>190</v>
      </c>
      <c r="BP186" s="16">
        <v>2</v>
      </c>
      <c r="BQ186" s="16">
        <v>12</v>
      </c>
      <c r="BR186" s="16">
        <v>0</v>
      </c>
      <c r="BS186" s="16">
        <v>0</v>
      </c>
      <c r="BT186" s="205"/>
      <c r="BU186" s="16">
        <v>4</v>
      </c>
      <c r="BV186" s="16">
        <v>1</v>
      </c>
      <c r="BW186" s="16">
        <v>49</v>
      </c>
      <c r="BX186" s="16" t="s">
        <v>190</v>
      </c>
      <c r="BY186" s="205"/>
      <c r="CD186" s="205"/>
      <c r="CI186" s="205"/>
      <c r="CN186" s="205"/>
      <c r="CS186" s="205"/>
      <c r="CX186" s="205"/>
      <c r="DC186" s="205"/>
      <c r="DH186" s="205"/>
      <c r="DM186" s="205"/>
      <c r="DN186" s="205"/>
      <c r="DO186" s="205"/>
      <c r="DQ186" s="206"/>
      <c r="DR186" s="188">
        <f t="shared" si="64"/>
        <v>4</v>
      </c>
      <c r="DS186" s="188"/>
      <c r="DT186" s="189">
        <f t="shared" si="65"/>
        <v>1</v>
      </c>
      <c r="DU186" s="189"/>
      <c r="DV186" s="188">
        <f t="shared" si="66"/>
        <v>49</v>
      </c>
      <c r="DW186" s="183" t="e">
        <f t="shared" ca="1" si="67"/>
        <v>#NAME?</v>
      </c>
      <c r="DX186" s="207"/>
      <c r="DY186" s="190" t="e">
        <f t="shared" ca="1" si="68"/>
        <v>#NAME?</v>
      </c>
      <c r="DZ186" s="191" t="str">
        <f t="shared" si="264"/>
        <v/>
      </c>
      <c r="EA186" s="191" t="str">
        <f t="shared" si="265"/>
        <v/>
      </c>
      <c r="EB186" s="191" t="str">
        <f t="shared" si="266"/>
        <v/>
      </c>
      <c r="EC186" s="208" t="e">
        <f t="shared" ca="1" si="72"/>
        <v>#NAME?</v>
      </c>
      <c r="ED186" s="36" t="str">
        <f t="shared" si="73"/>
        <v>Equity - Common</v>
      </c>
      <c r="EE186" s="193">
        <f>COUNTIF($ED$2:$ED$92, ED186)/(COUNTIF($ED$2:$ED$92, "&lt;&gt;""") - COUNTIF($ED$2:$ED$92, ""))</f>
        <v>0.32222222222222224</v>
      </c>
      <c r="EF186" s="36" t="str">
        <f t="shared" si="74"/>
        <v>Growth</v>
      </c>
      <c r="EG186" s="207"/>
      <c r="EH186" s="194" t="e">
        <f t="shared" ca="1" si="75"/>
        <v>#NAME?</v>
      </c>
      <c r="EI186" s="194" t="e">
        <f t="shared" ca="1" si="76"/>
        <v>#NAME?</v>
      </c>
      <c r="EJ186" s="209" t="e">
        <f t="shared" ca="1" si="77"/>
        <v>#NAME?</v>
      </c>
      <c r="EK186" s="208" t="e">
        <f t="shared" ca="1" si="267"/>
        <v>#NAME?</v>
      </c>
      <c r="EL186" s="36" t="str">
        <f t="shared" si="79"/>
        <v>No</v>
      </c>
      <c r="EM186" s="207"/>
      <c r="EN186" s="192">
        <f t="shared" si="268"/>
        <v>1.3809523809523809</v>
      </c>
      <c r="EO186" s="192">
        <f t="shared" si="269"/>
        <v>2</v>
      </c>
      <c r="EP186" s="209">
        <f t="shared" si="82"/>
        <v>3.3809523809523809</v>
      </c>
      <c r="EQ186" s="210">
        <f t="shared" si="270"/>
        <v>2.0841121495327104</v>
      </c>
      <c r="ER186" s="36" t="e">
        <f t="shared" ca="1" si="84"/>
        <v>#NAME?</v>
      </c>
      <c r="ES186" s="40">
        <f ca="1">COUNTIF($ER$2:$ER$92, ER186)/(COUNTIF($ER$2:$ER$92, "&lt;&gt;""") - COUNTIF($ER$2:$ER$92, ""))</f>
        <v>1</v>
      </c>
      <c r="ET186" s="36">
        <f t="shared" si="85"/>
        <v>1</v>
      </c>
      <c r="EU186" s="40">
        <f>COUNTIF($ET$2:$ET$92, ET186)/(COUNTIF($ET$2:$ET$92, "&lt;&gt;""") - COUNTIF($ET$2:$ET$92, ""))</f>
        <v>0.45555555555555555</v>
      </c>
      <c r="EV186" s="36">
        <f t="shared" si="86"/>
        <v>12</v>
      </c>
      <c r="EW186" s="40">
        <f>COUNTIF($EV$2:$EV$92, EV186)/(COUNTIF($EV$2:$EV$92, "&lt;&gt;""") - COUNTIF($EV$2:$EV$92, ""))</f>
        <v>1.1111111111111112E-2</v>
      </c>
      <c r="EX186" s="36" t="str">
        <f t="shared" si="87"/>
        <v>Yes</v>
      </c>
      <c r="EY186" s="40">
        <f>COUNTIF($EX$2:$EX$92, EX186)/(COUNTIF($EX$2:$EX$92, "&lt;&gt;""") - COUNTIF($EX$2:$EX$92, ""))</f>
        <v>0.27777777777777779</v>
      </c>
      <c r="EZ186" s="36" t="str">
        <f t="shared" ref="EZ186:FB186" si="319">BM186</f>
        <v>No</v>
      </c>
      <c r="FA186" s="36" t="str">
        <f t="shared" si="319"/>
        <v>No</v>
      </c>
      <c r="FB186" s="36" t="str">
        <f t="shared" si="319"/>
        <v>No</v>
      </c>
      <c r="FC186" s="207"/>
      <c r="FD186" s="36" t="str">
        <f t="shared" si="89"/>
        <v>Recurring</v>
      </c>
      <c r="FE186" s="40">
        <f>COUNTIF($FD$2:$FD$92, FD186)/(COUNTIF($FD$2:$FD$92, "&lt;&gt;""") - COUNTIF($FD$2:$FD$92, ""))</f>
        <v>0.4</v>
      </c>
      <c r="FF186" s="36" t="str">
        <f t="shared" si="90"/>
        <v>B2B2C</v>
      </c>
      <c r="FG186" s="40">
        <f>COUNTIF($FF$2:$FF$92, FF186)/(COUNTIF($FF$2:$FF$92, "&lt;&gt;""") - COUNTIF($FF$2:$FF$92, ""))</f>
        <v>6.6666666666666666E-2</v>
      </c>
      <c r="FH186" s="36" t="str">
        <f t="shared" si="91"/>
        <v>High</v>
      </c>
      <c r="FI186" s="40">
        <f>COUNTIF($FH$2:$FH$92, FH186)/(COUNTIF($FH$2:$FH$92, "&lt;&gt;""") - COUNTIF($FH$2:$FH$92, ""))</f>
        <v>0.53333333333333333</v>
      </c>
      <c r="FJ186" s="36" t="str">
        <f t="shared" si="92"/>
        <v>Low</v>
      </c>
      <c r="FK186" s="40">
        <f>COUNTIF($FJ$2:$FJ$92, FJ186)/(COUNTIF($FJ$2:$FJ$92, "&lt;&gt;""") - COUNTIF($FJ$2:$FJ$92, ""))</f>
        <v>0.41111111111111109</v>
      </c>
      <c r="FL186" s="207"/>
      <c r="FM186" s="192">
        <f t="shared" si="93"/>
        <v>5</v>
      </c>
      <c r="FN186" s="192" t="e">
        <f t="shared" ca="1" si="94"/>
        <v>#NAME?</v>
      </c>
      <c r="FO186" s="192" t="e">
        <f t="shared" ca="1" si="95"/>
        <v>#NAME?</v>
      </c>
      <c r="FP186" s="192" t="e">
        <f t="shared" ca="1" si="96"/>
        <v>#NAME?</v>
      </c>
      <c r="FQ186" s="209" t="e">
        <f t="shared" ca="1" si="97"/>
        <v>#NAME?</v>
      </c>
      <c r="FR186" s="208" t="e">
        <f t="shared" ca="1" si="272"/>
        <v>#NAME?</v>
      </c>
      <c r="FS186" s="36" t="str">
        <f t="shared" si="99"/>
        <v>Pre-Profit</v>
      </c>
      <c r="FT186" s="196">
        <f>COUNTIF($FS$2:$FS$92, FS186)/(COUNTIF($FS$2:$FS$92, "&lt;&gt;""") - COUNTIF($FZ$2:$FZ$92, ""))</f>
        <v>0.51111111111111107</v>
      </c>
      <c r="FU186" s="207"/>
      <c r="FV186" s="192">
        <f t="shared" si="100"/>
        <v>3</v>
      </c>
      <c r="FW186" s="197" t="e">
        <f t="shared" ca="1" si="101"/>
        <v>#NAME?</v>
      </c>
      <c r="FX186" s="209" t="e">
        <f t="shared" ca="1" si="102"/>
        <v>#NAME?</v>
      </c>
      <c r="FY186" s="211" t="e">
        <f t="shared" ca="1" si="273"/>
        <v>#NAME?</v>
      </c>
      <c r="FZ186" s="36" t="str">
        <f t="shared" si="104"/>
        <v>Yes</v>
      </c>
      <c r="GA186" s="196">
        <f>COUNTIF($FZ$2:$FZ$92, FZ186)/(COUNTIF($FZ$2:$FZ$92, "&lt;&gt;""") - COUNTIF($FZ$2:$FZ$92, ""))</f>
        <v>0.23333333333333334</v>
      </c>
      <c r="GB186" s="196">
        <f t="shared" si="105"/>
        <v>0</v>
      </c>
      <c r="GC186" s="196">
        <f>COUNTIF($GB$2:$GB$92, GB186)/(COUNTIF($GB$2:$GB$92, "&lt;&gt;""") - COUNTIF($GB$2:$GB$92, ""))</f>
        <v>1.1111111111111112E-2</v>
      </c>
      <c r="GD186" s="196">
        <f t="shared" si="106"/>
        <v>0</v>
      </c>
      <c r="GE186" s="196">
        <f>COUNTIF($GD$2:$GD$92, GD186)/(COUNTIF($GD$2:$GD$92, "&lt;&gt;""") - COUNTIF($GD$2:$GD$92, ""))</f>
        <v>1.1111111111111112E-2</v>
      </c>
      <c r="GF186" s="207"/>
      <c r="GG186" s="36"/>
      <c r="GH186" s="209" t="e">
        <f t="shared" ca="1" si="107"/>
        <v>#NAME?</v>
      </c>
      <c r="GI186" s="212" t="e">
        <f t="shared" ca="1" si="274"/>
        <v>#NAME?</v>
      </c>
    </row>
    <row r="187" spans="1:191" ht="15.75" customHeight="1">
      <c r="A187" s="171"/>
      <c r="B187" s="171" t="s">
        <v>501</v>
      </c>
      <c r="C187" s="16">
        <v>1719648</v>
      </c>
      <c r="D187" s="233" t="s">
        <v>1494</v>
      </c>
      <c r="E187" s="234">
        <v>43762.342361111114</v>
      </c>
      <c r="F187" s="16" t="s">
        <v>344</v>
      </c>
      <c r="G187" s="235" t="s">
        <v>1495</v>
      </c>
      <c r="H187" s="235" t="s">
        <v>1496</v>
      </c>
      <c r="I187" s="241">
        <v>43749</v>
      </c>
      <c r="J187" s="233" t="s">
        <v>1497</v>
      </c>
      <c r="K187" s="233" t="s">
        <v>1494</v>
      </c>
      <c r="M187" s="16" t="s">
        <v>1498</v>
      </c>
      <c r="N187" s="16" t="s">
        <v>168</v>
      </c>
      <c r="O187" s="16" t="s">
        <v>196</v>
      </c>
      <c r="P187" s="16" t="s">
        <v>197</v>
      </c>
      <c r="Q187" s="16" t="s">
        <v>35</v>
      </c>
      <c r="S187" s="16" t="s">
        <v>232</v>
      </c>
      <c r="T187" s="237"/>
      <c r="U187" s="213"/>
      <c r="V187" s="54">
        <v>12400000</v>
      </c>
      <c r="W187" s="54"/>
      <c r="X187" s="226"/>
      <c r="Y187" s="55" t="str">
        <f t="shared" si="158"/>
        <v/>
      </c>
      <c r="Z187" s="274">
        <f t="shared" si="159"/>
        <v>12400000</v>
      </c>
      <c r="AA187" s="183" t="e">
        <f t="shared" ca="1" si="160"/>
        <v>#NAME?</v>
      </c>
      <c r="AB187" s="16" t="s">
        <v>36</v>
      </c>
      <c r="AC187" s="16" t="s">
        <v>218</v>
      </c>
      <c r="AD187" s="16" t="s">
        <v>38</v>
      </c>
      <c r="AE187" s="16" t="s">
        <v>227</v>
      </c>
      <c r="AF187" s="16" t="s">
        <v>181</v>
      </c>
      <c r="AG187" s="16" t="s">
        <v>181</v>
      </c>
      <c r="AH187" s="16" t="s">
        <v>190</v>
      </c>
      <c r="AI187" s="54"/>
      <c r="AJ187" s="278">
        <v>487000000000</v>
      </c>
      <c r="AK187" s="224" t="e">
        <f t="shared" ca="1" si="161"/>
        <v>#NAME?</v>
      </c>
      <c r="AL187" s="278">
        <v>86100000000</v>
      </c>
      <c r="AM187" s="224" t="e">
        <f t="shared" ca="1" si="162"/>
        <v>#NAME?</v>
      </c>
      <c r="AN187" s="278">
        <v>0.04</v>
      </c>
      <c r="AO187" s="185" t="e">
        <f t="shared" ca="1" si="63"/>
        <v>#NAME?</v>
      </c>
      <c r="AP187" s="185" t="s">
        <v>264</v>
      </c>
      <c r="AQ187" s="16" t="s">
        <v>181</v>
      </c>
      <c r="AR187" s="16" t="s">
        <v>181</v>
      </c>
      <c r="AS187" s="16" t="s">
        <v>42</v>
      </c>
      <c r="AT187" s="159"/>
      <c r="AU187" s="159"/>
      <c r="AV187" s="16" t="s">
        <v>190</v>
      </c>
      <c r="AW187" s="16" t="s">
        <v>190</v>
      </c>
      <c r="AX187" s="16" t="s">
        <v>227</v>
      </c>
      <c r="AY187" s="16" t="s">
        <v>227</v>
      </c>
      <c r="AZ187" s="54">
        <v>65185</v>
      </c>
      <c r="BA187" s="55" t="e">
        <f t="shared" ca="1" si="163"/>
        <v>#NAME?</v>
      </c>
      <c r="BB187" s="278">
        <v>54930</v>
      </c>
      <c r="BC187" s="278">
        <v>1362263</v>
      </c>
      <c r="BD187" s="62" t="e">
        <f t="shared" ca="1" si="164"/>
        <v>#NAME?</v>
      </c>
      <c r="BE187" s="277">
        <f t="shared" si="165"/>
        <v>4.032261024486461E-2</v>
      </c>
      <c r="BF187" s="62" t="e">
        <f t="shared" ca="1" si="166"/>
        <v>#NAME?</v>
      </c>
      <c r="BG187" s="16" t="s">
        <v>202</v>
      </c>
      <c r="BI187" s="16" t="s">
        <v>227</v>
      </c>
      <c r="BJ187" s="16">
        <v>1</v>
      </c>
      <c r="BK187" s="278">
        <v>1</v>
      </c>
      <c r="BL187" s="16" t="s">
        <v>190</v>
      </c>
      <c r="BM187" s="16" t="s">
        <v>190</v>
      </c>
      <c r="BN187" s="16" t="s">
        <v>227</v>
      </c>
      <c r="BO187" s="16" t="s">
        <v>190</v>
      </c>
      <c r="BP187" s="16">
        <v>1</v>
      </c>
      <c r="BQ187" s="16">
        <v>41</v>
      </c>
      <c r="BR187" s="16">
        <v>0</v>
      </c>
      <c r="BS187" s="16">
        <v>0</v>
      </c>
      <c r="BT187" s="205"/>
      <c r="BU187" s="16">
        <v>0</v>
      </c>
      <c r="BV187" s="16">
        <v>0</v>
      </c>
      <c r="BW187" s="16">
        <v>56</v>
      </c>
      <c r="BX187" s="16" t="s">
        <v>190</v>
      </c>
      <c r="BY187" s="205"/>
      <c r="CD187" s="205"/>
      <c r="CI187" s="205"/>
      <c r="CN187" s="205"/>
      <c r="CS187" s="205"/>
      <c r="CX187" s="205"/>
      <c r="DC187" s="205"/>
      <c r="DH187" s="205"/>
      <c r="DM187" s="205"/>
      <c r="DN187" s="205"/>
      <c r="DO187" s="205"/>
      <c r="DQ187" s="206"/>
      <c r="DR187" s="188">
        <f t="shared" si="64"/>
        <v>0</v>
      </c>
      <c r="DS187" s="188"/>
      <c r="DT187" s="189">
        <f t="shared" si="65"/>
        <v>0</v>
      </c>
      <c r="DU187" s="189"/>
      <c r="DV187" s="188">
        <f t="shared" si="66"/>
        <v>56</v>
      </c>
      <c r="DW187" s="183" t="e">
        <f t="shared" ca="1" si="67"/>
        <v>#NAME?</v>
      </c>
      <c r="DX187" s="207"/>
      <c r="DY187" s="190" t="e">
        <f t="shared" ca="1" si="68"/>
        <v>#NAME?</v>
      </c>
      <c r="DZ187" s="191" t="str">
        <f t="shared" si="264"/>
        <v/>
      </c>
      <c r="EA187" s="191" t="str">
        <f t="shared" si="265"/>
        <v/>
      </c>
      <c r="EB187" s="191" t="str">
        <f t="shared" si="266"/>
        <v/>
      </c>
      <c r="EC187" s="208" t="e">
        <f t="shared" ca="1" si="72"/>
        <v>#NAME?</v>
      </c>
      <c r="ED187" s="36" t="str">
        <f t="shared" si="73"/>
        <v>Equity - Preferred</v>
      </c>
      <c r="EE187" s="193">
        <f>COUNTIF($ED$2:$ED$92, ED187)/(COUNTIF($ED$2:$ED$92, "&lt;&gt;""") - COUNTIF($ED$2:$ED$92, ""))</f>
        <v>6.6666666666666666E-2</v>
      </c>
      <c r="EF187" s="36" t="str">
        <f t="shared" si="74"/>
        <v>Pre-IPO</v>
      </c>
      <c r="EG187" s="207"/>
      <c r="EH187" s="194" t="e">
        <f t="shared" ca="1" si="75"/>
        <v>#NAME?</v>
      </c>
      <c r="EI187" s="194" t="e">
        <f t="shared" ca="1" si="76"/>
        <v>#NAME?</v>
      </c>
      <c r="EJ187" s="209" t="e">
        <f t="shared" ca="1" si="77"/>
        <v>#NAME?</v>
      </c>
      <c r="EK187" s="208" t="e">
        <f t="shared" ca="1" si="267"/>
        <v>#NAME?</v>
      </c>
      <c r="EL187" s="36" t="str">
        <f t="shared" si="79"/>
        <v>No</v>
      </c>
      <c r="EM187" s="207"/>
      <c r="EN187" s="192">
        <f t="shared" si="268"/>
        <v>1</v>
      </c>
      <c r="EO187" s="192">
        <f t="shared" si="269"/>
        <v>1</v>
      </c>
      <c r="EP187" s="209">
        <f t="shared" si="82"/>
        <v>2</v>
      </c>
      <c r="EQ187" s="210">
        <f t="shared" si="270"/>
        <v>1</v>
      </c>
      <c r="ER187" s="36" t="e">
        <f t="shared" ca="1" si="84"/>
        <v>#NAME?</v>
      </c>
      <c r="ES187" s="40">
        <f ca="1">COUNTIF($ER$2:$ER$92, ER187)/(COUNTIF($ER$2:$ER$92, "&lt;&gt;""") - COUNTIF($ER$2:$ER$92, ""))</f>
        <v>1</v>
      </c>
      <c r="ET187" s="36">
        <f t="shared" si="85"/>
        <v>1</v>
      </c>
      <c r="EU187" s="40">
        <f>COUNTIF($ET$2:$ET$92, ET187)/(COUNTIF($ET$2:$ET$92, "&lt;&gt;""") - COUNTIF($ET$2:$ET$92, ""))</f>
        <v>0.45555555555555555</v>
      </c>
      <c r="EV187" s="36">
        <f t="shared" si="86"/>
        <v>41</v>
      </c>
      <c r="EW187" s="40">
        <f>COUNTIF($EV$2:$EV$92, EV187)/(COUNTIF($EV$2:$EV$92, "&lt;&gt;""") - COUNTIF($EV$2:$EV$92, ""))</f>
        <v>0</v>
      </c>
      <c r="EX187" s="36" t="str">
        <f t="shared" si="87"/>
        <v>No</v>
      </c>
      <c r="EY187" s="40">
        <f>COUNTIF($EX$2:$EX$92, EX187)/(COUNTIF($EX$2:$EX$92, "&lt;&gt;""") - COUNTIF($EX$2:$EX$92, ""))</f>
        <v>0.72222222222222221</v>
      </c>
      <c r="EZ187" s="36" t="str">
        <f t="shared" ref="EZ187:FB187" si="320">BM187</f>
        <v>No</v>
      </c>
      <c r="FA187" s="36" t="str">
        <f t="shared" si="320"/>
        <v>Yes</v>
      </c>
      <c r="FB187" s="36" t="str">
        <f t="shared" si="320"/>
        <v>No</v>
      </c>
      <c r="FC187" s="207"/>
      <c r="FD187" s="36" t="str">
        <f t="shared" si="89"/>
        <v>Transactional</v>
      </c>
      <c r="FE187" s="40">
        <f>COUNTIF($FD$2:$FD$92, FD187)/(COUNTIF($FD$2:$FD$92, "&lt;&gt;""") - COUNTIF($FD$2:$FD$92, ""))</f>
        <v>0.6</v>
      </c>
      <c r="FF187" s="36" t="str">
        <f t="shared" si="90"/>
        <v>B2B/B2C</v>
      </c>
      <c r="FG187" s="40">
        <f>COUNTIF($FF$2:$FF$92, FF187)/(COUNTIF($FF$2:$FF$92, "&lt;&gt;""") - COUNTIF($FF$2:$FF$92, ""))</f>
        <v>0.27777777777777779</v>
      </c>
      <c r="FH187" s="36" t="str">
        <f t="shared" si="91"/>
        <v>Low</v>
      </c>
      <c r="FI187" s="40">
        <f>COUNTIF($FH$2:$FH$92, FH187)/(COUNTIF($FH$2:$FH$92, "&lt;&gt;""") - COUNTIF($FH$2:$FH$92, ""))</f>
        <v>0.46666666666666667</v>
      </c>
      <c r="FJ187" s="36" t="str">
        <f t="shared" si="92"/>
        <v>Low</v>
      </c>
      <c r="FK187" s="40">
        <f>COUNTIF($FJ$2:$FJ$92, FJ187)/(COUNTIF($FJ$2:$FJ$92, "&lt;&gt;""") - COUNTIF($FJ$2:$FJ$92, ""))</f>
        <v>0.41111111111111109</v>
      </c>
      <c r="FL187" s="207"/>
      <c r="FM187" s="192">
        <f t="shared" si="93"/>
        <v>5</v>
      </c>
      <c r="FN187" s="192" t="e">
        <f t="shared" ca="1" si="94"/>
        <v>#NAME?</v>
      </c>
      <c r="FO187" s="192" t="e">
        <f t="shared" ca="1" si="95"/>
        <v>#NAME?</v>
      </c>
      <c r="FP187" s="192" t="e">
        <f t="shared" ca="1" si="96"/>
        <v>#NAME?</v>
      </c>
      <c r="FQ187" s="209" t="e">
        <f t="shared" ca="1" si="97"/>
        <v>#NAME?</v>
      </c>
      <c r="FR187" s="208" t="e">
        <f t="shared" ca="1" si="272"/>
        <v>#NAME?</v>
      </c>
      <c r="FS187" s="36" t="str">
        <f t="shared" si="99"/>
        <v>Pre-Profit</v>
      </c>
      <c r="FT187" s="196">
        <f>COUNTIF($FS$2:$FS$92, FS187)/(COUNTIF($FS$2:$FS$92, "&lt;&gt;""") - COUNTIF($FZ$2:$FZ$92, ""))</f>
        <v>0.51111111111111107</v>
      </c>
      <c r="FU187" s="207"/>
      <c r="FV187" s="192" t="e">
        <f t="shared" ca="1" si="100"/>
        <v>#NAME?</v>
      </c>
      <c r="FW187" s="197" t="e">
        <f t="shared" ca="1" si="101"/>
        <v>#NAME?</v>
      </c>
      <c r="FX187" s="209" t="e">
        <f t="shared" ca="1" si="102"/>
        <v>#NAME?</v>
      </c>
      <c r="FY187" s="211" t="e">
        <f t="shared" ca="1" si="273"/>
        <v>#NAME?</v>
      </c>
      <c r="FZ187" s="36" t="str">
        <f t="shared" si="104"/>
        <v>No</v>
      </c>
      <c r="GA187" s="196">
        <f>COUNTIF($FZ$2:$FZ$92, FZ187)/(COUNTIF($FZ$2:$FZ$92, "&lt;&gt;""") - COUNTIF($FZ$2:$FZ$92, ""))</f>
        <v>0.76666666666666672</v>
      </c>
      <c r="GB187" s="196">
        <f t="shared" si="105"/>
        <v>0</v>
      </c>
      <c r="GC187" s="196">
        <f>COUNTIF($GB$2:$GB$92, GB187)/(COUNTIF($GB$2:$GB$92, "&lt;&gt;""") - COUNTIF($GB$2:$GB$92, ""))</f>
        <v>1.1111111111111112E-2</v>
      </c>
      <c r="GD187" s="196">
        <f t="shared" si="106"/>
        <v>0</v>
      </c>
      <c r="GE187" s="196">
        <f>COUNTIF($GD$2:$GD$92, GD187)/(COUNTIF($GD$2:$GD$92, "&lt;&gt;""") - COUNTIF($GD$2:$GD$92, ""))</f>
        <v>1.1111111111111112E-2</v>
      </c>
      <c r="GF187" s="207"/>
      <c r="GG187" s="36"/>
      <c r="GH187" s="209" t="e">
        <f t="shared" ca="1" si="107"/>
        <v>#NAME?</v>
      </c>
      <c r="GI187" s="212" t="e">
        <f t="shared" ca="1" si="274"/>
        <v>#NAME?</v>
      </c>
    </row>
    <row r="188" spans="1:191" ht="15.75" customHeight="1">
      <c r="A188" s="171"/>
      <c r="B188" s="171" t="s">
        <v>501</v>
      </c>
      <c r="C188" s="16">
        <v>1791992</v>
      </c>
      <c r="D188" s="233" t="s">
        <v>1499</v>
      </c>
      <c r="E188" s="234">
        <v>43763.444444444445</v>
      </c>
      <c r="F188" s="16" t="s">
        <v>337</v>
      </c>
      <c r="G188" s="235" t="s">
        <v>1500</v>
      </c>
      <c r="H188" s="235" t="s">
        <v>1501</v>
      </c>
      <c r="I188" s="241">
        <v>43882</v>
      </c>
      <c r="J188" s="233" t="s">
        <v>1502</v>
      </c>
      <c r="K188" s="233" t="s">
        <v>1499</v>
      </c>
      <c r="M188" s="16" t="s">
        <v>323</v>
      </c>
      <c r="N188" s="16" t="s">
        <v>320</v>
      </c>
      <c r="O188" s="16" t="s">
        <v>30</v>
      </c>
      <c r="P188" s="16" t="s">
        <v>31</v>
      </c>
      <c r="Q188" s="16" t="s">
        <v>35</v>
      </c>
      <c r="S188" s="16" t="s">
        <v>232</v>
      </c>
      <c r="T188" s="237"/>
      <c r="U188" s="213"/>
      <c r="V188" s="54">
        <v>8000000</v>
      </c>
      <c r="W188" s="54"/>
      <c r="X188" s="226"/>
      <c r="Y188" s="55" t="str">
        <f t="shared" si="158"/>
        <v/>
      </c>
      <c r="Z188" s="274">
        <f t="shared" si="159"/>
        <v>8000000</v>
      </c>
      <c r="AA188" s="183" t="e">
        <f t="shared" ca="1" si="160"/>
        <v>#NAME?</v>
      </c>
      <c r="AB188" s="16" t="s">
        <v>178</v>
      </c>
      <c r="AC188" s="16" t="s">
        <v>218</v>
      </c>
      <c r="AD188" s="16" t="s">
        <v>180</v>
      </c>
      <c r="AE188" s="16" t="s">
        <v>227</v>
      </c>
      <c r="AF188" s="16" t="s">
        <v>181</v>
      </c>
      <c r="AG188" s="16" t="s">
        <v>181</v>
      </c>
      <c r="AH188" s="16" t="s">
        <v>190</v>
      </c>
      <c r="AI188" s="54"/>
      <c r="AJ188" s="278">
        <v>1095000000</v>
      </c>
      <c r="AK188" s="224" t="e">
        <f t="shared" ca="1" si="161"/>
        <v>#NAME?</v>
      </c>
      <c r="AL188" s="278">
        <v>1095000000</v>
      </c>
      <c r="AM188" s="224" t="e">
        <f t="shared" ca="1" si="162"/>
        <v>#NAME?</v>
      </c>
      <c r="AN188" s="278">
        <v>0.05</v>
      </c>
      <c r="AO188" s="185" t="e">
        <f t="shared" ca="1" si="63"/>
        <v>#NAME?</v>
      </c>
      <c r="AP188" s="185" t="s">
        <v>264</v>
      </c>
      <c r="AQ188" s="16" t="s">
        <v>39</v>
      </c>
      <c r="AR188" s="16" t="s">
        <v>181</v>
      </c>
      <c r="AS188" s="16" t="s">
        <v>42</v>
      </c>
      <c r="AT188" s="159"/>
      <c r="AU188" s="159"/>
      <c r="AV188" s="16" t="s">
        <v>190</v>
      </c>
      <c r="AW188" s="16" t="s">
        <v>190</v>
      </c>
      <c r="AX188" s="16" t="s">
        <v>227</v>
      </c>
      <c r="AY188" s="16" t="s">
        <v>227</v>
      </c>
      <c r="AZ188" s="54">
        <v>0</v>
      </c>
      <c r="BA188" s="55" t="e">
        <f t="shared" ca="1" si="163"/>
        <v>#NAME?</v>
      </c>
      <c r="BB188" s="278">
        <v>272</v>
      </c>
      <c r="BC188" s="278">
        <v>0</v>
      </c>
      <c r="BD188" s="62" t="e">
        <f t="shared" ca="1" si="164"/>
        <v>#NAME?</v>
      </c>
      <c r="BE188" s="277">
        <f t="shared" si="165"/>
        <v>1</v>
      </c>
      <c r="BF188" s="62" t="e">
        <f t="shared" ca="1" si="166"/>
        <v>#NAME?</v>
      </c>
      <c r="BG188" s="16" t="s">
        <v>183</v>
      </c>
      <c r="BI188" s="16" t="s">
        <v>227</v>
      </c>
      <c r="BJ188" s="16">
        <v>3</v>
      </c>
      <c r="BK188" s="278">
        <v>1</v>
      </c>
      <c r="BL188" s="16" t="s">
        <v>227</v>
      </c>
      <c r="BM188" s="16" t="s">
        <v>190</v>
      </c>
      <c r="BN188" s="16" t="s">
        <v>227</v>
      </c>
      <c r="BO188" s="16" t="s">
        <v>190</v>
      </c>
      <c r="BP188" s="16">
        <v>3</v>
      </c>
      <c r="BQ188" s="16">
        <v>2</v>
      </c>
      <c r="BR188" s="16">
        <v>3</v>
      </c>
      <c r="BS188" s="16">
        <v>0</v>
      </c>
      <c r="BT188" s="205"/>
      <c r="BU188" s="16">
        <v>2</v>
      </c>
      <c r="BV188" s="16">
        <v>0</v>
      </c>
      <c r="BW188" s="16">
        <v>48</v>
      </c>
      <c r="BX188" s="16" t="s">
        <v>190</v>
      </c>
      <c r="BY188" s="205"/>
      <c r="CD188" s="205"/>
      <c r="CI188" s="205"/>
      <c r="CN188" s="205"/>
      <c r="CS188" s="205"/>
      <c r="CX188" s="205"/>
      <c r="DC188" s="205"/>
      <c r="DH188" s="205"/>
      <c r="DM188" s="205"/>
      <c r="DN188" s="205"/>
      <c r="DO188" s="205"/>
      <c r="DQ188" s="206"/>
      <c r="DR188" s="188">
        <f t="shared" si="64"/>
        <v>2</v>
      </c>
      <c r="DS188" s="188"/>
      <c r="DT188" s="189">
        <f t="shared" si="65"/>
        <v>0</v>
      </c>
      <c r="DU188" s="189"/>
      <c r="DV188" s="188">
        <f t="shared" si="66"/>
        <v>48</v>
      </c>
      <c r="DW188" s="183" t="e">
        <f t="shared" ca="1" si="67"/>
        <v>#NAME?</v>
      </c>
      <c r="DX188" s="207"/>
      <c r="DY188" s="190" t="e">
        <f t="shared" ca="1" si="68"/>
        <v>#NAME?</v>
      </c>
      <c r="DZ188" s="191" t="str">
        <f t="shared" si="264"/>
        <v/>
      </c>
      <c r="EA188" s="191" t="str">
        <f t="shared" si="265"/>
        <v/>
      </c>
      <c r="EB188" s="191" t="str">
        <f t="shared" si="266"/>
        <v/>
      </c>
      <c r="EC188" s="208" t="e">
        <f t="shared" ca="1" si="72"/>
        <v>#NAME?</v>
      </c>
      <c r="ED188" s="36" t="str">
        <f t="shared" si="73"/>
        <v>Equity - Preferred</v>
      </c>
      <c r="EE188" s="193">
        <f>COUNTIF($ED$2:$ED$92, ED188)/(COUNTIF($ED$2:$ED$92, "&lt;&gt;""") - COUNTIF($ED$2:$ED$92, ""))</f>
        <v>6.6666666666666666E-2</v>
      </c>
      <c r="EF188" s="36" t="str">
        <f t="shared" si="74"/>
        <v>Early</v>
      </c>
      <c r="EG188" s="207"/>
      <c r="EH188" s="194" t="e">
        <f t="shared" ca="1" si="75"/>
        <v>#NAME?</v>
      </c>
      <c r="EI188" s="194" t="e">
        <f t="shared" ca="1" si="76"/>
        <v>#NAME?</v>
      </c>
      <c r="EJ188" s="209" t="e">
        <f t="shared" ca="1" si="77"/>
        <v>#NAME?</v>
      </c>
      <c r="EK188" s="208" t="e">
        <f t="shared" ca="1" si="267"/>
        <v>#NAME?</v>
      </c>
      <c r="EL188" s="36" t="str">
        <f t="shared" si="79"/>
        <v>No</v>
      </c>
      <c r="EM188" s="207"/>
      <c r="EN188" s="192">
        <f t="shared" si="268"/>
        <v>1.1904761904761905</v>
      </c>
      <c r="EO188" s="192">
        <f t="shared" si="269"/>
        <v>1</v>
      </c>
      <c r="EP188" s="209">
        <f t="shared" si="82"/>
        <v>2.1904761904761907</v>
      </c>
      <c r="EQ188" s="210">
        <f t="shared" si="270"/>
        <v>1.1495327102803741</v>
      </c>
      <c r="ER188" s="36" t="e">
        <f t="shared" ca="1" si="84"/>
        <v>#NAME?</v>
      </c>
      <c r="ES188" s="40">
        <f ca="1">COUNTIF($ER$2:$ER$92, ER188)/(COUNTIF($ER$2:$ER$92, "&lt;&gt;""") - COUNTIF($ER$2:$ER$92, ""))</f>
        <v>1</v>
      </c>
      <c r="ET188" s="36">
        <f t="shared" si="85"/>
        <v>1</v>
      </c>
      <c r="EU188" s="40">
        <f>COUNTIF($ET$2:$ET$92, ET188)/(COUNTIF($ET$2:$ET$92, "&lt;&gt;""") - COUNTIF($ET$2:$ET$92, ""))</f>
        <v>0.45555555555555555</v>
      </c>
      <c r="EV188" s="36">
        <f t="shared" si="86"/>
        <v>2</v>
      </c>
      <c r="EW188" s="40">
        <f>COUNTIF($EV$2:$EV$92, EV188)/(COUNTIF($EV$2:$EV$92, "&lt;&gt;""") - COUNTIF($EV$2:$EV$92, ""))</f>
        <v>0.15555555555555556</v>
      </c>
      <c r="EX188" s="36" t="str">
        <f t="shared" si="87"/>
        <v>Yes</v>
      </c>
      <c r="EY188" s="40">
        <f>COUNTIF($EX$2:$EX$92, EX188)/(COUNTIF($EX$2:$EX$92, "&lt;&gt;""") - COUNTIF($EX$2:$EX$92, ""))</f>
        <v>0.27777777777777779</v>
      </c>
      <c r="EZ188" s="36" t="str">
        <f t="shared" ref="EZ188:FB188" si="321">BM188</f>
        <v>No</v>
      </c>
      <c r="FA188" s="36" t="str">
        <f t="shared" si="321"/>
        <v>Yes</v>
      </c>
      <c r="FB188" s="36" t="str">
        <f t="shared" si="321"/>
        <v>No</v>
      </c>
      <c r="FC188" s="207"/>
      <c r="FD188" s="36" t="str">
        <f t="shared" si="89"/>
        <v>Recurring</v>
      </c>
      <c r="FE188" s="40">
        <f>COUNTIF($FD$2:$FD$92, FD188)/(COUNTIF($FD$2:$FD$92, "&lt;&gt;""") - COUNTIF($FD$2:$FD$92, ""))</f>
        <v>0.4</v>
      </c>
      <c r="FF188" s="36" t="str">
        <f t="shared" si="90"/>
        <v>B2B/B2C</v>
      </c>
      <c r="FG188" s="40">
        <f>COUNTIF($FF$2:$FF$92, FF188)/(COUNTIF($FF$2:$FF$92, "&lt;&gt;""") - COUNTIF($FF$2:$FF$92, ""))</f>
        <v>0.27777777777777779</v>
      </c>
      <c r="FH188" s="36" t="str">
        <f t="shared" si="91"/>
        <v>Low</v>
      </c>
      <c r="FI188" s="40">
        <f>COUNTIF($FH$2:$FH$92, FH188)/(COUNTIF($FH$2:$FH$92, "&lt;&gt;""") - COUNTIF($FH$2:$FH$92, ""))</f>
        <v>0.46666666666666667</v>
      </c>
      <c r="FJ188" s="36" t="str">
        <f t="shared" si="92"/>
        <v>Low</v>
      </c>
      <c r="FK188" s="40">
        <f>COUNTIF($FJ$2:$FJ$92, FJ188)/(COUNTIF($FJ$2:$FJ$92, "&lt;&gt;""") - COUNTIF($FJ$2:$FJ$92, ""))</f>
        <v>0.41111111111111109</v>
      </c>
      <c r="FL188" s="207"/>
      <c r="FM188" s="192">
        <f t="shared" si="93"/>
        <v>5</v>
      </c>
      <c r="FN188" s="192" t="e">
        <f t="shared" ca="1" si="94"/>
        <v>#NAME?</v>
      </c>
      <c r="FO188" s="192" t="e">
        <f t="shared" ca="1" si="95"/>
        <v>#NAME?</v>
      </c>
      <c r="FP188" s="192" t="e">
        <f t="shared" ca="1" si="96"/>
        <v>#NAME?</v>
      </c>
      <c r="FQ188" s="209" t="e">
        <f t="shared" ca="1" si="97"/>
        <v>#NAME?</v>
      </c>
      <c r="FR188" s="208" t="e">
        <f t="shared" ca="1" si="272"/>
        <v>#NAME?</v>
      </c>
      <c r="FS188" s="36" t="str">
        <f t="shared" si="99"/>
        <v>Pre-Revenue</v>
      </c>
      <c r="FT188" s="196">
        <f>COUNTIF($FS$2:$FS$92, FS188)/(COUNTIF($FS$2:$FS$92, "&lt;&gt;""") - COUNTIF($FZ$2:$FZ$92, ""))</f>
        <v>0.2</v>
      </c>
      <c r="FU188" s="207"/>
      <c r="FV188" s="192">
        <f t="shared" si="100"/>
        <v>3</v>
      </c>
      <c r="FW188" s="197" t="e">
        <f t="shared" ca="1" si="101"/>
        <v>#NAME?</v>
      </c>
      <c r="FX188" s="209" t="e">
        <f t="shared" ca="1" si="102"/>
        <v>#NAME?</v>
      </c>
      <c r="FY188" s="211" t="e">
        <f t="shared" ca="1" si="273"/>
        <v>#NAME?</v>
      </c>
      <c r="FZ188" s="36" t="str">
        <f t="shared" si="104"/>
        <v>No</v>
      </c>
      <c r="GA188" s="196">
        <f>COUNTIF($FZ$2:$FZ$92, FZ188)/(COUNTIF($FZ$2:$FZ$92, "&lt;&gt;""") - COUNTIF($FZ$2:$FZ$92, ""))</f>
        <v>0.76666666666666672</v>
      </c>
      <c r="GB188" s="196">
        <f t="shared" si="105"/>
        <v>0</v>
      </c>
      <c r="GC188" s="196">
        <f>COUNTIF($GB$2:$GB$92, GB188)/(COUNTIF($GB$2:$GB$92, "&lt;&gt;""") - COUNTIF($GB$2:$GB$92, ""))</f>
        <v>1.1111111111111112E-2</v>
      </c>
      <c r="GD188" s="196">
        <f t="shared" si="106"/>
        <v>0</v>
      </c>
      <c r="GE188" s="196">
        <f>COUNTIF($GD$2:$GD$92, GD188)/(COUNTIF($GD$2:$GD$92, "&lt;&gt;""") - COUNTIF($GD$2:$GD$92, ""))</f>
        <v>1.1111111111111112E-2</v>
      </c>
      <c r="GF188" s="207"/>
      <c r="GG188" s="36"/>
      <c r="GH188" s="209" t="e">
        <f t="shared" ca="1" si="107"/>
        <v>#NAME?</v>
      </c>
      <c r="GI188" s="212" t="e">
        <f t="shared" ca="1" si="274"/>
        <v>#NAME?</v>
      </c>
    </row>
    <row r="189" spans="1:191" ht="15.75" customHeight="1">
      <c r="A189" s="171"/>
      <c r="B189" s="171" t="s">
        <v>501</v>
      </c>
      <c r="C189" s="16">
        <v>1792013</v>
      </c>
      <c r="D189" s="233" t="s">
        <v>1503</v>
      </c>
      <c r="E189" s="234">
        <v>43766.493055555555</v>
      </c>
      <c r="F189" s="16" t="s">
        <v>1504</v>
      </c>
      <c r="G189" s="235" t="s">
        <v>1505</v>
      </c>
      <c r="H189" s="235" t="s">
        <v>1506</v>
      </c>
      <c r="I189" s="241">
        <v>43766</v>
      </c>
      <c r="J189" s="233" t="s">
        <v>1507</v>
      </c>
      <c r="K189" s="233" t="s">
        <v>1503</v>
      </c>
      <c r="M189" s="16" t="s">
        <v>1194</v>
      </c>
      <c r="N189" s="16" t="s">
        <v>294</v>
      </c>
      <c r="O189" s="16" t="s">
        <v>30</v>
      </c>
      <c r="P189" s="16" t="s">
        <v>31</v>
      </c>
      <c r="Q189" s="16" t="s">
        <v>35</v>
      </c>
      <c r="S189" s="16" t="s">
        <v>176</v>
      </c>
      <c r="T189" s="237"/>
      <c r="U189" s="213"/>
      <c r="V189" s="54"/>
      <c r="W189" s="54">
        <v>4000000</v>
      </c>
      <c r="X189" s="226">
        <v>0.2</v>
      </c>
      <c r="Y189" s="55">
        <f t="shared" si="158"/>
        <v>3200000</v>
      </c>
      <c r="Z189" s="274">
        <f t="shared" si="159"/>
        <v>3200000</v>
      </c>
      <c r="AA189" s="183" t="e">
        <f t="shared" ca="1" si="160"/>
        <v>#NAME?</v>
      </c>
      <c r="AB189" s="16" t="s">
        <v>178</v>
      </c>
      <c r="AC189" s="16" t="s">
        <v>218</v>
      </c>
      <c r="AD189" s="16" t="s">
        <v>38</v>
      </c>
      <c r="AE189" s="16" t="s">
        <v>227</v>
      </c>
      <c r="AF189" s="16" t="s">
        <v>181</v>
      </c>
      <c r="AG189" s="16" t="s">
        <v>181</v>
      </c>
      <c r="AH189" s="16" t="s">
        <v>190</v>
      </c>
      <c r="AI189" s="54"/>
      <c r="AJ189" s="278">
        <v>16160000000</v>
      </c>
      <c r="AK189" s="224" t="e">
        <f t="shared" ca="1" si="161"/>
        <v>#NAME?</v>
      </c>
      <c r="AL189" s="278">
        <v>16160000000</v>
      </c>
      <c r="AM189" s="224" t="e">
        <f t="shared" ca="1" si="162"/>
        <v>#NAME?</v>
      </c>
      <c r="AN189" s="278">
        <v>0.19</v>
      </c>
      <c r="AO189" s="185" t="e">
        <f t="shared" ca="1" si="63"/>
        <v>#NAME?</v>
      </c>
      <c r="AP189" s="185" t="s">
        <v>192</v>
      </c>
      <c r="AQ189" s="16" t="s">
        <v>181</v>
      </c>
      <c r="AR189" s="16" t="s">
        <v>181</v>
      </c>
      <c r="AS189" s="16" t="s">
        <v>42</v>
      </c>
      <c r="AT189" s="159"/>
      <c r="AU189" s="159"/>
      <c r="AV189" s="16" t="s">
        <v>190</v>
      </c>
      <c r="AW189" s="16" t="s">
        <v>190</v>
      </c>
      <c r="AX189" s="16" t="s">
        <v>190</v>
      </c>
      <c r="AY189" s="16" t="s">
        <v>190</v>
      </c>
      <c r="AZ189" s="54">
        <v>0</v>
      </c>
      <c r="BA189" s="55" t="e">
        <f t="shared" ca="1" si="163"/>
        <v>#NAME?</v>
      </c>
      <c r="BB189" s="278">
        <v>0</v>
      </c>
      <c r="BC189" s="278">
        <v>0</v>
      </c>
      <c r="BD189" s="62" t="e">
        <f t="shared" ca="1" si="164"/>
        <v>#NAME?</v>
      </c>
      <c r="BE189" s="277">
        <f t="shared" si="165"/>
        <v>1</v>
      </c>
      <c r="BF189" s="62" t="e">
        <f t="shared" ca="1" si="166"/>
        <v>#NAME?</v>
      </c>
      <c r="BG189" s="16" t="s">
        <v>43</v>
      </c>
      <c r="BI189" s="16" t="s">
        <v>190</v>
      </c>
      <c r="BJ189" s="16">
        <v>0</v>
      </c>
      <c r="BK189" s="278">
        <v>2</v>
      </c>
      <c r="BL189" s="16" t="s">
        <v>190</v>
      </c>
      <c r="BM189" s="16" t="s">
        <v>190</v>
      </c>
      <c r="BN189" s="16" t="s">
        <v>227</v>
      </c>
      <c r="BO189" s="16" t="s">
        <v>190</v>
      </c>
      <c r="BP189" s="16">
        <v>2</v>
      </c>
      <c r="BQ189" s="16">
        <v>2</v>
      </c>
      <c r="BR189" s="16">
        <v>4</v>
      </c>
      <c r="BS189" s="16">
        <v>0</v>
      </c>
      <c r="BT189" s="205"/>
      <c r="BU189" s="16">
        <v>0</v>
      </c>
      <c r="BV189" s="16">
        <v>0</v>
      </c>
      <c r="BW189" s="16">
        <v>30</v>
      </c>
      <c r="BX189" s="16" t="s">
        <v>190</v>
      </c>
      <c r="BY189" s="205"/>
      <c r="BZ189" s="16">
        <v>0</v>
      </c>
      <c r="CA189" s="16">
        <v>0</v>
      </c>
      <c r="CB189" s="16">
        <v>30</v>
      </c>
      <c r="CC189" s="16" t="s">
        <v>190</v>
      </c>
      <c r="CD189" s="205"/>
      <c r="CI189" s="205"/>
      <c r="CN189" s="205"/>
      <c r="CS189" s="205"/>
      <c r="CX189" s="205"/>
      <c r="DC189" s="205"/>
      <c r="DH189" s="205"/>
      <c r="DM189" s="205"/>
      <c r="DN189" s="205"/>
      <c r="DO189" s="205"/>
      <c r="DQ189" s="206"/>
      <c r="DR189" s="188">
        <f t="shared" si="64"/>
        <v>0</v>
      </c>
      <c r="DS189" s="188"/>
      <c r="DT189" s="189">
        <f t="shared" si="65"/>
        <v>0</v>
      </c>
      <c r="DU189" s="189"/>
      <c r="DV189" s="188">
        <f t="shared" si="66"/>
        <v>30</v>
      </c>
      <c r="DW189" s="183" t="e">
        <f t="shared" ca="1" si="67"/>
        <v>#NAME?</v>
      </c>
      <c r="DX189" s="207"/>
      <c r="DY189" s="190" t="e">
        <f t="shared" ca="1" si="68"/>
        <v>#NAME?</v>
      </c>
      <c r="DZ189" s="191">
        <f t="shared" si="264"/>
        <v>3.1052631578947367</v>
      </c>
      <c r="EA189" s="191" t="str">
        <f t="shared" si="265"/>
        <v/>
      </c>
      <c r="EB189" s="191" t="str">
        <f t="shared" si="266"/>
        <v/>
      </c>
      <c r="EC189" s="208" t="e">
        <f t="shared" ca="1" si="72"/>
        <v>#NAME?</v>
      </c>
      <c r="ED189" s="36" t="str">
        <f t="shared" si="73"/>
        <v>Convertible Note</v>
      </c>
      <c r="EE189" s="193">
        <f>COUNTIF($ED$2:$ED$92, ED189)/(COUNTIF($ED$2:$ED$92, "&lt;&gt;""") - COUNTIF($ED$2:$ED$92, ""))</f>
        <v>0.13333333333333333</v>
      </c>
      <c r="EF189" s="36" t="str">
        <f t="shared" si="74"/>
        <v>Early</v>
      </c>
      <c r="EG189" s="207"/>
      <c r="EH189" s="194" t="e">
        <f t="shared" ca="1" si="75"/>
        <v>#NAME?</v>
      </c>
      <c r="EI189" s="194" t="e">
        <f t="shared" ca="1" si="76"/>
        <v>#NAME?</v>
      </c>
      <c r="EJ189" s="209" t="e">
        <f t="shared" ca="1" si="77"/>
        <v>#NAME?</v>
      </c>
      <c r="EK189" s="208" t="e">
        <f t="shared" ca="1" si="267"/>
        <v>#NAME?</v>
      </c>
      <c r="EL189" s="36" t="str">
        <f t="shared" si="79"/>
        <v>No</v>
      </c>
      <c r="EM189" s="207"/>
      <c r="EN189" s="192">
        <f t="shared" si="268"/>
        <v>1</v>
      </c>
      <c r="EO189" s="192">
        <f t="shared" si="269"/>
        <v>1</v>
      </c>
      <c r="EP189" s="209">
        <f t="shared" si="82"/>
        <v>2</v>
      </c>
      <c r="EQ189" s="210">
        <f t="shared" si="270"/>
        <v>1</v>
      </c>
      <c r="ER189" s="36" t="e">
        <f t="shared" ca="1" si="84"/>
        <v>#NAME?</v>
      </c>
      <c r="ES189" s="40">
        <f ca="1">COUNTIF($ER$2:$ER$92, ER189)/(COUNTIF($ER$2:$ER$92, "&lt;&gt;""") - COUNTIF($ER$2:$ER$92, ""))</f>
        <v>1</v>
      </c>
      <c r="ET189" s="36">
        <f t="shared" si="85"/>
        <v>2</v>
      </c>
      <c r="EU189" s="40">
        <f>COUNTIF($ET$2:$ET$92, ET189)/(COUNTIF($ET$2:$ET$92, "&lt;&gt;""") - COUNTIF($ET$2:$ET$92, ""))</f>
        <v>0.45555555555555555</v>
      </c>
      <c r="EV189" s="36">
        <f t="shared" si="86"/>
        <v>2</v>
      </c>
      <c r="EW189" s="40">
        <f>COUNTIF($EV$2:$EV$92, EV189)/(COUNTIF($EV$2:$EV$92, "&lt;&gt;""") - COUNTIF($EV$2:$EV$92, ""))</f>
        <v>0.15555555555555556</v>
      </c>
      <c r="EX189" s="36" t="str">
        <f t="shared" si="87"/>
        <v>No</v>
      </c>
      <c r="EY189" s="40">
        <f>COUNTIF($EX$2:$EX$92, EX189)/(COUNTIF($EX$2:$EX$92, "&lt;&gt;""") - COUNTIF($EX$2:$EX$92, ""))</f>
        <v>0.72222222222222221</v>
      </c>
      <c r="EZ189" s="36" t="str">
        <f t="shared" ref="EZ189:FB189" si="322">BM189</f>
        <v>No</v>
      </c>
      <c r="FA189" s="36" t="str">
        <f t="shared" si="322"/>
        <v>Yes</v>
      </c>
      <c r="FB189" s="36" t="str">
        <f t="shared" si="322"/>
        <v>No</v>
      </c>
      <c r="FC189" s="207"/>
      <c r="FD189" s="36" t="str">
        <f t="shared" si="89"/>
        <v>Recurring</v>
      </c>
      <c r="FE189" s="40">
        <f>COUNTIF($FD$2:$FD$92, FD189)/(COUNTIF($FD$2:$FD$92, "&lt;&gt;""") - COUNTIF($FD$2:$FD$92, ""))</f>
        <v>0.4</v>
      </c>
      <c r="FF189" s="36" t="str">
        <f t="shared" si="90"/>
        <v>B2B/B2C</v>
      </c>
      <c r="FG189" s="40">
        <f>COUNTIF($FF$2:$FF$92, FF189)/(COUNTIF($FF$2:$FF$92, "&lt;&gt;""") - COUNTIF($FF$2:$FF$92, ""))</f>
        <v>0.27777777777777779</v>
      </c>
      <c r="FH189" s="36" t="str">
        <f t="shared" si="91"/>
        <v>Low</v>
      </c>
      <c r="FI189" s="40">
        <f>COUNTIF($FH$2:$FH$92, FH189)/(COUNTIF($FH$2:$FH$92, "&lt;&gt;""") - COUNTIF($FH$2:$FH$92, ""))</f>
        <v>0.46666666666666667</v>
      </c>
      <c r="FJ189" s="36" t="str">
        <f t="shared" si="92"/>
        <v>Low</v>
      </c>
      <c r="FK189" s="40">
        <f>COUNTIF($FJ$2:$FJ$92, FJ189)/(COUNTIF($FJ$2:$FJ$92, "&lt;&gt;""") - COUNTIF($FJ$2:$FJ$92, ""))</f>
        <v>0.41111111111111109</v>
      </c>
      <c r="FL189" s="207"/>
      <c r="FM189" s="192">
        <f t="shared" si="93"/>
        <v>1</v>
      </c>
      <c r="FN189" s="192" t="e">
        <f t="shared" ca="1" si="94"/>
        <v>#NAME?</v>
      </c>
      <c r="FO189" s="192" t="e">
        <f t="shared" ca="1" si="95"/>
        <v>#NAME?</v>
      </c>
      <c r="FP189" s="192" t="e">
        <f t="shared" ca="1" si="96"/>
        <v>#NAME?</v>
      </c>
      <c r="FQ189" s="209" t="e">
        <f t="shared" ca="1" si="97"/>
        <v>#NAME?</v>
      </c>
      <c r="FR189" s="208" t="e">
        <f t="shared" ca="1" si="272"/>
        <v>#NAME?</v>
      </c>
      <c r="FS189" s="36" t="str">
        <f t="shared" si="99"/>
        <v>Pre-Product</v>
      </c>
      <c r="FT189" s="196">
        <f>COUNTIF($FS$2:$FS$92, FS189)/(COUNTIF($FS$2:$FS$92, "&lt;&gt;""") - COUNTIF($FZ$2:$FZ$92, ""))</f>
        <v>0.22222222222222221</v>
      </c>
      <c r="FU189" s="207"/>
      <c r="FV189" s="192" t="e">
        <f t="shared" ca="1" si="100"/>
        <v>#NAME?</v>
      </c>
      <c r="FW189" s="197" t="e">
        <f t="shared" ca="1" si="101"/>
        <v>#NAME?</v>
      </c>
      <c r="FX189" s="209" t="e">
        <f t="shared" ca="1" si="102"/>
        <v>#NAME?</v>
      </c>
      <c r="FY189" s="211" t="e">
        <f t="shared" ca="1" si="273"/>
        <v>#NAME?</v>
      </c>
      <c r="FZ189" s="36" t="str">
        <f t="shared" si="104"/>
        <v>No</v>
      </c>
      <c r="GA189" s="196">
        <f>COUNTIF($FZ$2:$FZ$92, FZ189)/(COUNTIF($FZ$2:$FZ$92, "&lt;&gt;""") - COUNTIF($FZ$2:$FZ$92, ""))</f>
        <v>0.76666666666666672</v>
      </c>
      <c r="GB189" s="196">
        <f t="shared" si="105"/>
        <v>0</v>
      </c>
      <c r="GC189" s="196">
        <f>COUNTIF($GB$2:$GB$92, GB189)/(COUNTIF($GB$2:$GB$92, "&lt;&gt;""") - COUNTIF($GB$2:$GB$92, ""))</f>
        <v>1.1111111111111112E-2</v>
      </c>
      <c r="GD189" s="196">
        <f t="shared" si="106"/>
        <v>0</v>
      </c>
      <c r="GE189" s="196">
        <f>COUNTIF($GD$2:$GD$92, GD189)/(COUNTIF($GD$2:$GD$92, "&lt;&gt;""") - COUNTIF($GD$2:$GD$92, ""))</f>
        <v>1.1111111111111112E-2</v>
      </c>
      <c r="GF189" s="207"/>
      <c r="GG189" s="36"/>
      <c r="GH189" s="209" t="e">
        <f t="shared" ca="1" si="107"/>
        <v>#NAME?</v>
      </c>
      <c r="GI189" s="212" t="e">
        <f t="shared" ca="1" si="274"/>
        <v>#NAME?</v>
      </c>
    </row>
    <row r="190" spans="1:191" ht="15.75" customHeight="1">
      <c r="A190" s="171"/>
      <c r="B190" s="171" t="s">
        <v>501</v>
      </c>
      <c r="C190" s="16">
        <v>1791721</v>
      </c>
      <c r="D190" s="233" t="s">
        <v>1508</v>
      </c>
      <c r="E190" s="234">
        <v>43767.440972222219</v>
      </c>
      <c r="F190" s="16" t="s">
        <v>337</v>
      </c>
      <c r="G190" s="235" t="s">
        <v>1509</v>
      </c>
      <c r="H190" s="235" t="s">
        <v>1510</v>
      </c>
      <c r="I190" s="241">
        <v>43857</v>
      </c>
      <c r="J190" s="233" t="s">
        <v>1511</v>
      </c>
      <c r="K190" s="233" t="s">
        <v>1508</v>
      </c>
      <c r="M190" s="16" t="s">
        <v>747</v>
      </c>
      <c r="N190" s="16" t="s">
        <v>324</v>
      </c>
      <c r="O190" s="16" t="s">
        <v>30</v>
      </c>
      <c r="P190" s="16" t="s">
        <v>31</v>
      </c>
      <c r="Q190" s="16" t="s">
        <v>35</v>
      </c>
      <c r="S190" s="16" t="s">
        <v>216</v>
      </c>
      <c r="T190" s="237"/>
      <c r="U190" s="213"/>
      <c r="V190" s="54">
        <v>3000000</v>
      </c>
      <c r="W190" s="54"/>
      <c r="X190" s="226"/>
      <c r="Y190" s="55" t="str">
        <f t="shared" si="158"/>
        <v/>
      </c>
      <c r="Z190" s="274">
        <f t="shared" si="159"/>
        <v>3000000</v>
      </c>
      <c r="AA190" s="183" t="e">
        <f t="shared" ca="1" si="160"/>
        <v>#NAME?</v>
      </c>
      <c r="AB190" s="16" t="s">
        <v>36</v>
      </c>
      <c r="AC190" s="16" t="s">
        <v>179</v>
      </c>
      <c r="AD190" s="16" t="s">
        <v>38</v>
      </c>
      <c r="AE190" s="16" t="s">
        <v>227</v>
      </c>
      <c r="AF190" s="16" t="s">
        <v>181</v>
      </c>
      <c r="AG190" s="16" t="s">
        <v>39</v>
      </c>
      <c r="AH190" s="16" t="s">
        <v>190</v>
      </c>
      <c r="AI190" s="54"/>
      <c r="AJ190" s="278">
        <v>575000000000</v>
      </c>
      <c r="AK190" s="224" t="e">
        <f t="shared" ca="1" si="161"/>
        <v>#NAME?</v>
      </c>
      <c r="AL190" s="278">
        <v>575000000000</v>
      </c>
      <c r="AM190" s="224" t="e">
        <f t="shared" ca="1" si="162"/>
        <v>#NAME?</v>
      </c>
      <c r="AN190" s="278">
        <v>7.0000000000000007E-2</v>
      </c>
      <c r="AO190" s="185" t="e">
        <f t="shared" ca="1" si="63"/>
        <v>#NAME?</v>
      </c>
      <c r="AP190" s="185" t="s">
        <v>169</v>
      </c>
      <c r="AQ190" s="16" t="s">
        <v>181</v>
      </c>
      <c r="AR190" s="16" t="s">
        <v>181</v>
      </c>
      <c r="AS190" s="16" t="s">
        <v>42</v>
      </c>
      <c r="AT190" s="159"/>
      <c r="AU190" s="159"/>
      <c r="AV190" s="16" t="s">
        <v>190</v>
      </c>
      <c r="AW190" s="16" t="s">
        <v>190</v>
      </c>
      <c r="AX190" s="16" t="s">
        <v>190</v>
      </c>
      <c r="AY190" s="16" t="s">
        <v>190</v>
      </c>
      <c r="AZ190" s="54">
        <v>0</v>
      </c>
      <c r="BA190" s="55" t="e">
        <f t="shared" ca="1" si="163"/>
        <v>#NAME?</v>
      </c>
      <c r="BB190" s="278">
        <v>479</v>
      </c>
      <c r="BC190" s="278">
        <v>0</v>
      </c>
      <c r="BD190" s="62" t="e">
        <f t="shared" ca="1" si="164"/>
        <v>#NAME?</v>
      </c>
      <c r="BE190" s="277">
        <f t="shared" si="165"/>
        <v>1</v>
      </c>
      <c r="BF190" s="62" t="e">
        <f t="shared" ca="1" si="166"/>
        <v>#NAME?</v>
      </c>
      <c r="BG190" s="16" t="s">
        <v>43</v>
      </c>
      <c r="BI190" s="16" t="s">
        <v>190</v>
      </c>
      <c r="BJ190" s="16">
        <v>0</v>
      </c>
      <c r="BK190" s="278">
        <v>1</v>
      </c>
      <c r="BL190" s="16" t="s">
        <v>190</v>
      </c>
      <c r="BM190" s="16" t="s">
        <v>190</v>
      </c>
      <c r="BN190" s="16" t="s">
        <v>190</v>
      </c>
      <c r="BO190" s="16" t="s">
        <v>190</v>
      </c>
      <c r="BP190" s="16">
        <v>0</v>
      </c>
      <c r="BQ190" s="16">
        <v>1</v>
      </c>
      <c r="BR190" s="16">
        <v>0</v>
      </c>
      <c r="BS190" s="16">
        <v>0</v>
      </c>
      <c r="BT190" s="205"/>
      <c r="BU190" s="16">
        <v>0</v>
      </c>
      <c r="BV190" s="16">
        <v>1</v>
      </c>
      <c r="BW190" s="16">
        <v>42</v>
      </c>
      <c r="BX190" s="16" t="s">
        <v>190</v>
      </c>
      <c r="BY190" s="205"/>
      <c r="CD190" s="205"/>
      <c r="CI190" s="205"/>
      <c r="CN190" s="205"/>
      <c r="CS190" s="205"/>
      <c r="CX190" s="205"/>
      <c r="DC190" s="205"/>
      <c r="DH190" s="205"/>
      <c r="DM190" s="205"/>
      <c r="DN190" s="205"/>
      <c r="DO190" s="205"/>
      <c r="DQ190" s="206"/>
      <c r="DR190" s="188">
        <f t="shared" si="64"/>
        <v>0</v>
      </c>
      <c r="DS190" s="188"/>
      <c r="DT190" s="189">
        <f t="shared" si="65"/>
        <v>1</v>
      </c>
      <c r="DU190" s="189"/>
      <c r="DV190" s="188">
        <f t="shared" si="66"/>
        <v>42</v>
      </c>
      <c r="DW190" s="183" t="e">
        <f t="shared" ca="1" si="67"/>
        <v>#NAME?</v>
      </c>
      <c r="DX190" s="207"/>
      <c r="DY190" s="190" t="e">
        <f t="shared" ca="1" si="68"/>
        <v>#NAME?</v>
      </c>
      <c r="DZ190" s="191" t="str">
        <f t="shared" si="264"/>
        <v/>
      </c>
      <c r="EA190" s="191" t="str">
        <f t="shared" si="265"/>
        <v/>
      </c>
      <c r="EB190" s="191" t="str">
        <f t="shared" si="266"/>
        <v/>
      </c>
      <c r="EC190" s="208" t="e">
        <f t="shared" ca="1" si="72"/>
        <v>#NAME?</v>
      </c>
      <c r="ED190" s="36" t="str">
        <f t="shared" si="73"/>
        <v>Equity - Common</v>
      </c>
      <c r="EE190" s="193">
        <f>COUNTIF($ED$2:$ED$92, ED190)/(COUNTIF($ED$2:$ED$92, "&lt;&gt;""") - COUNTIF($ED$2:$ED$92, ""))</f>
        <v>0.32222222222222224</v>
      </c>
      <c r="EF190" s="36" t="str">
        <f t="shared" si="74"/>
        <v>Early</v>
      </c>
      <c r="EG190" s="207"/>
      <c r="EH190" s="194" t="e">
        <f t="shared" ca="1" si="75"/>
        <v>#NAME?</v>
      </c>
      <c r="EI190" s="194" t="e">
        <f t="shared" ca="1" si="76"/>
        <v>#NAME?</v>
      </c>
      <c r="EJ190" s="209" t="e">
        <f t="shared" ca="1" si="77"/>
        <v>#NAME?</v>
      </c>
      <c r="EK190" s="208" t="e">
        <f t="shared" ca="1" si="267"/>
        <v>#NAME?</v>
      </c>
      <c r="EL190" s="36" t="str">
        <f t="shared" si="79"/>
        <v>No</v>
      </c>
      <c r="EM190" s="207"/>
      <c r="EN190" s="192">
        <f t="shared" si="268"/>
        <v>1</v>
      </c>
      <c r="EO190" s="192">
        <f t="shared" si="269"/>
        <v>2</v>
      </c>
      <c r="EP190" s="209">
        <f t="shared" si="82"/>
        <v>3</v>
      </c>
      <c r="EQ190" s="210">
        <f t="shared" si="270"/>
        <v>1.7850467289719627</v>
      </c>
      <c r="ER190" s="36" t="e">
        <f t="shared" ca="1" si="84"/>
        <v>#NAME?</v>
      </c>
      <c r="ES190" s="40">
        <f ca="1">COUNTIF($ER$2:$ER$92, ER190)/(COUNTIF($ER$2:$ER$92, "&lt;&gt;""") - COUNTIF($ER$2:$ER$92, ""))</f>
        <v>1</v>
      </c>
      <c r="ET190" s="36">
        <f t="shared" si="85"/>
        <v>1</v>
      </c>
      <c r="EU190" s="40">
        <f>COUNTIF($ET$2:$ET$92, ET190)/(COUNTIF($ET$2:$ET$92, "&lt;&gt;""") - COUNTIF($ET$2:$ET$92, ""))</f>
        <v>0.45555555555555555</v>
      </c>
      <c r="EV190" s="36">
        <f t="shared" si="86"/>
        <v>1</v>
      </c>
      <c r="EW190" s="40">
        <f>COUNTIF($EV$2:$EV$92, EV190)/(COUNTIF($EV$2:$EV$92, "&lt;&gt;""") - COUNTIF($EV$2:$EV$92, ""))</f>
        <v>7.7777777777777779E-2</v>
      </c>
      <c r="EX190" s="36" t="str">
        <f t="shared" si="87"/>
        <v>No</v>
      </c>
      <c r="EY190" s="40">
        <f>COUNTIF($EX$2:$EX$92, EX190)/(COUNTIF($EX$2:$EX$92, "&lt;&gt;""") - COUNTIF($EX$2:$EX$92, ""))</f>
        <v>0.72222222222222221</v>
      </c>
      <c r="EZ190" s="36" t="str">
        <f t="shared" ref="EZ190:FB190" si="323">BM190</f>
        <v>No</v>
      </c>
      <c r="FA190" s="36" t="str">
        <f t="shared" si="323"/>
        <v>No</v>
      </c>
      <c r="FB190" s="36" t="str">
        <f t="shared" si="323"/>
        <v>No</v>
      </c>
      <c r="FC190" s="207"/>
      <c r="FD190" s="36" t="str">
        <f t="shared" si="89"/>
        <v>Transactional</v>
      </c>
      <c r="FE190" s="40">
        <f>COUNTIF($FD$2:$FD$92, FD190)/(COUNTIF($FD$2:$FD$92, "&lt;&gt;""") - COUNTIF($FD$2:$FD$92, ""))</f>
        <v>0.6</v>
      </c>
      <c r="FF190" s="36" t="str">
        <f t="shared" si="90"/>
        <v>B2C</v>
      </c>
      <c r="FG190" s="40">
        <f>COUNTIF($FF$2:$FF$92, FF190)/(COUNTIF($FF$2:$FF$92, "&lt;&gt;""") - COUNTIF($FF$2:$FF$92, ""))</f>
        <v>0.41111111111111109</v>
      </c>
      <c r="FH190" s="36" t="str">
        <f t="shared" si="91"/>
        <v>Low</v>
      </c>
      <c r="FI190" s="40">
        <f>COUNTIF($FH$2:$FH$92, FH190)/(COUNTIF($FH$2:$FH$92, "&lt;&gt;""") - COUNTIF($FH$2:$FH$92, ""))</f>
        <v>0.46666666666666667</v>
      </c>
      <c r="FJ190" s="36" t="str">
        <f t="shared" si="92"/>
        <v>High</v>
      </c>
      <c r="FK190" s="40">
        <f>COUNTIF($FJ$2:$FJ$92, FJ190)/(COUNTIF($FJ$2:$FJ$92, "&lt;&gt;""") - COUNTIF($FJ$2:$FJ$92, ""))</f>
        <v>0.58888888888888891</v>
      </c>
      <c r="FL190" s="207"/>
      <c r="FM190" s="192">
        <f t="shared" si="93"/>
        <v>1</v>
      </c>
      <c r="FN190" s="192" t="e">
        <f t="shared" ca="1" si="94"/>
        <v>#NAME?</v>
      </c>
      <c r="FO190" s="192" t="e">
        <f t="shared" ca="1" si="95"/>
        <v>#NAME?</v>
      </c>
      <c r="FP190" s="192" t="e">
        <f t="shared" ca="1" si="96"/>
        <v>#NAME?</v>
      </c>
      <c r="FQ190" s="209" t="e">
        <f t="shared" ca="1" si="97"/>
        <v>#NAME?</v>
      </c>
      <c r="FR190" s="208" t="e">
        <f t="shared" ca="1" si="272"/>
        <v>#NAME?</v>
      </c>
      <c r="FS190" s="36" t="str">
        <f t="shared" si="99"/>
        <v>Pre-Product</v>
      </c>
      <c r="FT190" s="196">
        <f>COUNTIF($FS$2:$FS$92, FS190)/(COUNTIF($FS$2:$FS$92, "&lt;&gt;""") - COUNTIF($FZ$2:$FZ$92, ""))</f>
        <v>0.22222222222222221</v>
      </c>
      <c r="FU190" s="207"/>
      <c r="FV190" s="192" t="e">
        <f t="shared" ca="1" si="100"/>
        <v>#NAME?</v>
      </c>
      <c r="FW190" s="197" t="e">
        <f t="shared" ca="1" si="101"/>
        <v>#NAME?</v>
      </c>
      <c r="FX190" s="209" t="e">
        <f t="shared" ca="1" si="102"/>
        <v>#NAME?</v>
      </c>
      <c r="FY190" s="211" t="e">
        <f t="shared" ca="1" si="273"/>
        <v>#NAME?</v>
      </c>
      <c r="FZ190" s="36" t="str">
        <f t="shared" si="104"/>
        <v>No</v>
      </c>
      <c r="GA190" s="196">
        <f>COUNTIF($FZ$2:$FZ$92, FZ190)/(COUNTIF($FZ$2:$FZ$92, "&lt;&gt;""") - COUNTIF($FZ$2:$FZ$92, ""))</f>
        <v>0.76666666666666672</v>
      </c>
      <c r="GB190" s="196">
        <f t="shared" si="105"/>
        <v>0</v>
      </c>
      <c r="GC190" s="196">
        <f>COUNTIF($GB$2:$GB$92, GB190)/(COUNTIF($GB$2:$GB$92, "&lt;&gt;""") - COUNTIF($GB$2:$GB$92, ""))</f>
        <v>1.1111111111111112E-2</v>
      </c>
      <c r="GD190" s="196">
        <f t="shared" si="106"/>
        <v>0</v>
      </c>
      <c r="GE190" s="196">
        <f>COUNTIF($GD$2:$GD$92, GD190)/(COUNTIF($GD$2:$GD$92, "&lt;&gt;""") - COUNTIF($GD$2:$GD$92, ""))</f>
        <v>1.1111111111111112E-2</v>
      </c>
      <c r="GF190" s="207"/>
      <c r="GG190" s="36"/>
      <c r="GH190" s="209" t="e">
        <f t="shared" ca="1" si="107"/>
        <v>#NAME?</v>
      </c>
      <c r="GI190" s="212" t="e">
        <f t="shared" ca="1" si="274"/>
        <v>#NAME?</v>
      </c>
    </row>
    <row r="191" spans="1:191" ht="15.75" customHeight="1">
      <c r="A191" s="171"/>
      <c r="B191" s="171" t="s">
        <v>501</v>
      </c>
      <c r="C191" s="16">
        <v>1716903</v>
      </c>
      <c r="D191" s="233" t="s">
        <v>1512</v>
      </c>
      <c r="E191" s="234">
        <v>43768.407638888886</v>
      </c>
      <c r="F191" s="16" t="s">
        <v>337</v>
      </c>
      <c r="G191" s="235" t="s">
        <v>1513</v>
      </c>
      <c r="H191" s="235" t="s">
        <v>1514</v>
      </c>
      <c r="I191" s="241">
        <v>43858</v>
      </c>
      <c r="J191" s="233" t="s">
        <v>1515</v>
      </c>
      <c r="K191" s="233" t="s">
        <v>1512</v>
      </c>
      <c r="M191" s="16" t="s">
        <v>1194</v>
      </c>
      <c r="N191" s="16" t="s">
        <v>294</v>
      </c>
      <c r="O191" s="16" t="s">
        <v>30</v>
      </c>
      <c r="P191" s="16" t="s">
        <v>174</v>
      </c>
      <c r="Q191" s="16" t="s">
        <v>35</v>
      </c>
      <c r="S191" s="16" t="s">
        <v>176</v>
      </c>
      <c r="T191" s="237"/>
      <c r="U191" s="213"/>
      <c r="V191" s="54"/>
      <c r="W191" s="54">
        <v>12000000</v>
      </c>
      <c r="X191" s="226">
        <v>0.2</v>
      </c>
      <c r="Y191" s="55">
        <f t="shared" si="158"/>
        <v>9600000</v>
      </c>
      <c r="Z191" s="274">
        <f t="shared" si="159"/>
        <v>9600000</v>
      </c>
      <c r="AA191" s="183" t="e">
        <f t="shared" ca="1" si="160"/>
        <v>#NAME?</v>
      </c>
      <c r="AB191" s="16" t="s">
        <v>36</v>
      </c>
      <c r="AC191" s="16" t="s">
        <v>179</v>
      </c>
      <c r="AD191" s="16" t="s">
        <v>180</v>
      </c>
      <c r="AE191" s="16" t="s">
        <v>227</v>
      </c>
      <c r="AF191" s="16" t="s">
        <v>181</v>
      </c>
      <c r="AG191" s="16" t="s">
        <v>181</v>
      </c>
      <c r="AH191" s="16" t="s">
        <v>190</v>
      </c>
      <c r="AI191" s="54"/>
      <c r="AJ191" s="278">
        <v>96120000000</v>
      </c>
      <c r="AK191" s="224" t="e">
        <f t="shared" ca="1" si="161"/>
        <v>#NAME?</v>
      </c>
      <c r="AL191" s="278">
        <v>96120000000</v>
      </c>
      <c r="AM191" s="224" t="e">
        <f t="shared" ca="1" si="162"/>
        <v>#NAME?</v>
      </c>
      <c r="AN191" s="278">
        <v>0.12</v>
      </c>
      <c r="AO191" s="185" t="e">
        <f t="shared" ca="1" si="63"/>
        <v>#NAME?</v>
      </c>
      <c r="AP191" s="185" t="s">
        <v>192</v>
      </c>
      <c r="AQ191" s="16" t="s">
        <v>181</v>
      </c>
      <c r="AR191" s="16" t="s">
        <v>181</v>
      </c>
      <c r="AS191" s="16" t="s">
        <v>42</v>
      </c>
      <c r="AT191" s="159"/>
      <c r="AU191" s="159"/>
      <c r="AV191" s="16" t="s">
        <v>190</v>
      </c>
      <c r="AW191" s="16" t="s">
        <v>190</v>
      </c>
      <c r="AX191" s="16" t="s">
        <v>227</v>
      </c>
      <c r="AY191" s="16" t="s">
        <v>227</v>
      </c>
      <c r="AZ191" s="54">
        <v>0</v>
      </c>
      <c r="BA191" s="55" t="e">
        <f t="shared" ca="1" si="163"/>
        <v>#NAME?</v>
      </c>
      <c r="BB191" s="278">
        <v>76711</v>
      </c>
      <c r="BC191" s="278">
        <v>1200000</v>
      </c>
      <c r="BD191" s="62" t="e">
        <f t="shared" ca="1" si="164"/>
        <v>#NAME?</v>
      </c>
      <c r="BE191" s="277">
        <f t="shared" si="165"/>
        <v>6.3925833333333335E-2</v>
      </c>
      <c r="BF191" s="62" t="e">
        <f t="shared" ca="1" si="166"/>
        <v>#NAME?</v>
      </c>
      <c r="BG191" s="16" t="s">
        <v>183</v>
      </c>
      <c r="BI191" s="16" t="s">
        <v>227</v>
      </c>
      <c r="BJ191" s="16">
        <v>1</v>
      </c>
      <c r="BK191" s="278">
        <v>2</v>
      </c>
      <c r="BL191" s="16" t="s">
        <v>190</v>
      </c>
      <c r="BM191" s="16" t="s">
        <v>190</v>
      </c>
      <c r="BN191" s="16" t="s">
        <v>190</v>
      </c>
      <c r="BO191" s="16" t="s">
        <v>190</v>
      </c>
      <c r="BP191" s="16">
        <v>2</v>
      </c>
      <c r="BQ191" s="16">
        <v>6</v>
      </c>
      <c r="BR191" s="16">
        <v>0</v>
      </c>
      <c r="BS191" s="16">
        <v>0</v>
      </c>
      <c r="BT191" s="205"/>
      <c r="BU191" s="16">
        <v>0</v>
      </c>
      <c r="BV191" s="16">
        <v>1</v>
      </c>
      <c r="BW191" s="16">
        <v>45</v>
      </c>
      <c r="BX191" s="16" t="s">
        <v>190</v>
      </c>
      <c r="BY191" s="205"/>
      <c r="BZ191" s="16">
        <v>0</v>
      </c>
      <c r="CA191" s="16">
        <v>0</v>
      </c>
      <c r="CB191" s="16">
        <v>29</v>
      </c>
      <c r="CC191" s="16" t="s">
        <v>190</v>
      </c>
      <c r="CD191" s="205"/>
      <c r="CI191" s="205"/>
      <c r="CN191" s="205"/>
      <c r="CS191" s="205"/>
      <c r="CX191" s="205"/>
      <c r="DC191" s="205"/>
      <c r="DH191" s="205"/>
      <c r="DM191" s="205"/>
      <c r="DN191" s="205"/>
      <c r="DO191" s="205"/>
      <c r="DQ191" s="206"/>
      <c r="DR191" s="188">
        <f t="shared" si="64"/>
        <v>0</v>
      </c>
      <c r="DS191" s="188"/>
      <c r="DT191" s="189">
        <f t="shared" si="65"/>
        <v>1</v>
      </c>
      <c r="DU191" s="189"/>
      <c r="DV191" s="188">
        <f t="shared" si="66"/>
        <v>37</v>
      </c>
      <c r="DW191" s="183" t="e">
        <f t="shared" ca="1" si="67"/>
        <v>#NAME?</v>
      </c>
      <c r="DX191" s="207"/>
      <c r="DY191" s="190" t="e">
        <f t="shared" ca="1" si="68"/>
        <v>#NAME?</v>
      </c>
      <c r="DZ191" s="191">
        <f t="shared" si="264"/>
        <v>3.1052631578947367</v>
      </c>
      <c r="EA191" s="191" t="str">
        <f t="shared" si="265"/>
        <v/>
      </c>
      <c r="EB191" s="191" t="str">
        <f t="shared" si="266"/>
        <v/>
      </c>
      <c r="EC191" s="208" t="e">
        <f t="shared" ca="1" si="72"/>
        <v>#NAME?</v>
      </c>
      <c r="ED191" s="36" t="str">
        <f t="shared" si="73"/>
        <v>Convertible Note</v>
      </c>
      <c r="EE191" s="193">
        <f>COUNTIF($ED$2:$ED$92, ED191)/(COUNTIF($ED$2:$ED$92, "&lt;&gt;""") - COUNTIF($ED$2:$ED$92, ""))</f>
        <v>0.13333333333333333</v>
      </c>
      <c r="EF191" s="36" t="str">
        <f t="shared" si="74"/>
        <v>Early</v>
      </c>
      <c r="EG191" s="207"/>
      <c r="EH191" s="194" t="e">
        <f t="shared" ca="1" si="75"/>
        <v>#NAME?</v>
      </c>
      <c r="EI191" s="194" t="e">
        <f t="shared" ca="1" si="76"/>
        <v>#NAME?</v>
      </c>
      <c r="EJ191" s="209" t="e">
        <f t="shared" ca="1" si="77"/>
        <v>#NAME?</v>
      </c>
      <c r="EK191" s="208" t="e">
        <f t="shared" ca="1" si="267"/>
        <v>#NAME?</v>
      </c>
      <c r="EL191" s="36" t="str">
        <f t="shared" si="79"/>
        <v>No</v>
      </c>
      <c r="EM191" s="207"/>
      <c r="EN191" s="192">
        <f t="shared" si="268"/>
        <v>1</v>
      </c>
      <c r="EO191" s="192">
        <f t="shared" si="269"/>
        <v>2</v>
      </c>
      <c r="EP191" s="209">
        <f t="shared" si="82"/>
        <v>3</v>
      </c>
      <c r="EQ191" s="210">
        <f t="shared" si="270"/>
        <v>1.7850467289719627</v>
      </c>
      <c r="ER191" s="36" t="e">
        <f t="shared" ca="1" si="84"/>
        <v>#NAME?</v>
      </c>
      <c r="ES191" s="40">
        <f ca="1">COUNTIF($ER$2:$ER$92, ER191)/(COUNTIF($ER$2:$ER$92, "&lt;&gt;""") - COUNTIF($ER$2:$ER$92, ""))</f>
        <v>1</v>
      </c>
      <c r="ET191" s="36">
        <f t="shared" si="85"/>
        <v>2</v>
      </c>
      <c r="EU191" s="40">
        <f>COUNTIF($ET$2:$ET$92, ET191)/(COUNTIF($ET$2:$ET$92, "&lt;&gt;""") - COUNTIF($ET$2:$ET$92, ""))</f>
        <v>0.45555555555555555</v>
      </c>
      <c r="EV191" s="36">
        <f t="shared" si="86"/>
        <v>6</v>
      </c>
      <c r="EW191" s="40">
        <f>COUNTIF($EV$2:$EV$92, EV191)/(COUNTIF($EV$2:$EV$92, "&lt;&gt;""") - COUNTIF($EV$2:$EV$92, ""))</f>
        <v>5.5555555555555552E-2</v>
      </c>
      <c r="EX191" s="36" t="str">
        <f t="shared" si="87"/>
        <v>No</v>
      </c>
      <c r="EY191" s="40">
        <f>COUNTIF($EX$2:$EX$92, EX191)/(COUNTIF($EX$2:$EX$92, "&lt;&gt;""") - COUNTIF($EX$2:$EX$92, ""))</f>
        <v>0.72222222222222221</v>
      </c>
      <c r="EZ191" s="36" t="str">
        <f t="shared" ref="EZ191:FB191" si="324">BM191</f>
        <v>No</v>
      </c>
      <c r="FA191" s="36" t="str">
        <f t="shared" si="324"/>
        <v>No</v>
      </c>
      <c r="FB191" s="36" t="str">
        <f t="shared" si="324"/>
        <v>No</v>
      </c>
      <c r="FC191" s="207"/>
      <c r="FD191" s="36" t="str">
        <f t="shared" si="89"/>
        <v>Transactional</v>
      </c>
      <c r="FE191" s="40">
        <f>COUNTIF($FD$2:$FD$92, FD191)/(COUNTIF($FD$2:$FD$92, "&lt;&gt;""") - COUNTIF($FD$2:$FD$92, ""))</f>
        <v>0.6</v>
      </c>
      <c r="FF191" s="36" t="str">
        <f t="shared" si="90"/>
        <v>B2C</v>
      </c>
      <c r="FG191" s="40">
        <f>COUNTIF($FF$2:$FF$92, FF191)/(COUNTIF($FF$2:$FF$92, "&lt;&gt;""") - COUNTIF($FF$2:$FF$92, ""))</f>
        <v>0.41111111111111109</v>
      </c>
      <c r="FH191" s="36" t="str">
        <f t="shared" si="91"/>
        <v>Low</v>
      </c>
      <c r="FI191" s="40">
        <f>COUNTIF($FH$2:$FH$92, FH191)/(COUNTIF($FH$2:$FH$92, "&lt;&gt;""") - COUNTIF($FH$2:$FH$92, ""))</f>
        <v>0.46666666666666667</v>
      </c>
      <c r="FJ191" s="36" t="str">
        <f t="shared" si="92"/>
        <v>Low</v>
      </c>
      <c r="FK191" s="40">
        <f>COUNTIF($FJ$2:$FJ$92, FJ191)/(COUNTIF($FJ$2:$FJ$92, "&lt;&gt;""") - COUNTIF($FJ$2:$FJ$92, ""))</f>
        <v>0.41111111111111109</v>
      </c>
      <c r="FL191" s="207"/>
      <c r="FM191" s="192">
        <f t="shared" si="93"/>
        <v>5</v>
      </c>
      <c r="FN191" s="192" t="e">
        <f t="shared" ca="1" si="94"/>
        <v>#NAME?</v>
      </c>
      <c r="FO191" s="192" t="e">
        <f t="shared" ca="1" si="95"/>
        <v>#NAME?</v>
      </c>
      <c r="FP191" s="192" t="e">
        <f t="shared" ca="1" si="96"/>
        <v>#NAME?</v>
      </c>
      <c r="FQ191" s="209" t="e">
        <f t="shared" ca="1" si="97"/>
        <v>#NAME?</v>
      </c>
      <c r="FR191" s="208" t="e">
        <f t="shared" ca="1" si="272"/>
        <v>#NAME?</v>
      </c>
      <c r="FS191" s="36" t="str">
        <f t="shared" si="99"/>
        <v>Pre-Revenue</v>
      </c>
      <c r="FT191" s="196">
        <f>COUNTIF($FS$2:$FS$92, FS191)/(COUNTIF($FS$2:$FS$92, "&lt;&gt;""") - COUNTIF($FZ$2:$FZ$92, ""))</f>
        <v>0.2</v>
      </c>
      <c r="FU191" s="207"/>
      <c r="FV191" s="192" t="e">
        <f t="shared" ca="1" si="100"/>
        <v>#NAME?</v>
      </c>
      <c r="FW191" s="197" t="e">
        <f t="shared" ca="1" si="101"/>
        <v>#NAME?</v>
      </c>
      <c r="FX191" s="209" t="e">
        <f t="shared" ca="1" si="102"/>
        <v>#NAME?</v>
      </c>
      <c r="FY191" s="211" t="e">
        <f t="shared" ca="1" si="273"/>
        <v>#NAME?</v>
      </c>
      <c r="FZ191" s="36" t="str">
        <f t="shared" si="104"/>
        <v>No</v>
      </c>
      <c r="GA191" s="196">
        <f>COUNTIF($FZ$2:$FZ$92, FZ191)/(COUNTIF($FZ$2:$FZ$92, "&lt;&gt;""") - COUNTIF($FZ$2:$FZ$92, ""))</f>
        <v>0.76666666666666672</v>
      </c>
      <c r="GB191" s="196">
        <f t="shared" si="105"/>
        <v>0</v>
      </c>
      <c r="GC191" s="196">
        <f>COUNTIF($GB$2:$GB$92, GB191)/(COUNTIF($GB$2:$GB$92, "&lt;&gt;""") - COUNTIF($GB$2:$GB$92, ""))</f>
        <v>1.1111111111111112E-2</v>
      </c>
      <c r="GD191" s="196">
        <f t="shared" si="106"/>
        <v>0</v>
      </c>
      <c r="GE191" s="196">
        <f>COUNTIF($GD$2:$GD$92, GD191)/(COUNTIF($GD$2:$GD$92, "&lt;&gt;""") - COUNTIF($GD$2:$GD$92, ""))</f>
        <v>1.1111111111111112E-2</v>
      </c>
      <c r="GF191" s="207"/>
      <c r="GG191" s="36"/>
      <c r="GH191" s="209" t="e">
        <f t="shared" ca="1" si="107"/>
        <v>#NAME?</v>
      </c>
      <c r="GI191" s="212" t="e">
        <f t="shared" ca="1" si="274"/>
        <v>#NAME?</v>
      </c>
    </row>
    <row r="192" spans="1:191" ht="15.75" customHeight="1">
      <c r="A192" s="171"/>
      <c r="B192" s="171" t="s">
        <v>501</v>
      </c>
      <c r="C192" s="16">
        <v>1716903</v>
      </c>
      <c r="D192" s="233" t="s">
        <v>1516</v>
      </c>
      <c r="E192" s="234">
        <v>43768.410416666666</v>
      </c>
      <c r="F192" s="16" t="s">
        <v>337</v>
      </c>
      <c r="G192" s="235" t="s">
        <v>1517</v>
      </c>
      <c r="H192" s="235" t="s">
        <v>1518</v>
      </c>
      <c r="I192" s="241">
        <v>43859</v>
      </c>
      <c r="J192" s="233" t="s">
        <v>1519</v>
      </c>
      <c r="K192" s="233" t="s">
        <v>1516</v>
      </c>
      <c r="M192" s="16" t="s">
        <v>323</v>
      </c>
      <c r="N192" s="16" t="s">
        <v>168</v>
      </c>
      <c r="O192" s="16" t="s">
        <v>30</v>
      </c>
      <c r="P192" s="16" t="s">
        <v>31</v>
      </c>
      <c r="Q192" s="16" t="s">
        <v>35</v>
      </c>
      <c r="S192" s="16" t="s">
        <v>216</v>
      </c>
      <c r="T192" s="237"/>
      <c r="U192" s="213"/>
      <c r="V192" s="54">
        <v>1730000</v>
      </c>
      <c r="W192" s="54"/>
      <c r="X192" s="226"/>
      <c r="Y192" s="55" t="str">
        <f t="shared" si="158"/>
        <v/>
      </c>
      <c r="Z192" s="274">
        <f t="shared" si="159"/>
        <v>1730000</v>
      </c>
      <c r="AA192" s="183" t="e">
        <f t="shared" ca="1" si="160"/>
        <v>#NAME?</v>
      </c>
      <c r="AB192" s="16" t="s">
        <v>36</v>
      </c>
      <c r="AC192" s="16" t="s">
        <v>179</v>
      </c>
      <c r="AD192" s="16" t="s">
        <v>38</v>
      </c>
      <c r="AE192" s="16" t="s">
        <v>227</v>
      </c>
      <c r="AF192" s="16" t="s">
        <v>181</v>
      </c>
      <c r="AG192" s="16" t="s">
        <v>39</v>
      </c>
      <c r="AH192" s="16" t="s">
        <v>190</v>
      </c>
      <c r="AI192" s="54"/>
      <c r="AJ192" s="278">
        <v>101000000000</v>
      </c>
      <c r="AK192" s="224" t="e">
        <f t="shared" ca="1" si="161"/>
        <v>#NAME?</v>
      </c>
      <c r="AL192" s="278">
        <v>11400000000</v>
      </c>
      <c r="AM192" s="224" t="e">
        <f t="shared" ca="1" si="162"/>
        <v>#NAME?</v>
      </c>
      <c r="AN192" s="278">
        <v>0.02</v>
      </c>
      <c r="AO192" s="185" t="e">
        <f t="shared" ca="1" si="63"/>
        <v>#NAME?</v>
      </c>
      <c r="AP192" s="185" t="s">
        <v>228</v>
      </c>
      <c r="AQ192" s="16" t="s">
        <v>181</v>
      </c>
      <c r="AR192" s="16" t="s">
        <v>181</v>
      </c>
      <c r="AS192" s="16" t="s">
        <v>42</v>
      </c>
      <c r="AT192" s="159"/>
      <c r="AU192" s="159"/>
      <c r="AV192" s="16" t="s">
        <v>190</v>
      </c>
      <c r="AW192" s="16" t="s">
        <v>190</v>
      </c>
      <c r="AX192" s="16" t="s">
        <v>190</v>
      </c>
      <c r="AY192" s="16" t="s">
        <v>190</v>
      </c>
      <c r="AZ192" s="54">
        <v>0</v>
      </c>
      <c r="BA192" s="55" t="e">
        <f t="shared" ca="1" si="163"/>
        <v>#NAME?</v>
      </c>
      <c r="BB192" s="278">
        <v>0</v>
      </c>
      <c r="BC192" s="278">
        <v>0</v>
      </c>
      <c r="BD192" s="62" t="e">
        <f t="shared" ca="1" si="164"/>
        <v>#NAME?</v>
      </c>
      <c r="BE192" s="277">
        <f t="shared" si="165"/>
        <v>1</v>
      </c>
      <c r="BF192" s="62" t="e">
        <f t="shared" ca="1" si="166"/>
        <v>#NAME?</v>
      </c>
      <c r="BG192" s="16" t="s">
        <v>43</v>
      </c>
      <c r="BI192" s="16" t="s">
        <v>190</v>
      </c>
      <c r="BJ192" s="16">
        <v>0</v>
      </c>
      <c r="BK192" s="278">
        <v>2</v>
      </c>
      <c r="BL192" s="16" t="s">
        <v>227</v>
      </c>
      <c r="BM192" s="16" t="s">
        <v>190</v>
      </c>
      <c r="BN192" s="16" t="s">
        <v>227</v>
      </c>
      <c r="BO192" s="16" t="s">
        <v>190</v>
      </c>
      <c r="BP192" s="16">
        <v>5</v>
      </c>
      <c r="BQ192" s="16">
        <v>3</v>
      </c>
      <c r="BR192" s="16">
        <v>1</v>
      </c>
      <c r="BS192" s="16">
        <v>0</v>
      </c>
      <c r="BT192" s="205"/>
      <c r="BU192" s="16">
        <v>0</v>
      </c>
      <c r="BV192" s="16">
        <v>0</v>
      </c>
      <c r="BW192" s="16">
        <v>42</v>
      </c>
      <c r="BX192" s="16" t="s">
        <v>190</v>
      </c>
      <c r="BY192" s="205"/>
      <c r="BZ192" s="16">
        <v>12</v>
      </c>
      <c r="CA192" s="16">
        <v>0</v>
      </c>
      <c r="CB192" s="16">
        <v>48</v>
      </c>
      <c r="CC192" s="16" t="s">
        <v>190</v>
      </c>
      <c r="CD192" s="205"/>
      <c r="CI192" s="205"/>
      <c r="CN192" s="205"/>
      <c r="CS192" s="205"/>
      <c r="CX192" s="205"/>
      <c r="DC192" s="205"/>
      <c r="DH192" s="205"/>
      <c r="DM192" s="205"/>
      <c r="DN192" s="205"/>
      <c r="DO192" s="205"/>
      <c r="DQ192" s="206"/>
      <c r="DR192" s="188">
        <f t="shared" si="64"/>
        <v>6</v>
      </c>
      <c r="DS192" s="188"/>
      <c r="DT192" s="189">
        <f t="shared" si="65"/>
        <v>0</v>
      </c>
      <c r="DU192" s="189"/>
      <c r="DV192" s="188">
        <f t="shared" si="66"/>
        <v>45</v>
      </c>
      <c r="DW192" s="183" t="e">
        <f t="shared" ca="1" si="67"/>
        <v>#NAME?</v>
      </c>
      <c r="DX192" s="207"/>
      <c r="DY192" s="190" t="e">
        <f t="shared" ca="1" si="68"/>
        <v>#NAME?</v>
      </c>
      <c r="DZ192" s="191" t="str">
        <f t="shared" si="264"/>
        <v/>
      </c>
      <c r="EA192" s="191" t="str">
        <f t="shared" si="265"/>
        <v/>
      </c>
      <c r="EB192" s="191" t="str">
        <f t="shared" si="266"/>
        <v/>
      </c>
      <c r="EC192" s="208" t="e">
        <f t="shared" ca="1" si="72"/>
        <v>#NAME?</v>
      </c>
      <c r="ED192" s="36" t="str">
        <f t="shared" si="73"/>
        <v>Equity - Common</v>
      </c>
      <c r="EE192" s="193">
        <f>COUNTIF($ED$2:$ED$92, ED192)/(COUNTIF($ED$2:$ED$92, "&lt;&gt;""") - COUNTIF($ED$2:$ED$92, ""))</f>
        <v>0.32222222222222224</v>
      </c>
      <c r="EF192" s="36" t="str">
        <f t="shared" si="74"/>
        <v>Early</v>
      </c>
      <c r="EG192" s="207"/>
      <c r="EH192" s="194" t="e">
        <f t="shared" ca="1" si="75"/>
        <v>#NAME?</v>
      </c>
      <c r="EI192" s="194" t="e">
        <f t="shared" ca="1" si="76"/>
        <v>#NAME?</v>
      </c>
      <c r="EJ192" s="209" t="e">
        <f t="shared" ca="1" si="77"/>
        <v>#NAME?</v>
      </c>
      <c r="EK192" s="208" t="e">
        <f t="shared" ca="1" si="267"/>
        <v>#NAME?</v>
      </c>
      <c r="EL192" s="36" t="str">
        <f t="shared" si="79"/>
        <v>No</v>
      </c>
      <c r="EM192" s="207"/>
      <c r="EN192" s="192">
        <f t="shared" si="268"/>
        <v>1.5714285714285714</v>
      </c>
      <c r="EO192" s="192">
        <f t="shared" si="269"/>
        <v>1</v>
      </c>
      <c r="EP192" s="209">
        <f t="shared" si="82"/>
        <v>2.5714285714285712</v>
      </c>
      <c r="EQ192" s="210">
        <f t="shared" si="270"/>
        <v>1.4485981308411213</v>
      </c>
      <c r="ER192" s="36" t="e">
        <f t="shared" ca="1" si="84"/>
        <v>#NAME?</v>
      </c>
      <c r="ES192" s="40">
        <f ca="1">COUNTIF($ER$2:$ER$92, ER192)/(COUNTIF($ER$2:$ER$92, "&lt;&gt;""") - COUNTIF($ER$2:$ER$92, ""))</f>
        <v>1</v>
      </c>
      <c r="ET192" s="36">
        <f t="shared" si="85"/>
        <v>2</v>
      </c>
      <c r="EU192" s="40">
        <f>COUNTIF($ET$2:$ET$92, ET192)/(COUNTIF($ET$2:$ET$92, "&lt;&gt;""") - COUNTIF($ET$2:$ET$92, ""))</f>
        <v>0.45555555555555555</v>
      </c>
      <c r="EV192" s="36">
        <f t="shared" si="86"/>
        <v>3</v>
      </c>
      <c r="EW192" s="40">
        <f>COUNTIF($EV$2:$EV$92, EV192)/(COUNTIF($EV$2:$EV$92, "&lt;&gt;""") - COUNTIF($EV$2:$EV$92, ""))</f>
        <v>8.8888888888888892E-2</v>
      </c>
      <c r="EX192" s="36" t="str">
        <f t="shared" si="87"/>
        <v>Yes</v>
      </c>
      <c r="EY192" s="40">
        <f>COUNTIF($EX$2:$EX$92, EX192)/(COUNTIF($EX$2:$EX$92, "&lt;&gt;""") - COUNTIF($EX$2:$EX$92, ""))</f>
        <v>0.27777777777777779</v>
      </c>
      <c r="EZ192" s="36" t="str">
        <f t="shared" ref="EZ192:FB192" si="325">BM192</f>
        <v>No</v>
      </c>
      <c r="FA192" s="36" t="str">
        <f t="shared" si="325"/>
        <v>Yes</v>
      </c>
      <c r="FB192" s="36" t="str">
        <f t="shared" si="325"/>
        <v>No</v>
      </c>
      <c r="FC192" s="207"/>
      <c r="FD192" s="36" t="str">
        <f t="shared" si="89"/>
        <v>Transactional</v>
      </c>
      <c r="FE192" s="40">
        <f>COUNTIF($FD$2:$FD$92, FD192)/(COUNTIF($FD$2:$FD$92, "&lt;&gt;""") - COUNTIF($FD$2:$FD$92, ""))</f>
        <v>0.6</v>
      </c>
      <c r="FF192" s="36" t="str">
        <f t="shared" si="90"/>
        <v>B2C</v>
      </c>
      <c r="FG192" s="40">
        <f>COUNTIF($FF$2:$FF$92, FF192)/(COUNTIF($FF$2:$FF$92, "&lt;&gt;""") - COUNTIF($FF$2:$FF$92, ""))</f>
        <v>0.41111111111111109</v>
      </c>
      <c r="FH192" s="36" t="str">
        <f t="shared" si="91"/>
        <v>Low</v>
      </c>
      <c r="FI192" s="40">
        <f>COUNTIF($FH$2:$FH$92, FH192)/(COUNTIF($FH$2:$FH$92, "&lt;&gt;""") - COUNTIF($FH$2:$FH$92, ""))</f>
        <v>0.46666666666666667</v>
      </c>
      <c r="FJ192" s="36" t="str">
        <f t="shared" si="92"/>
        <v>High</v>
      </c>
      <c r="FK192" s="40">
        <f>COUNTIF($FJ$2:$FJ$92, FJ192)/(COUNTIF($FJ$2:$FJ$92, "&lt;&gt;""") - COUNTIF($FJ$2:$FJ$92, ""))</f>
        <v>0.58888888888888891</v>
      </c>
      <c r="FL192" s="207"/>
      <c r="FM192" s="192">
        <f t="shared" si="93"/>
        <v>1</v>
      </c>
      <c r="FN192" s="192" t="e">
        <f t="shared" ca="1" si="94"/>
        <v>#NAME?</v>
      </c>
      <c r="FO192" s="192" t="e">
        <f t="shared" ca="1" si="95"/>
        <v>#NAME?</v>
      </c>
      <c r="FP192" s="192" t="e">
        <f t="shared" ca="1" si="96"/>
        <v>#NAME?</v>
      </c>
      <c r="FQ192" s="209" t="e">
        <f t="shared" ca="1" si="97"/>
        <v>#NAME?</v>
      </c>
      <c r="FR192" s="208" t="e">
        <f t="shared" ca="1" si="272"/>
        <v>#NAME?</v>
      </c>
      <c r="FS192" s="36" t="str">
        <f t="shared" si="99"/>
        <v>Pre-Product</v>
      </c>
      <c r="FT192" s="196">
        <f>COUNTIF($FS$2:$FS$92, FS192)/(COUNTIF($FS$2:$FS$92, "&lt;&gt;""") - COUNTIF($FZ$2:$FZ$92, ""))</f>
        <v>0.22222222222222221</v>
      </c>
      <c r="FU192" s="207"/>
      <c r="FV192" s="192" t="e">
        <f t="shared" ca="1" si="100"/>
        <v>#NAME?</v>
      </c>
      <c r="FW192" s="197" t="e">
        <f t="shared" ca="1" si="101"/>
        <v>#NAME?</v>
      </c>
      <c r="FX192" s="209" t="e">
        <f t="shared" ca="1" si="102"/>
        <v>#NAME?</v>
      </c>
      <c r="FY192" s="211" t="e">
        <f t="shared" ca="1" si="273"/>
        <v>#NAME?</v>
      </c>
      <c r="FZ192" s="36" t="str">
        <f t="shared" si="104"/>
        <v>No</v>
      </c>
      <c r="GA192" s="196">
        <f>COUNTIF($FZ$2:$FZ$92, FZ192)/(COUNTIF($FZ$2:$FZ$92, "&lt;&gt;""") - COUNTIF($FZ$2:$FZ$92, ""))</f>
        <v>0.76666666666666672</v>
      </c>
      <c r="GB192" s="196">
        <f t="shared" si="105"/>
        <v>0</v>
      </c>
      <c r="GC192" s="196">
        <f>COUNTIF($GB$2:$GB$92, GB192)/(COUNTIF($GB$2:$GB$92, "&lt;&gt;""") - COUNTIF($GB$2:$GB$92, ""))</f>
        <v>1.1111111111111112E-2</v>
      </c>
      <c r="GD192" s="196">
        <f t="shared" si="106"/>
        <v>0</v>
      </c>
      <c r="GE192" s="196">
        <f>COUNTIF($GD$2:$GD$92, GD192)/(COUNTIF($GD$2:$GD$92, "&lt;&gt;""") - COUNTIF($GD$2:$GD$92, ""))</f>
        <v>1.1111111111111112E-2</v>
      </c>
      <c r="GF192" s="207"/>
      <c r="GG192" s="36"/>
      <c r="GH192" s="209" t="e">
        <f t="shared" ca="1" si="107"/>
        <v>#NAME?</v>
      </c>
      <c r="GI192" s="212" t="e">
        <f t="shared" ca="1" si="274"/>
        <v>#NAME?</v>
      </c>
    </row>
    <row r="193" spans="1:191" ht="15.75" customHeight="1">
      <c r="A193" s="171"/>
      <c r="B193" s="171" t="s">
        <v>501</v>
      </c>
      <c r="C193" s="16">
        <v>1689361</v>
      </c>
      <c r="D193" s="233" t="s">
        <v>1520</v>
      </c>
      <c r="E193" s="234">
        <v>43769.498611111114</v>
      </c>
      <c r="F193" s="16" t="s">
        <v>337</v>
      </c>
      <c r="G193" s="235" t="s">
        <v>1521</v>
      </c>
      <c r="H193" s="235" t="s">
        <v>1522</v>
      </c>
      <c r="I193" s="241">
        <v>43896</v>
      </c>
      <c r="J193" s="233" t="s">
        <v>1523</v>
      </c>
      <c r="K193" s="233" t="s">
        <v>1520</v>
      </c>
      <c r="M193" s="16" t="s">
        <v>1524</v>
      </c>
      <c r="N193" s="16" t="s">
        <v>332</v>
      </c>
      <c r="O193" s="16" t="s">
        <v>30</v>
      </c>
      <c r="P193" s="16" t="s">
        <v>174</v>
      </c>
      <c r="Q193" s="16" t="s">
        <v>35</v>
      </c>
      <c r="S193" s="16" t="s">
        <v>216</v>
      </c>
      <c r="T193" s="237"/>
      <c r="U193" s="213"/>
      <c r="V193" s="54">
        <v>8930000</v>
      </c>
      <c r="W193" s="54"/>
      <c r="X193" s="226"/>
      <c r="Y193" s="55" t="str">
        <f t="shared" si="158"/>
        <v/>
      </c>
      <c r="Z193" s="274">
        <f t="shared" si="159"/>
        <v>8930000</v>
      </c>
      <c r="AA193" s="183" t="e">
        <f t="shared" ca="1" si="160"/>
        <v>#NAME?</v>
      </c>
      <c r="AB193" s="16" t="s">
        <v>178</v>
      </c>
      <c r="AC193" s="16" t="s">
        <v>37</v>
      </c>
      <c r="AD193" s="16" t="s">
        <v>180</v>
      </c>
      <c r="AE193" s="16" t="s">
        <v>227</v>
      </c>
      <c r="AF193" s="16" t="s">
        <v>39</v>
      </c>
      <c r="AG193" s="16" t="s">
        <v>181</v>
      </c>
      <c r="AH193" s="16" t="s">
        <v>190</v>
      </c>
      <c r="AI193" s="54"/>
      <c r="AJ193" s="278">
        <v>1106000000</v>
      </c>
      <c r="AK193" s="224" t="e">
        <f t="shared" ca="1" si="161"/>
        <v>#NAME?</v>
      </c>
      <c r="AL193" s="278">
        <v>1106000000</v>
      </c>
      <c r="AM193" s="224" t="e">
        <f t="shared" ca="1" si="162"/>
        <v>#NAME?</v>
      </c>
      <c r="AN193" s="278">
        <v>0.14000000000000001</v>
      </c>
      <c r="AO193" s="185" t="e">
        <f t="shared" ca="1" si="63"/>
        <v>#NAME?</v>
      </c>
      <c r="AP193" s="185" t="s">
        <v>169</v>
      </c>
      <c r="AQ193" s="16" t="s">
        <v>39</v>
      </c>
      <c r="AR193" s="16" t="s">
        <v>39</v>
      </c>
      <c r="AS193" s="16" t="s">
        <v>42</v>
      </c>
      <c r="AT193" s="159"/>
      <c r="AU193" s="159"/>
      <c r="AV193" s="16" t="s">
        <v>227</v>
      </c>
      <c r="AW193" s="16" t="s">
        <v>227</v>
      </c>
      <c r="AX193" s="16" t="s">
        <v>190</v>
      </c>
      <c r="AY193" s="16" t="s">
        <v>190</v>
      </c>
      <c r="AZ193" s="54">
        <v>0</v>
      </c>
      <c r="BA193" s="55" t="e">
        <f t="shared" ca="1" si="163"/>
        <v>#NAME?</v>
      </c>
      <c r="BB193" s="278">
        <v>561</v>
      </c>
      <c r="BC193" s="278">
        <v>360200</v>
      </c>
      <c r="BD193" s="62" t="e">
        <f t="shared" ca="1" si="164"/>
        <v>#NAME?</v>
      </c>
      <c r="BE193" s="277">
        <f t="shared" si="165"/>
        <v>1.5574680732926153E-3</v>
      </c>
      <c r="BF193" s="62" t="e">
        <f t="shared" ca="1" si="166"/>
        <v>#NAME?</v>
      </c>
      <c r="BG193" s="16" t="s">
        <v>43</v>
      </c>
      <c r="BI193" s="16" t="s">
        <v>227</v>
      </c>
      <c r="BJ193" s="16">
        <v>0</v>
      </c>
      <c r="BK193" s="278">
        <v>2</v>
      </c>
      <c r="BL193" s="16" t="s">
        <v>190</v>
      </c>
      <c r="BM193" s="16" t="s">
        <v>227</v>
      </c>
      <c r="BN193" s="16" t="s">
        <v>190</v>
      </c>
      <c r="BO193" s="16" t="s">
        <v>190</v>
      </c>
      <c r="BP193" s="16">
        <v>1</v>
      </c>
      <c r="BQ193" s="16">
        <v>6</v>
      </c>
      <c r="BR193" s="16">
        <v>6</v>
      </c>
      <c r="BS193" s="16">
        <v>0</v>
      </c>
      <c r="BT193" s="205"/>
      <c r="BU193" s="16">
        <v>0</v>
      </c>
      <c r="BV193" s="16">
        <v>0</v>
      </c>
      <c r="BW193" s="16">
        <v>70</v>
      </c>
      <c r="BX193" s="16" t="s">
        <v>190</v>
      </c>
      <c r="BY193" s="205"/>
      <c r="BZ193" s="16">
        <v>0</v>
      </c>
      <c r="CA193" s="16">
        <v>0</v>
      </c>
      <c r="CB193" s="16">
        <v>52</v>
      </c>
      <c r="CC193" s="16" t="s">
        <v>190</v>
      </c>
      <c r="CD193" s="205"/>
      <c r="CI193" s="205"/>
      <c r="CN193" s="205"/>
      <c r="CS193" s="205"/>
      <c r="CX193" s="205"/>
      <c r="DC193" s="205"/>
      <c r="DH193" s="205"/>
      <c r="DM193" s="205"/>
      <c r="DN193" s="205"/>
      <c r="DO193" s="205"/>
      <c r="DQ193" s="206"/>
      <c r="DR193" s="188">
        <f t="shared" si="64"/>
        <v>0</v>
      </c>
      <c r="DS193" s="188"/>
      <c r="DT193" s="189">
        <f t="shared" si="65"/>
        <v>0</v>
      </c>
      <c r="DU193" s="189"/>
      <c r="DV193" s="188">
        <f t="shared" si="66"/>
        <v>61</v>
      </c>
      <c r="DW193" s="183" t="e">
        <f t="shared" ca="1" si="67"/>
        <v>#NAME?</v>
      </c>
      <c r="DX193" s="207"/>
      <c r="DY193" s="190" t="e">
        <f t="shared" ca="1" si="68"/>
        <v>#NAME?</v>
      </c>
      <c r="DZ193" s="191" t="str">
        <f t="shared" si="264"/>
        <v/>
      </c>
      <c r="EA193" s="191" t="str">
        <f t="shared" si="265"/>
        <v/>
      </c>
      <c r="EB193" s="191" t="str">
        <f t="shared" si="266"/>
        <v/>
      </c>
      <c r="EC193" s="208" t="e">
        <f t="shared" ca="1" si="72"/>
        <v>#NAME?</v>
      </c>
      <c r="ED193" s="36" t="str">
        <f t="shared" si="73"/>
        <v>Equity - Common</v>
      </c>
      <c r="EE193" s="193">
        <f>COUNTIF($ED$2:$ED$92, ED193)/(COUNTIF($ED$2:$ED$92, "&lt;&gt;""") - COUNTIF($ED$2:$ED$92, ""))</f>
        <v>0.32222222222222224</v>
      </c>
      <c r="EF193" s="36" t="str">
        <f t="shared" si="74"/>
        <v>Early</v>
      </c>
      <c r="EG193" s="207"/>
      <c r="EH193" s="194" t="e">
        <f t="shared" ca="1" si="75"/>
        <v>#NAME?</v>
      </c>
      <c r="EI193" s="194" t="e">
        <f t="shared" ca="1" si="76"/>
        <v>#NAME?</v>
      </c>
      <c r="EJ193" s="209" t="e">
        <f t="shared" ca="1" si="77"/>
        <v>#NAME?</v>
      </c>
      <c r="EK193" s="208" t="e">
        <f t="shared" ca="1" si="267"/>
        <v>#NAME?</v>
      </c>
      <c r="EL193" s="36" t="str">
        <f t="shared" si="79"/>
        <v>Yes</v>
      </c>
      <c r="EM193" s="207"/>
      <c r="EN193" s="192">
        <f t="shared" si="268"/>
        <v>1</v>
      </c>
      <c r="EO193" s="192">
        <f t="shared" si="269"/>
        <v>1</v>
      </c>
      <c r="EP193" s="209">
        <f t="shared" si="82"/>
        <v>2</v>
      </c>
      <c r="EQ193" s="210">
        <f t="shared" si="270"/>
        <v>1</v>
      </c>
      <c r="ER193" s="36" t="e">
        <f t="shared" ca="1" si="84"/>
        <v>#NAME?</v>
      </c>
      <c r="ES193" s="40">
        <f ca="1">COUNTIF($ER$2:$ER$92, ER193)/(COUNTIF($ER$2:$ER$92, "&lt;&gt;""") - COUNTIF($ER$2:$ER$92, ""))</f>
        <v>1</v>
      </c>
      <c r="ET193" s="36">
        <f t="shared" si="85"/>
        <v>2</v>
      </c>
      <c r="EU193" s="40">
        <f>COUNTIF($ET$2:$ET$92, ET193)/(COUNTIF($ET$2:$ET$92, "&lt;&gt;""") - COUNTIF($ET$2:$ET$92, ""))</f>
        <v>0.45555555555555555</v>
      </c>
      <c r="EV193" s="36">
        <f t="shared" si="86"/>
        <v>6</v>
      </c>
      <c r="EW193" s="40">
        <f>COUNTIF($EV$2:$EV$92, EV193)/(COUNTIF($EV$2:$EV$92, "&lt;&gt;""") - COUNTIF($EV$2:$EV$92, ""))</f>
        <v>5.5555555555555552E-2</v>
      </c>
      <c r="EX193" s="36" t="str">
        <f t="shared" si="87"/>
        <v>No</v>
      </c>
      <c r="EY193" s="40">
        <f>COUNTIF($EX$2:$EX$92, EX193)/(COUNTIF($EX$2:$EX$92, "&lt;&gt;""") - COUNTIF($EX$2:$EX$92, ""))</f>
        <v>0.72222222222222221</v>
      </c>
      <c r="EZ193" s="36" t="str">
        <f t="shared" ref="EZ193:FB193" si="326">BM193</f>
        <v>Yes</v>
      </c>
      <c r="FA193" s="36" t="str">
        <f t="shared" si="326"/>
        <v>No</v>
      </c>
      <c r="FB193" s="36" t="str">
        <f t="shared" si="326"/>
        <v>No</v>
      </c>
      <c r="FC193" s="207"/>
      <c r="FD193" s="36" t="str">
        <f t="shared" si="89"/>
        <v>Recurring</v>
      </c>
      <c r="FE193" s="40">
        <f>COUNTIF($FD$2:$FD$92, FD193)/(COUNTIF($FD$2:$FD$92, "&lt;&gt;""") - COUNTIF($FD$2:$FD$92, ""))</f>
        <v>0.4</v>
      </c>
      <c r="FF193" s="36" t="str">
        <f t="shared" si="90"/>
        <v>B2B</v>
      </c>
      <c r="FG193" s="40">
        <f>COUNTIF($FF$2:$FF$92, FF193)/(COUNTIF($FF$2:$FF$92, "&lt;&gt;""") - COUNTIF($FF$2:$FF$92, ""))</f>
        <v>0.24444444444444444</v>
      </c>
      <c r="FH193" s="36" t="str">
        <f t="shared" si="91"/>
        <v>High</v>
      </c>
      <c r="FI193" s="40">
        <f>COUNTIF($FH$2:$FH$92, FH193)/(COUNTIF($FH$2:$FH$92, "&lt;&gt;""") - COUNTIF($FH$2:$FH$92, ""))</f>
        <v>0.53333333333333333</v>
      </c>
      <c r="FJ193" s="36" t="str">
        <f t="shared" si="92"/>
        <v>Low</v>
      </c>
      <c r="FK193" s="40">
        <f>COUNTIF($FJ$2:$FJ$92, FJ193)/(COUNTIF($FJ$2:$FJ$92, "&lt;&gt;""") - COUNTIF($FJ$2:$FJ$92, ""))</f>
        <v>0.41111111111111109</v>
      </c>
      <c r="FL193" s="207"/>
      <c r="FM193" s="192">
        <f t="shared" si="93"/>
        <v>1</v>
      </c>
      <c r="FN193" s="192" t="e">
        <f t="shared" ca="1" si="94"/>
        <v>#NAME?</v>
      </c>
      <c r="FO193" s="192" t="e">
        <f t="shared" ca="1" si="95"/>
        <v>#NAME?</v>
      </c>
      <c r="FP193" s="192" t="e">
        <f t="shared" ca="1" si="96"/>
        <v>#NAME?</v>
      </c>
      <c r="FQ193" s="209" t="e">
        <f t="shared" ca="1" si="97"/>
        <v>#NAME?</v>
      </c>
      <c r="FR193" s="208" t="e">
        <f t="shared" ca="1" si="272"/>
        <v>#NAME?</v>
      </c>
      <c r="FS193" s="36" t="str">
        <f t="shared" si="99"/>
        <v>Pre-Product</v>
      </c>
      <c r="FT193" s="196">
        <f>COUNTIF($FS$2:$FS$92, FS193)/(COUNTIF($FS$2:$FS$92, "&lt;&gt;""") - COUNTIF($FZ$2:$FZ$92, ""))</f>
        <v>0.22222222222222221</v>
      </c>
      <c r="FU193" s="207"/>
      <c r="FV193" s="192" t="e">
        <f t="shared" ca="1" si="100"/>
        <v>#NAME?</v>
      </c>
      <c r="FW193" s="197" t="e">
        <f t="shared" ca="1" si="101"/>
        <v>#NAME?</v>
      </c>
      <c r="FX193" s="209" t="e">
        <f t="shared" ca="1" si="102"/>
        <v>#NAME?</v>
      </c>
      <c r="FY193" s="211" t="e">
        <f t="shared" ca="1" si="273"/>
        <v>#NAME?</v>
      </c>
      <c r="FZ193" s="36" t="str">
        <f t="shared" si="104"/>
        <v>Yes</v>
      </c>
      <c r="GA193" s="196">
        <f>COUNTIF($FZ$2:$FZ$92, FZ193)/(COUNTIF($FZ$2:$FZ$92, "&lt;&gt;""") - COUNTIF($FZ$2:$FZ$92, ""))</f>
        <v>0.23333333333333334</v>
      </c>
      <c r="GB193" s="196">
        <f t="shared" si="105"/>
        <v>0</v>
      </c>
      <c r="GC193" s="196">
        <f>COUNTIF($GB$2:$GB$92, GB193)/(COUNTIF($GB$2:$GB$92, "&lt;&gt;""") - COUNTIF($GB$2:$GB$92, ""))</f>
        <v>1.1111111111111112E-2</v>
      </c>
      <c r="GD193" s="196">
        <f t="shared" si="106"/>
        <v>0</v>
      </c>
      <c r="GE193" s="196">
        <f>COUNTIF($GD$2:$GD$92, GD193)/(COUNTIF($GD$2:$GD$92, "&lt;&gt;""") - COUNTIF($GD$2:$GD$92, ""))</f>
        <v>1.1111111111111112E-2</v>
      </c>
      <c r="GF193" s="207"/>
      <c r="GG193" s="36"/>
      <c r="GH193" s="209" t="e">
        <f t="shared" ca="1" si="107"/>
        <v>#NAME?</v>
      </c>
      <c r="GI193" s="212" t="e">
        <f t="shared" ca="1" si="274"/>
        <v>#NAME?</v>
      </c>
    </row>
    <row r="194" spans="1:191" ht="15.75" customHeight="1">
      <c r="A194" s="171"/>
      <c r="B194" s="171" t="s">
        <v>501</v>
      </c>
      <c r="C194" s="16">
        <v>1744851</v>
      </c>
      <c r="D194" s="233" t="s">
        <v>1525</v>
      </c>
      <c r="E194" s="234">
        <v>43769.501388888886</v>
      </c>
      <c r="F194" s="16" t="s">
        <v>337</v>
      </c>
      <c r="G194" s="235" t="s">
        <v>1526</v>
      </c>
      <c r="H194" s="235" t="s">
        <v>1527</v>
      </c>
      <c r="I194" s="241">
        <v>43854</v>
      </c>
      <c r="J194" s="233" t="s">
        <v>1528</v>
      </c>
      <c r="K194" s="233" t="s">
        <v>1529</v>
      </c>
      <c r="M194" s="16" t="s">
        <v>1530</v>
      </c>
      <c r="N194" s="16" t="s">
        <v>168</v>
      </c>
      <c r="O194" s="16" t="s">
        <v>30</v>
      </c>
      <c r="P194" s="16" t="s">
        <v>174</v>
      </c>
      <c r="Q194" s="16" t="s">
        <v>35</v>
      </c>
      <c r="S194" s="16" t="s">
        <v>216</v>
      </c>
      <c r="T194" s="237"/>
      <c r="U194" s="213"/>
      <c r="V194" s="54">
        <v>6051033</v>
      </c>
      <c r="W194" s="54"/>
      <c r="X194" s="226"/>
      <c r="Y194" s="55" t="str">
        <f t="shared" si="158"/>
        <v/>
      </c>
      <c r="Z194" s="274">
        <f t="shared" si="159"/>
        <v>6051033</v>
      </c>
      <c r="AA194" s="183" t="e">
        <f t="shared" ca="1" si="160"/>
        <v>#NAME?</v>
      </c>
      <c r="AB194" s="16" t="s">
        <v>36</v>
      </c>
      <c r="AC194" s="16" t="s">
        <v>37</v>
      </c>
      <c r="AD194" s="16" t="s">
        <v>38</v>
      </c>
      <c r="AE194" s="16" t="s">
        <v>227</v>
      </c>
      <c r="AF194" s="16" t="s">
        <v>181</v>
      </c>
      <c r="AG194" s="16" t="s">
        <v>181</v>
      </c>
      <c r="AH194" s="16" t="s">
        <v>190</v>
      </c>
      <c r="AI194" s="54"/>
      <c r="AJ194" s="278">
        <v>45850000000</v>
      </c>
      <c r="AK194" s="224" t="e">
        <f t="shared" ca="1" si="161"/>
        <v>#NAME?</v>
      </c>
      <c r="AL194" s="278">
        <v>45850000000</v>
      </c>
      <c r="AM194" s="224" t="e">
        <f t="shared" ca="1" si="162"/>
        <v>#NAME?</v>
      </c>
      <c r="AN194" s="278">
        <v>0.12</v>
      </c>
      <c r="AO194" s="185" t="e">
        <f t="shared" ca="1" si="63"/>
        <v>#NAME?</v>
      </c>
      <c r="AP194" s="185" t="s">
        <v>192</v>
      </c>
      <c r="AQ194" s="16" t="s">
        <v>39</v>
      </c>
      <c r="AR194" s="16" t="s">
        <v>181</v>
      </c>
      <c r="AS194" s="16" t="s">
        <v>182</v>
      </c>
      <c r="AT194" s="159"/>
      <c r="AU194" s="159"/>
      <c r="AV194" s="16" t="s">
        <v>190</v>
      </c>
      <c r="AW194" s="16" t="s">
        <v>227</v>
      </c>
      <c r="AX194" s="16" t="s">
        <v>190</v>
      </c>
      <c r="AY194" s="16" t="s">
        <v>190</v>
      </c>
      <c r="AZ194" s="54">
        <v>0</v>
      </c>
      <c r="BA194" s="55" t="e">
        <f t="shared" ca="1" si="163"/>
        <v>#NAME?</v>
      </c>
      <c r="BB194" s="278">
        <v>12321</v>
      </c>
      <c r="BC194" s="278">
        <v>526402</v>
      </c>
      <c r="BD194" s="62" t="e">
        <f t="shared" ca="1" si="164"/>
        <v>#NAME?</v>
      </c>
      <c r="BE194" s="277">
        <f t="shared" si="165"/>
        <v>2.3406066086375053E-2</v>
      </c>
      <c r="BF194" s="62" t="e">
        <f t="shared" ca="1" si="166"/>
        <v>#NAME?</v>
      </c>
      <c r="BG194" s="16" t="s">
        <v>183</v>
      </c>
      <c r="BI194" s="16" t="s">
        <v>227</v>
      </c>
      <c r="BJ194" s="16">
        <v>0</v>
      </c>
      <c r="BK194" s="278">
        <v>1</v>
      </c>
      <c r="BL194" s="16" t="s">
        <v>227</v>
      </c>
      <c r="BM194" s="16" t="s">
        <v>190</v>
      </c>
      <c r="BN194" s="16" t="s">
        <v>190</v>
      </c>
      <c r="BO194" s="16" t="s">
        <v>190</v>
      </c>
      <c r="BP194" s="16">
        <v>1</v>
      </c>
      <c r="BQ194" s="16">
        <v>3</v>
      </c>
      <c r="BR194" s="16">
        <v>2</v>
      </c>
      <c r="BS194" s="16">
        <v>0</v>
      </c>
      <c r="BT194" s="205"/>
      <c r="BU194" s="16">
        <v>17</v>
      </c>
      <c r="BV194" s="16">
        <v>0</v>
      </c>
      <c r="BW194" s="16">
        <v>46</v>
      </c>
      <c r="BX194" s="16" t="s">
        <v>190</v>
      </c>
      <c r="BY194" s="205"/>
      <c r="CD194" s="205"/>
      <c r="CI194" s="205"/>
      <c r="CN194" s="205"/>
      <c r="CS194" s="205"/>
      <c r="CX194" s="205"/>
      <c r="DC194" s="205"/>
      <c r="DH194" s="205"/>
      <c r="DM194" s="205"/>
      <c r="DN194" s="205"/>
      <c r="DO194" s="205"/>
      <c r="DQ194" s="206"/>
      <c r="DR194" s="188">
        <f t="shared" si="64"/>
        <v>17</v>
      </c>
      <c r="DS194" s="188"/>
      <c r="DT194" s="189">
        <f t="shared" si="65"/>
        <v>0</v>
      </c>
      <c r="DU194" s="189"/>
      <c r="DV194" s="188">
        <f t="shared" si="66"/>
        <v>46</v>
      </c>
      <c r="DW194" s="183" t="e">
        <f t="shared" ca="1" si="67"/>
        <v>#NAME?</v>
      </c>
      <c r="DX194" s="207"/>
      <c r="DY194" s="190" t="e">
        <f t="shared" ca="1" si="68"/>
        <v>#NAME?</v>
      </c>
      <c r="DZ194" s="191" t="str">
        <f t="shared" si="264"/>
        <v/>
      </c>
      <c r="EA194" s="191" t="str">
        <f t="shared" si="265"/>
        <v/>
      </c>
      <c r="EB194" s="191" t="str">
        <f t="shared" si="266"/>
        <v/>
      </c>
      <c r="EC194" s="208" t="e">
        <f t="shared" ca="1" si="72"/>
        <v>#NAME?</v>
      </c>
      <c r="ED194" s="36" t="str">
        <f t="shared" si="73"/>
        <v>Equity - Common</v>
      </c>
      <c r="EE194" s="193">
        <f>COUNTIF($ED$2:$ED$92, ED194)/(COUNTIF($ED$2:$ED$92, "&lt;&gt;""") - COUNTIF($ED$2:$ED$92, ""))</f>
        <v>0.32222222222222224</v>
      </c>
      <c r="EF194" s="36" t="str">
        <f t="shared" si="74"/>
        <v>Early</v>
      </c>
      <c r="EG194" s="207"/>
      <c r="EH194" s="194" t="e">
        <f t="shared" ca="1" si="75"/>
        <v>#NAME?</v>
      </c>
      <c r="EI194" s="194" t="e">
        <f t="shared" ca="1" si="76"/>
        <v>#NAME?</v>
      </c>
      <c r="EJ194" s="209" t="e">
        <f t="shared" ca="1" si="77"/>
        <v>#NAME?</v>
      </c>
      <c r="EK194" s="208" t="e">
        <f t="shared" ca="1" si="267"/>
        <v>#NAME?</v>
      </c>
      <c r="EL194" s="36" t="str">
        <f t="shared" si="79"/>
        <v>No</v>
      </c>
      <c r="EM194" s="207"/>
      <c r="EN194" s="192">
        <f t="shared" si="268"/>
        <v>2.6190476190476191</v>
      </c>
      <c r="EO194" s="192">
        <f t="shared" si="269"/>
        <v>1</v>
      </c>
      <c r="EP194" s="209">
        <f t="shared" si="82"/>
        <v>3.6190476190476191</v>
      </c>
      <c r="EQ194" s="210">
        <f t="shared" si="270"/>
        <v>2.2710280373831777</v>
      </c>
      <c r="ER194" s="36" t="e">
        <f t="shared" ca="1" si="84"/>
        <v>#NAME?</v>
      </c>
      <c r="ES194" s="40">
        <f ca="1">COUNTIF($ER$2:$ER$92, ER194)/(COUNTIF($ER$2:$ER$92, "&lt;&gt;""") - COUNTIF($ER$2:$ER$92, ""))</f>
        <v>1</v>
      </c>
      <c r="ET194" s="36">
        <f t="shared" si="85"/>
        <v>1</v>
      </c>
      <c r="EU194" s="40">
        <f>COUNTIF($ET$2:$ET$92, ET194)/(COUNTIF($ET$2:$ET$92, "&lt;&gt;""") - COUNTIF($ET$2:$ET$92, ""))</f>
        <v>0.45555555555555555</v>
      </c>
      <c r="EV194" s="36">
        <f t="shared" si="86"/>
        <v>3</v>
      </c>
      <c r="EW194" s="40">
        <f>COUNTIF($EV$2:$EV$92, EV194)/(COUNTIF($EV$2:$EV$92, "&lt;&gt;""") - COUNTIF($EV$2:$EV$92, ""))</f>
        <v>8.8888888888888892E-2</v>
      </c>
      <c r="EX194" s="36" t="str">
        <f t="shared" si="87"/>
        <v>Yes</v>
      </c>
      <c r="EY194" s="40">
        <f>COUNTIF($EX$2:$EX$92, EX194)/(COUNTIF($EX$2:$EX$92, "&lt;&gt;""") - COUNTIF($EX$2:$EX$92, ""))</f>
        <v>0.27777777777777779</v>
      </c>
      <c r="EZ194" s="36" t="str">
        <f t="shared" ref="EZ194:FB194" si="327">BM194</f>
        <v>No</v>
      </c>
      <c r="FA194" s="36" t="str">
        <f t="shared" si="327"/>
        <v>No</v>
      </c>
      <c r="FB194" s="36" t="str">
        <f t="shared" si="327"/>
        <v>No</v>
      </c>
      <c r="FC194" s="207"/>
      <c r="FD194" s="36" t="str">
        <f t="shared" si="89"/>
        <v>Transactional</v>
      </c>
      <c r="FE194" s="40">
        <f>COUNTIF($FD$2:$FD$92, FD194)/(COUNTIF($FD$2:$FD$92, "&lt;&gt;""") - COUNTIF($FD$2:$FD$92, ""))</f>
        <v>0.6</v>
      </c>
      <c r="FF194" s="36" t="str">
        <f t="shared" si="90"/>
        <v>B2B</v>
      </c>
      <c r="FG194" s="40">
        <f>COUNTIF($FF$2:$FF$92, FF194)/(COUNTIF($FF$2:$FF$92, "&lt;&gt;""") - COUNTIF($FF$2:$FF$92, ""))</f>
        <v>0.24444444444444444</v>
      </c>
      <c r="FH194" s="36" t="str">
        <f t="shared" si="91"/>
        <v>Low</v>
      </c>
      <c r="FI194" s="40">
        <f>COUNTIF($FH$2:$FH$92, FH194)/(COUNTIF($FH$2:$FH$92, "&lt;&gt;""") - COUNTIF($FH$2:$FH$92, ""))</f>
        <v>0.46666666666666667</v>
      </c>
      <c r="FJ194" s="36" t="str">
        <f t="shared" si="92"/>
        <v>Low</v>
      </c>
      <c r="FK194" s="40">
        <f>COUNTIF($FJ$2:$FJ$92, FJ194)/(COUNTIF($FJ$2:$FJ$92, "&lt;&gt;""") - COUNTIF($FJ$2:$FJ$92, ""))</f>
        <v>0.41111111111111109</v>
      </c>
      <c r="FL194" s="207"/>
      <c r="FM194" s="192">
        <f t="shared" si="93"/>
        <v>1</v>
      </c>
      <c r="FN194" s="192" t="e">
        <f t="shared" ca="1" si="94"/>
        <v>#NAME?</v>
      </c>
      <c r="FO194" s="192" t="e">
        <f t="shared" ca="1" si="95"/>
        <v>#NAME?</v>
      </c>
      <c r="FP194" s="192" t="e">
        <f t="shared" ca="1" si="96"/>
        <v>#NAME?</v>
      </c>
      <c r="FQ194" s="209" t="e">
        <f t="shared" ca="1" si="97"/>
        <v>#NAME?</v>
      </c>
      <c r="FR194" s="208" t="e">
        <f t="shared" ca="1" si="272"/>
        <v>#NAME?</v>
      </c>
      <c r="FS194" s="36" t="str">
        <f t="shared" si="99"/>
        <v>Pre-Revenue</v>
      </c>
      <c r="FT194" s="196">
        <f>COUNTIF($FS$2:$FS$92, FS194)/(COUNTIF($FS$2:$FS$92, "&lt;&gt;""") - COUNTIF($FZ$2:$FZ$92, ""))</f>
        <v>0.2</v>
      </c>
      <c r="FU194" s="207"/>
      <c r="FV194" s="192">
        <f t="shared" si="100"/>
        <v>3</v>
      </c>
      <c r="FW194" s="197" t="e">
        <f t="shared" ca="1" si="101"/>
        <v>#NAME?</v>
      </c>
      <c r="FX194" s="209" t="e">
        <f t="shared" ca="1" si="102"/>
        <v>#NAME?</v>
      </c>
      <c r="FY194" s="211" t="e">
        <f t="shared" ca="1" si="273"/>
        <v>#NAME?</v>
      </c>
      <c r="FZ194" s="36" t="str">
        <f t="shared" si="104"/>
        <v>Yes</v>
      </c>
      <c r="GA194" s="196">
        <f>COUNTIF($FZ$2:$FZ$92, FZ194)/(COUNTIF($FZ$2:$FZ$92, "&lt;&gt;""") - COUNTIF($FZ$2:$FZ$92, ""))</f>
        <v>0.23333333333333334</v>
      </c>
      <c r="GB194" s="196">
        <f t="shared" si="105"/>
        <v>0</v>
      </c>
      <c r="GC194" s="196">
        <f>COUNTIF($GB$2:$GB$92, GB194)/(COUNTIF($GB$2:$GB$92, "&lt;&gt;""") - COUNTIF($GB$2:$GB$92, ""))</f>
        <v>1.1111111111111112E-2</v>
      </c>
      <c r="GD194" s="196">
        <f t="shared" si="106"/>
        <v>0</v>
      </c>
      <c r="GE194" s="196">
        <f>COUNTIF($GD$2:$GD$92, GD194)/(COUNTIF($GD$2:$GD$92, "&lt;&gt;""") - COUNTIF($GD$2:$GD$92, ""))</f>
        <v>1.1111111111111112E-2</v>
      </c>
      <c r="GF194" s="207"/>
      <c r="GG194" s="36"/>
      <c r="GH194" s="209" t="e">
        <f t="shared" ca="1" si="107"/>
        <v>#NAME?</v>
      </c>
      <c r="GI194" s="212" t="e">
        <f t="shared" ca="1" si="274"/>
        <v>#NAME?</v>
      </c>
    </row>
    <row r="195" spans="1:191" ht="15.75" customHeight="1">
      <c r="A195" s="171"/>
      <c r="B195" s="171" t="s">
        <v>501</v>
      </c>
      <c r="C195" s="16">
        <v>1720886</v>
      </c>
      <c r="D195" s="233" t="s">
        <v>1531</v>
      </c>
      <c r="E195" s="234">
        <v>43769.504166666666</v>
      </c>
      <c r="F195" s="16" t="s">
        <v>337</v>
      </c>
      <c r="G195" s="235" t="s">
        <v>1532</v>
      </c>
      <c r="H195" s="235" t="s">
        <v>1533</v>
      </c>
      <c r="I195" s="241">
        <v>43861</v>
      </c>
      <c r="J195" s="233" t="s">
        <v>1534</v>
      </c>
      <c r="K195" s="233" t="s">
        <v>1535</v>
      </c>
      <c r="M195" s="16" t="s">
        <v>193</v>
      </c>
      <c r="N195" s="16" t="s">
        <v>315</v>
      </c>
      <c r="O195" s="16" t="s">
        <v>173</v>
      </c>
      <c r="P195" s="16" t="s">
        <v>197</v>
      </c>
      <c r="Q195" s="16" t="s">
        <v>35</v>
      </c>
      <c r="S195" s="16" t="s">
        <v>216</v>
      </c>
      <c r="T195" s="237"/>
      <c r="U195" s="213"/>
      <c r="V195" s="54">
        <v>4961250</v>
      </c>
      <c r="W195" s="54"/>
      <c r="X195" s="226"/>
      <c r="Y195" s="55" t="str">
        <f t="shared" si="158"/>
        <v/>
      </c>
      <c r="Z195" s="274">
        <f t="shared" si="159"/>
        <v>4961250</v>
      </c>
      <c r="AA195" s="183" t="e">
        <f t="shared" ca="1" si="160"/>
        <v>#NAME?</v>
      </c>
      <c r="AB195" s="16" t="s">
        <v>36</v>
      </c>
      <c r="AC195" s="16" t="s">
        <v>218</v>
      </c>
      <c r="AD195" s="16" t="s">
        <v>180</v>
      </c>
      <c r="AE195" s="16" t="s">
        <v>227</v>
      </c>
      <c r="AF195" s="16" t="s">
        <v>39</v>
      </c>
      <c r="AG195" s="16" t="s">
        <v>181</v>
      </c>
      <c r="AH195" s="16" t="s">
        <v>190</v>
      </c>
      <c r="AI195" s="54"/>
      <c r="AJ195" s="278">
        <v>90400000000</v>
      </c>
      <c r="AK195" s="224" t="e">
        <f t="shared" ca="1" si="161"/>
        <v>#NAME?</v>
      </c>
      <c r="AL195" s="278">
        <v>9040000000</v>
      </c>
      <c r="AM195" s="224" t="e">
        <f t="shared" ca="1" si="162"/>
        <v>#NAME?</v>
      </c>
      <c r="AN195" s="278">
        <v>0.05</v>
      </c>
      <c r="AO195" s="185" t="e">
        <f t="shared" ca="1" si="63"/>
        <v>#NAME?</v>
      </c>
      <c r="AP195" s="185" t="s">
        <v>192</v>
      </c>
      <c r="AQ195" s="16" t="s">
        <v>181</v>
      </c>
      <c r="AR195" s="16" t="s">
        <v>181</v>
      </c>
      <c r="AS195" s="16" t="s">
        <v>42</v>
      </c>
      <c r="AT195" s="159"/>
      <c r="AU195" s="159"/>
      <c r="AV195" s="16" t="s">
        <v>190</v>
      </c>
      <c r="AW195" s="16" t="s">
        <v>190</v>
      </c>
      <c r="AX195" s="16" t="s">
        <v>227</v>
      </c>
      <c r="AY195" s="16" t="s">
        <v>227</v>
      </c>
      <c r="AZ195" s="54">
        <v>749509</v>
      </c>
      <c r="BA195" s="55" t="e">
        <f t="shared" ca="1" si="163"/>
        <v>#NAME?</v>
      </c>
      <c r="BB195" s="278">
        <v>141520</v>
      </c>
      <c r="BC195" s="278">
        <v>2006203</v>
      </c>
      <c r="BD195" s="62" t="e">
        <f t="shared" ca="1" si="164"/>
        <v>#NAME?</v>
      </c>
      <c r="BE195" s="277">
        <f t="shared" si="165"/>
        <v>7.0541216417281796E-2</v>
      </c>
      <c r="BF195" s="62" t="e">
        <f t="shared" ca="1" si="166"/>
        <v>#NAME?</v>
      </c>
      <c r="BG195" s="16" t="s">
        <v>202</v>
      </c>
      <c r="BI195" s="16" t="s">
        <v>227</v>
      </c>
      <c r="BJ195" s="16">
        <v>4</v>
      </c>
      <c r="BK195" s="278">
        <v>1</v>
      </c>
      <c r="BL195" s="16" t="s">
        <v>227</v>
      </c>
      <c r="BM195" s="16" t="s">
        <v>190</v>
      </c>
      <c r="BN195" s="16" t="s">
        <v>190</v>
      </c>
      <c r="BO195" s="16" t="s">
        <v>190</v>
      </c>
      <c r="BP195" s="16">
        <v>2</v>
      </c>
      <c r="BQ195" s="16">
        <v>12</v>
      </c>
      <c r="BR195" s="16">
        <v>0</v>
      </c>
      <c r="BS195" s="16">
        <v>0</v>
      </c>
      <c r="BT195" s="205"/>
      <c r="BU195" s="16">
        <v>1</v>
      </c>
      <c r="BV195" s="16">
        <v>0</v>
      </c>
      <c r="BW195" s="16">
        <v>27</v>
      </c>
      <c r="BX195" s="16" t="s">
        <v>190</v>
      </c>
      <c r="BY195" s="205"/>
      <c r="CD195" s="205"/>
      <c r="CI195" s="205"/>
      <c r="CN195" s="205"/>
      <c r="CS195" s="205"/>
      <c r="CX195" s="205"/>
      <c r="DC195" s="205"/>
      <c r="DH195" s="205"/>
      <c r="DM195" s="205"/>
      <c r="DN195" s="205"/>
      <c r="DO195" s="205"/>
      <c r="DQ195" s="206"/>
      <c r="DR195" s="188">
        <f t="shared" si="64"/>
        <v>1</v>
      </c>
      <c r="DS195" s="188"/>
      <c r="DT195" s="189">
        <f t="shared" si="65"/>
        <v>0</v>
      </c>
      <c r="DU195" s="189"/>
      <c r="DV195" s="188">
        <f t="shared" si="66"/>
        <v>27</v>
      </c>
      <c r="DW195" s="183" t="e">
        <f t="shared" ca="1" si="67"/>
        <v>#NAME?</v>
      </c>
      <c r="DX195" s="207"/>
      <c r="DY195" s="190" t="e">
        <f t="shared" ca="1" si="68"/>
        <v>#NAME?</v>
      </c>
      <c r="DZ195" s="191" t="str">
        <f t="shared" si="264"/>
        <v/>
      </c>
      <c r="EA195" s="191" t="str">
        <f t="shared" si="265"/>
        <v/>
      </c>
      <c r="EB195" s="191" t="str">
        <f t="shared" si="266"/>
        <v/>
      </c>
      <c r="EC195" s="208" t="e">
        <f t="shared" ca="1" si="72"/>
        <v>#NAME?</v>
      </c>
      <c r="ED195" s="36" t="str">
        <f t="shared" si="73"/>
        <v>Equity - Common</v>
      </c>
      <c r="EE195" s="193">
        <f>COUNTIF($ED$2:$ED$92, ED195)/(COUNTIF($ED$2:$ED$92, "&lt;&gt;""") - COUNTIF($ED$2:$ED$92, ""))</f>
        <v>0.32222222222222224</v>
      </c>
      <c r="EF195" s="36" t="str">
        <f t="shared" si="74"/>
        <v>Growth</v>
      </c>
      <c r="EG195" s="207"/>
      <c r="EH195" s="194" t="e">
        <f t="shared" ca="1" si="75"/>
        <v>#NAME?</v>
      </c>
      <c r="EI195" s="194" t="e">
        <f t="shared" ca="1" si="76"/>
        <v>#NAME?</v>
      </c>
      <c r="EJ195" s="209" t="e">
        <f t="shared" ca="1" si="77"/>
        <v>#NAME?</v>
      </c>
      <c r="EK195" s="208" t="e">
        <f t="shared" ca="1" si="267"/>
        <v>#NAME?</v>
      </c>
      <c r="EL195" s="36" t="str">
        <f t="shared" si="79"/>
        <v>No</v>
      </c>
      <c r="EM195" s="207"/>
      <c r="EN195" s="192">
        <f t="shared" si="268"/>
        <v>1.0952380952380953</v>
      </c>
      <c r="EO195" s="192">
        <f t="shared" si="269"/>
        <v>1</v>
      </c>
      <c r="EP195" s="209">
        <f t="shared" si="82"/>
        <v>2.0952380952380953</v>
      </c>
      <c r="EQ195" s="210">
        <f t="shared" si="270"/>
        <v>1.0747663551401869</v>
      </c>
      <c r="ER195" s="36" t="e">
        <f t="shared" ca="1" si="84"/>
        <v>#NAME?</v>
      </c>
      <c r="ES195" s="40">
        <f ca="1">COUNTIF($ER$2:$ER$92, ER195)/(COUNTIF($ER$2:$ER$92, "&lt;&gt;""") - COUNTIF($ER$2:$ER$92, ""))</f>
        <v>1</v>
      </c>
      <c r="ET195" s="36">
        <f t="shared" si="85"/>
        <v>1</v>
      </c>
      <c r="EU195" s="40">
        <f>COUNTIF($ET$2:$ET$92, ET195)/(COUNTIF($ET$2:$ET$92, "&lt;&gt;""") - COUNTIF($ET$2:$ET$92, ""))</f>
        <v>0.45555555555555555</v>
      </c>
      <c r="EV195" s="36">
        <f t="shared" si="86"/>
        <v>12</v>
      </c>
      <c r="EW195" s="40">
        <f>COUNTIF($EV$2:$EV$92, EV195)/(COUNTIF($EV$2:$EV$92, "&lt;&gt;""") - COUNTIF($EV$2:$EV$92, ""))</f>
        <v>1.1111111111111112E-2</v>
      </c>
      <c r="EX195" s="36" t="str">
        <f t="shared" si="87"/>
        <v>Yes</v>
      </c>
      <c r="EY195" s="40">
        <f>COUNTIF($EX$2:$EX$92, EX195)/(COUNTIF($EX$2:$EX$92, "&lt;&gt;""") - COUNTIF($EX$2:$EX$92, ""))</f>
        <v>0.27777777777777779</v>
      </c>
      <c r="EZ195" s="36" t="str">
        <f t="shared" ref="EZ195:FB195" si="328">BM195</f>
        <v>No</v>
      </c>
      <c r="FA195" s="36" t="str">
        <f t="shared" si="328"/>
        <v>No</v>
      </c>
      <c r="FB195" s="36" t="str">
        <f t="shared" si="328"/>
        <v>No</v>
      </c>
      <c r="FC195" s="207"/>
      <c r="FD195" s="36" t="str">
        <f t="shared" si="89"/>
        <v>Transactional</v>
      </c>
      <c r="FE195" s="40">
        <f>COUNTIF($FD$2:$FD$92, FD195)/(COUNTIF($FD$2:$FD$92, "&lt;&gt;""") - COUNTIF($FD$2:$FD$92, ""))</f>
        <v>0.6</v>
      </c>
      <c r="FF195" s="36" t="str">
        <f t="shared" si="90"/>
        <v>B2B/B2C</v>
      </c>
      <c r="FG195" s="40">
        <f>COUNTIF($FF$2:$FF$92, FF195)/(COUNTIF($FF$2:$FF$92, "&lt;&gt;""") - COUNTIF($FF$2:$FF$92, ""))</f>
        <v>0.27777777777777779</v>
      </c>
      <c r="FH195" s="36" t="str">
        <f t="shared" si="91"/>
        <v>High</v>
      </c>
      <c r="FI195" s="40">
        <f>COUNTIF($FH$2:$FH$92, FH195)/(COUNTIF($FH$2:$FH$92, "&lt;&gt;""") - COUNTIF($FH$2:$FH$92, ""))</f>
        <v>0.53333333333333333</v>
      </c>
      <c r="FJ195" s="36" t="str">
        <f t="shared" si="92"/>
        <v>Low</v>
      </c>
      <c r="FK195" s="40">
        <f>COUNTIF($FJ$2:$FJ$92, FJ195)/(COUNTIF($FJ$2:$FJ$92, "&lt;&gt;""") - COUNTIF($FJ$2:$FJ$92, ""))</f>
        <v>0.41111111111111109</v>
      </c>
      <c r="FL195" s="207"/>
      <c r="FM195" s="192">
        <f t="shared" si="93"/>
        <v>5</v>
      </c>
      <c r="FN195" s="192" t="e">
        <f t="shared" ca="1" si="94"/>
        <v>#NAME?</v>
      </c>
      <c r="FO195" s="192" t="e">
        <f t="shared" ca="1" si="95"/>
        <v>#NAME?</v>
      </c>
      <c r="FP195" s="192" t="e">
        <f t="shared" ca="1" si="96"/>
        <v>#NAME?</v>
      </c>
      <c r="FQ195" s="209" t="e">
        <f t="shared" ca="1" si="97"/>
        <v>#NAME?</v>
      </c>
      <c r="FR195" s="208" t="e">
        <f t="shared" ca="1" si="272"/>
        <v>#NAME?</v>
      </c>
      <c r="FS195" s="36" t="str">
        <f t="shared" si="99"/>
        <v>Pre-Profit</v>
      </c>
      <c r="FT195" s="196">
        <f>COUNTIF($FS$2:$FS$92, FS195)/(COUNTIF($FS$2:$FS$92, "&lt;&gt;""") - COUNTIF($FZ$2:$FZ$92, ""))</f>
        <v>0.51111111111111107</v>
      </c>
      <c r="FU195" s="207"/>
      <c r="FV195" s="192" t="e">
        <f t="shared" ca="1" si="100"/>
        <v>#NAME?</v>
      </c>
      <c r="FW195" s="197" t="e">
        <f t="shared" ca="1" si="101"/>
        <v>#NAME?</v>
      </c>
      <c r="FX195" s="209" t="e">
        <f t="shared" ca="1" si="102"/>
        <v>#NAME?</v>
      </c>
      <c r="FY195" s="211" t="e">
        <f t="shared" ca="1" si="273"/>
        <v>#NAME?</v>
      </c>
      <c r="FZ195" s="36" t="str">
        <f t="shared" si="104"/>
        <v>No</v>
      </c>
      <c r="GA195" s="196">
        <f>COUNTIF($FZ$2:$FZ$92, FZ195)/(COUNTIF($FZ$2:$FZ$92, "&lt;&gt;""") - COUNTIF($FZ$2:$FZ$92, ""))</f>
        <v>0.76666666666666672</v>
      </c>
      <c r="GB195" s="196">
        <f t="shared" si="105"/>
        <v>0</v>
      </c>
      <c r="GC195" s="196">
        <f>COUNTIF($GB$2:$GB$92, GB195)/(COUNTIF($GB$2:$GB$92, "&lt;&gt;""") - COUNTIF($GB$2:$GB$92, ""))</f>
        <v>1.1111111111111112E-2</v>
      </c>
      <c r="GD195" s="196">
        <f t="shared" si="106"/>
        <v>0</v>
      </c>
      <c r="GE195" s="196">
        <f>COUNTIF($GD$2:$GD$92, GD195)/(COUNTIF($GD$2:$GD$92, "&lt;&gt;""") - COUNTIF($GD$2:$GD$92, ""))</f>
        <v>1.1111111111111112E-2</v>
      </c>
      <c r="GF195" s="207"/>
      <c r="GG195" s="36"/>
      <c r="GH195" s="209" t="e">
        <f t="shared" ca="1" si="107"/>
        <v>#NAME?</v>
      </c>
      <c r="GI195" s="212" t="e">
        <f t="shared" ca="1" si="274"/>
        <v>#NAME?</v>
      </c>
    </row>
    <row r="196" spans="1:191" ht="15.75" customHeight="1">
      <c r="A196" s="171"/>
      <c r="B196" s="171" t="s">
        <v>501</v>
      </c>
      <c r="C196" s="16">
        <v>1791625</v>
      </c>
      <c r="D196" s="233" t="s">
        <v>1536</v>
      </c>
      <c r="E196" s="234">
        <v>43769.513194444444</v>
      </c>
      <c r="F196" s="16" t="s">
        <v>337</v>
      </c>
      <c r="G196" s="235" t="s">
        <v>1537</v>
      </c>
      <c r="H196" s="235" t="s">
        <v>1538</v>
      </c>
      <c r="I196" s="241">
        <v>43858</v>
      </c>
      <c r="J196" s="233" t="s">
        <v>1539</v>
      </c>
      <c r="K196" s="233" t="s">
        <v>1536</v>
      </c>
      <c r="M196" s="29" t="s">
        <v>747</v>
      </c>
      <c r="N196" s="16" t="s">
        <v>168</v>
      </c>
      <c r="O196" s="16" t="s">
        <v>173</v>
      </c>
      <c r="P196" s="16" t="s">
        <v>174</v>
      </c>
      <c r="Q196" s="16" t="s">
        <v>35</v>
      </c>
      <c r="S196" s="16" t="s">
        <v>216</v>
      </c>
      <c r="T196" s="237"/>
      <c r="U196" s="213"/>
      <c r="V196" s="54">
        <v>5000000</v>
      </c>
      <c r="W196" s="54"/>
      <c r="X196" s="226"/>
      <c r="Y196" s="55" t="str">
        <f t="shared" si="158"/>
        <v/>
      </c>
      <c r="Z196" s="274">
        <f t="shared" si="159"/>
        <v>5000000</v>
      </c>
      <c r="AA196" s="183" t="e">
        <f t="shared" ca="1" si="160"/>
        <v>#NAME?</v>
      </c>
      <c r="AB196" s="16" t="s">
        <v>36</v>
      </c>
      <c r="AC196" s="16" t="s">
        <v>179</v>
      </c>
      <c r="AD196" s="16" t="s">
        <v>38</v>
      </c>
      <c r="AE196" s="16" t="s">
        <v>227</v>
      </c>
      <c r="AF196" s="16" t="s">
        <v>181</v>
      </c>
      <c r="AG196" s="16" t="s">
        <v>181</v>
      </c>
      <c r="AH196" s="16" t="s">
        <v>190</v>
      </c>
      <c r="AI196" s="54"/>
      <c r="AJ196" s="278">
        <v>18300000000</v>
      </c>
      <c r="AK196" s="224" t="e">
        <f t="shared" ca="1" si="161"/>
        <v>#NAME?</v>
      </c>
      <c r="AL196" s="278">
        <v>18300000000</v>
      </c>
      <c r="AM196" s="224" t="e">
        <f t="shared" ca="1" si="162"/>
        <v>#NAME?</v>
      </c>
      <c r="AN196" s="278">
        <v>0.13</v>
      </c>
      <c r="AO196" s="185" t="e">
        <f t="shared" ca="1" si="63"/>
        <v>#NAME?</v>
      </c>
      <c r="AP196" s="185" t="s">
        <v>192</v>
      </c>
      <c r="AQ196" s="16" t="s">
        <v>181</v>
      </c>
      <c r="AR196" s="16" t="s">
        <v>181</v>
      </c>
      <c r="AS196" s="16" t="s">
        <v>42</v>
      </c>
      <c r="AT196" s="159"/>
      <c r="AU196" s="159"/>
      <c r="AV196" s="16" t="s">
        <v>190</v>
      </c>
      <c r="AW196" s="16" t="s">
        <v>190</v>
      </c>
      <c r="AX196" s="16" t="s">
        <v>227</v>
      </c>
      <c r="AY196" s="16" t="s">
        <v>227</v>
      </c>
      <c r="AZ196" s="54">
        <v>98314</v>
      </c>
      <c r="BA196" s="55" t="e">
        <f t="shared" ca="1" si="163"/>
        <v>#NAME?</v>
      </c>
      <c r="BB196" s="278">
        <v>341</v>
      </c>
      <c r="BC196" s="278">
        <v>0</v>
      </c>
      <c r="BD196" s="62" t="e">
        <f t="shared" ca="1" si="164"/>
        <v>#NAME?</v>
      </c>
      <c r="BE196" s="277">
        <f t="shared" si="165"/>
        <v>1</v>
      </c>
      <c r="BF196" s="62" t="e">
        <f t="shared" ca="1" si="166"/>
        <v>#NAME?</v>
      </c>
      <c r="BG196" s="16" t="s">
        <v>219</v>
      </c>
      <c r="BI196" s="16" t="s">
        <v>190</v>
      </c>
      <c r="BJ196" s="16">
        <v>0</v>
      </c>
      <c r="BK196" s="278">
        <v>2</v>
      </c>
      <c r="BL196" s="16" t="s">
        <v>227</v>
      </c>
      <c r="BM196" s="16" t="s">
        <v>227</v>
      </c>
      <c r="BN196" s="16" t="s">
        <v>190</v>
      </c>
      <c r="BO196" s="16" t="s">
        <v>190</v>
      </c>
      <c r="BP196" s="16">
        <v>1</v>
      </c>
      <c r="BQ196" s="16">
        <v>2</v>
      </c>
      <c r="BR196" s="16">
        <v>0</v>
      </c>
      <c r="BS196" s="16">
        <v>0</v>
      </c>
      <c r="BT196" s="205"/>
      <c r="BU196" s="16">
        <v>3</v>
      </c>
      <c r="BV196" s="16">
        <v>0</v>
      </c>
      <c r="BW196" s="16">
        <v>35</v>
      </c>
      <c r="BX196" s="16" t="s">
        <v>190</v>
      </c>
      <c r="BY196" s="205"/>
      <c r="BZ196" s="16">
        <v>3</v>
      </c>
      <c r="CA196" s="16">
        <v>0</v>
      </c>
      <c r="CB196" s="16">
        <v>38</v>
      </c>
      <c r="CC196" s="16" t="s">
        <v>190</v>
      </c>
      <c r="CD196" s="205"/>
      <c r="CI196" s="205"/>
      <c r="CN196" s="205"/>
      <c r="CS196" s="205"/>
      <c r="CX196" s="205"/>
      <c r="DC196" s="205"/>
      <c r="DH196" s="205"/>
      <c r="DM196" s="205"/>
      <c r="DN196" s="205"/>
      <c r="DO196" s="205"/>
      <c r="DQ196" s="206"/>
      <c r="DR196" s="188">
        <f t="shared" si="64"/>
        <v>3</v>
      </c>
      <c r="DS196" s="188"/>
      <c r="DT196" s="189">
        <f t="shared" si="65"/>
        <v>0</v>
      </c>
      <c r="DU196" s="189"/>
      <c r="DV196" s="188">
        <f t="shared" si="66"/>
        <v>36.5</v>
      </c>
      <c r="DW196" s="183" t="e">
        <f t="shared" ca="1" si="67"/>
        <v>#NAME?</v>
      </c>
      <c r="DX196" s="207"/>
      <c r="DY196" s="190" t="e">
        <f t="shared" ca="1" si="68"/>
        <v>#NAME?</v>
      </c>
      <c r="DZ196" s="191" t="str">
        <f t="shared" si="264"/>
        <v/>
      </c>
      <c r="EA196" s="191" t="str">
        <f t="shared" si="265"/>
        <v/>
      </c>
      <c r="EB196" s="191" t="str">
        <f t="shared" si="266"/>
        <v/>
      </c>
      <c r="EC196" s="208" t="e">
        <f t="shared" ca="1" si="72"/>
        <v>#NAME?</v>
      </c>
      <c r="ED196" s="36" t="str">
        <f t="shared" si="73"/>
        <v>Equity - Common</v>
      </c>
      <c r="EE196" s="193">
        <f>COUNTIF($ED$2:$ED$92, ED196)/(COUNTIF($ED$2:$ED$92, "&lt;&gt;""") - COUNTIF($ED$2:$ED$92, ""))</f>
        <v>0.32222222222222224</v>
      </c>
      <c r="EF196" s="36" t="str">
        <f t="shared" si="74"/>
        <v>Growth</v>
      </c>
      <c r="EG196" s="207"/>
      <c r="EH196" s="194" t="e">
        <f t="shared" ca="1" si="75"/>
        <v>#NAME?</v>
      </c>
      <c r="EI196" s="194" t="e">
        <f t="shared" ca="1" si="76"/>
        <v>#NAME?</v>
      </c>
      <c r="EJ196" s="209" t="e">
        <f t="shared" ca="1" si="77"/>
        <v>#NAME?</v>
      </c>
      <c r="EK196" s="208" t="e">
        <f t="shared" ca="1" si="267"/>
        <v>#NAME?</v>
      </c>
      <c r="EL196" s="36" t="str">
        <f t="shared" si="79"/>
        <v>No</v>
      </c>
      <c r="EM196" s="207"/>
      <c r="EN196" s="192">
        <f t="shared" si="268"/>
        <v>1.2857142857142856</v>
      </c>
      <c r="EO196" s="192">
        <f t="shared" si="269"/>
        <v>1</v>
      </c>
      <c r="EP196" s="209">
        <f t="shared" si="82"/>
        <v>2.2857142857142856</v>
      </c>
      <c r="EQ196" s="210">
        <f t="shared" si="270"/>
        <v>1.2242990654205608</v>
      </c>
      <c r="ER196" s="36" t="e">
        <f t="shared" ca="1" si="84"/>
        <v>#NAME?</v>
      </c>
      <c r="ES196" s="40">
        <f ca="1">COUNTIF($ER$2:$ER$92, ER196)/(COUNTIF($ER$2:$ER$92, "&lt;&gt;""") - COUNTIF($ER$2:$ER$92, ""))</f>
        <v>1</v>
      </c>
      <c r="ET196" s="36">
        <f t="shared" si="85"/>
        <v>2</v>
      </c>
      <c r="EU196" s="40">
        <f>COUNTIF($ET$2:$ET$92, ET196)/(COUNTIF($ET$2:$ET$92, "&lt;&gt;""") - COUNTIF($ET$2:$ET$92, ""))</f>
        <v>0.45555555555555555</v>
      </c>
      <c r="EV196" s="36">
        <f t="shared" si="86"/>
        <v>2</v>
      </c>
      <c r="EW196" s="40">
        <f>COUNTIF($EV$2:$EV$92, EV196)/(COUNTIF($EV$2:$EV$92, "&lt;&gt;""") - COUNTIF($EV$2:$EV$92, ""))</f>
        <v>0.15555555555555556</v>
      </c>
      <c r="EX196" s="36" t="str">
        <f t="shared" si="87"/>
        <v>Yes</v>
      </c>
      <c r="EY196" s="40">
        <f>COUNTIF($EX$2:$EX$92, EX196)/(COUNTIF($EX$2:$EX$92, "&lt;&gt;""") - COUNTIF($EX$2:$EX$92, ""))</f>
        <v>0.27777777777777779</v>
      </c>
      <c r="EZ196" s="36" t="str">
        <f t="shared" ref="EZ196:FB196" si="329">BM196</f>
        <v>Yes</v>
      </c>
      <c r="FA196" s="36" t="str">
        <f t="shared" si="329"/>
        <v>No</v>
      </c>
      <c r="FB196" s="36" t="str">
        <f t="shared" si="329"/>
        <v>No</v>
      </c>
      <c r="FC196" s="207"/>
      <c r="FD196" s="36" t="str">
        <f t="shared" si="89"/>
        <v>Transactional</v>
      </c>
      <c r="FE196" s="40">
        <f>COUNTIF($FD$2:$FD$92, FD196)/(COUNTIF($FD$2:$FD$92, "&lt;&gt;""") - COUNTIF($FD$2:$FD$92, ""))</f>
        <v>0.6</v>
      </c>
      <c r="FF196" s="36" t="str">
        <f t="shared" si="90"/>
        <v>B2C</v>
      </c>
      <c r="FG196" s="40">
        <f>COUNTIF($FF$2:$FF$92, FF196)/(COUNTIF($FF$2:$FF$92, "&lt;&gt;""") - COUNTIF($FF$2:$FF$92, ""))</f>
        <v>0.41111111111111109</v>
      </c>
      <c r="FH196" s="36" t="str">
        <f t="shared" si="91"/>
        <v>Low</v>
      </c>
      <c r="FI196" s="40">
        <f>COUNTIF($FH$2:$FH$92, FH196)/(COUNTIF($FH$2:$FH$92, "&lt;&gt;""") - COUNTIF($FH$2:$FH$92, ""))</f>
        <v>0.46666666666666667</v>
      </c>
      <c r="FJ196" s="36" t="str">
        <f t="shared" si="92"/>
        <v>Low</v>
      </c>
      <c r="FK196" s="40">
        <f>COUNTIF($FJ$2:$FJ$92, FJ196)/(COUNTIF($FJ$2:$FJ$92, "&lt;&gt;""") - COUNTIF($FJ$2:$FJ$92, ""))</f>
        <v>0.41111111111111109</v>
      </c>
      <c r="FL196" s="207"/>
      <c r="FM196" s="192">
        <f t="shared" si="93"/>
        <v>5</v>
      </c>
      <c r="FN196" s="192" t="e">
        <f t="shared" ca="1" si="94"/>
        <v>#NAME?</v>
      </c>
      <c r="FO196" s="192" t="e">
        <f t="shared" ca="1" si="95"/>
        <v>#NAME?</v>
      </c>
      <c r="FP196" s="192" t="e">
        <f t="shared" ca="1" si="96"/>
        <v>#NAME?</v>
      </c>
      <c r="FQ196" s="209" t="e">
        <f t="shared" ca="1" si="97"/>
        <v>#NAME?</v>
      </c>
      <c r="FR196" s="208" t="e">
        <f t="shared" ca="1" si="272"/>
        <v>#NAME?</v>
      </c>
      <c r="FS196" s="36" t="str">
        <f t="shared" si="99"/>
        <v>Profitable</v>
      </c>
      <c r="FT196" s="196">
        <f>COUNTIF($FS$2:$FS$92, FS196)/(COUNTIF($FS$2:$FS$92, "&lt;&gt;""") - COUNTIF($FZ$2:$FZ$92, ""))</f>
        <v>6.6666666666666666E-2</v>
      </c>
      <c r="FU196" s="207"/>
      <c r="FV196" s="192" t="e">
        <f t="shared" ca="1" si="100"/>
        <v>#NAME?</v>
      </c>
      <c r="FW196" s="197" t="e">
        <f t="shared" ca="1" si="101"/>
        <v>#NAME?</v>
      </c>
      <c r="FX196" s="209" t="e">
        <f t="shared" ca="1" si="102"/>
        <v>#NAME?</v>
      </c>
      <c r="FY196" s="211" t="e">
        <f t="shared" ca="1" si="273"/>
        <v>#NAME?</v>
      </c>
      <c r="FZ196" s="36" t="str">
        <f t="shared" si="104"/>
        <v>No</v>
      </c>
      <c r="GA196" s="196">
        <f>COUNTIF($FZ$2:$FZ$92, FZ196)/(COUNTIF($FZ$2:$FZ$92, "&lt;&gt;""") - COUNTIF($FZ$2:$FZ$92, ""))</f>
        <v>0.76666666666666672</v>
      </c>
      <c r="GB196" s="196">
        <f t="shared" si="105"/>
        <v>0</v>
      </c>
      <c r="GC196" s="196">
        <f>COUNTIF($GB$2:$GB$92, GB196)/(COUNTIF($GB$2:$GB$92, "&lt;&gt;""") - COUNTIF($GB$2:$GB$92, ""))</f>
        <v>1.1111111111111112E-2</v>
      </c>
      <c r="GD196" s="196">
        <f t="shared" si="106"/>
        <v>0</v>
      </c>
      <c r="GE196" s="196">
        <f>COUNTIF($GD$2:$GD$92, GD196)/(COUNTIF($GD$2:$GD$92, "&lt;&gt;""") - COUNTIF($GD$2:$GD$92, ""))</f>
        <v>1.1111111111111112E-2</v>
      </c>
      <c r="GF196" s="207"/>
      <c r="GG196" s="36"/>
      <c r="GH196" s="209" t="e">
        <f t="shared" ca="1" si="107"/>
        <v>#NAME?</v>
      </c>
      <c r="GI196" s="212" t="e">
        <f t="shared" ca="1" si="274"/>
        <v>#NAME?</v>
      </c>
    </row>
    <row r="197" spans="1:191" ht="15.75" customHeight="1">
      <c r="A197" s="171"/>
      <c r="B197" s="171" t="s">
        <v>501</v>
      </c>
      <c r="C197" s="16">
        <v>1792706</v>
      </c>
      <c r="D197" s="233" t="s">
        <v>1540</v>
      </c>
      <c r="E197" s="234">
        <v>43770.490277777775</v>
      </c>
      <c r="F197" s="16" t="s">
        <v>337</v>
      </c>
      <c r="G197" s="235" t="s">
        <v>1541</v>
      </c>
      <c r="H197" s="235" t="s">
        <v>1542</v>
      </c>
      <c r="I197" s="241">
        <v>43881</v>
      </c>
      <c r="J197" s="233" t="s">
        <v>1543</v>
      </c>
      <c r="K197" s="233" t="s">
        <v>1540</v>
      </c>
      <c r="M197" s="35" t="s">
        <v>293</v>
      </c>
      <c r="N197" s="16" t="s">
        <v>168</v>
      </c>
      <c r="O197" s="16" t="s">
        <v>173</v>
      </c>
      <c r="P197" s="16" t="s">
        <v>197</v>
      </c>
      <c r="Q197" s="16" t="s">
        <v>35</v>
      </c>
      <c r="S197" s="16" t="s">
        <v>216</v>
      </c>
      <c r="T197" s="237"/>
      <c r="U197" s="213"/>
      <c r="V197" s="54">
        <v>10715000</v>
      </c>
      <c r="W197" s="54"/>
      <c r="X197" s="226"/>
      <c r="Y197" s="55" t="str">
        <f t="shared" si="158"/>
        <v/>
      </c>
      <c r="Z197" s="274">
        <f t="shared" si="159"/>
        <v>10715000</v>
      </c>
      <c r="AA197" s="183" t="e">
        <f t="shared" ca="1" si="160"/>
        <v>#NAME?</v>
      </c>
      <c r="AB197" s="16" t="s">
        <v>36</v>
      </c>
      <c r="AC197" s="16" t="s">
        <v>218</v>
      </c>
      <c r="AD197" s="16" t="s">
        <v>38</v>
      </c>
      <c r="AE197" s="16" t="s">
        <v>227</v>
      </c>
      <c r="AF197" s="16" t="s">
        <v>39</v>
      </c>
      <c r="AG197" s="16" t="s">
        <v>181</v>
      </c>
      <c r="AH197" s="16" t="s">
        <v>190</v>
      </c>
      <c r="AI197" s="54"/>
      <c r="AJ197" s="278">
        <v>739267000000</v>
      </c>
      <c r="AK197" s="224" t="e">
        <f t="shared" ca="1" si="161"/>
        <v>#NAME?</v>
      </c>
      <c r="AL197" s="278">
        <v>248552000000</v>
      </c>
      <c r="AM197" s="224" t="e">
        <f t="shared" ca="1" si="162"/>
        <v>#NAME?</v>
      </c>
      <c r="AN197" s="278">
        <v>0.04</v>
      </c>
      <c r="AO197" s="185" t="e">
        <f t="shared" ca="1" si="63"/>
        <v>#NAME?</v>
      </c>
      <c r="AP197" s="185" t="s">
        <v>264</v>
      </c>
      <c r="AQ197" s="16" t="s">
        <v>181</v>
      </c>
      <c r="AR197" s="16" t="s">
        <v>181</v>
      </c>
      <c r="AS197" s="16" t="s">
        <v>42</v>
      </c>
      <c r="AT197" s="159"/>
      <c r="AU197" s="159"/>
      <c r="AV197" s="16" t="s">
        <v>190</v>
      </c>
      <c r="AW197" s="16" t="s">
        <v>190</v>
      </c>
      <c r="AX197" s="16" t="s">
        <v>227</v>
      </c>
      <c r="AY197" s="16" t="s">
        <v>227</v>
      </c>
      <c r="AZ197" s="54">
        <v>276616</v>
      </c>
      <c r="BA197" s="55" t="e">
        <f t="shared" ca="1" si="163"/>
        <v>#NAME?</v>
      </c>
      <c r="BB197" s="278">
        <v>1844</v>
      </c>
      <c r="BC197" s="278">
        <v>114028</v>
      </c>
      <c r="BD197" s="62" t="e">
        <f t="shared" ca="1" si="164"/>
        <v>#NAME?</v>
      </c>
      <c r="BE197" s="277">
        <f t="shared" si="165"/>
        <v>1.6171466657312238E-2</v>
      </c>
      <c r="BF197" s="62" t="e">
        <f t="shared" ca="1" si="166"/>
        <v>#NAME?</v>
      </c>
      <c r="BG197" s="16" t="s">
        <v>219</v>
      </c>
      <c r="BI197" s="16" t="s">
        <v>227</v>
      </c>
      <c r="BJ197" s="16">
        <v>1</v>
      </c>
      <c r="BK197" s="278">
        <v>2</v>
      </c>
      <c r="BL197" s="16" t="s">
        <v>227</v>
      </c>
      <c r="BM197" s="16" t="s">
        <v>227</v>
      </c>
      <c r="BN197" s="16" t="s">
        <v>190</v>
      </c>
      <c r="BO197" s="16" t="s">
        <v>190</v>
      </c>
      <c r="BP197" s="16">
        <v>2</v>
      </c>
      <c r="BQ197" s="16">
        <v>5</v>
      </c>
      <c r="BR197" s="16">
        <v>0</v>
      </c>
      <c r="BS197" s="16">
        <v>0</v>
      </c>
      <c r="BT197" s="205"/>
      <c r="BU197" s="16">
        <v>1</v>
      </c>
      <c r="BV197" s="16">
        <v>0</v>
      </c>
      <c r="BW197" s="16">
        <v>39</v>
      </c>
      <c r="BX197" s="16" t="s">
        <v>190</v>
      </c>
      <c r="BY197" s="205"/>
      <c r="BZ197" s="16">
        <v>8</v>
      </c>
      <c r="CA197" s="16">
        <v>0</v>
      </c>
      <c r="CC197" s="16" t="s">
        <v>190</v>
      </c>
      <c r="CD197" s="205"/>
      <c r="CI197" s="205"/>
      <c r="CN197" s="205"/>
      <c r="CS197" s="205"/>
      <c r="CX197" s="205"/>
      <c r="DC197" s="205"/>
      <c r="DH197" s="205"/>
      <c r="DM197" s="205"/>
      <c r="DN197" s="205"/>
      <c r="DO197" s="205"/>
      <c r="DQ197" s="206"/>
      <c r="DR197" s="188">
        <f t="shared" si="64"/>
        <v>4.5</v>
      </c>
      <c r="DS197" s="188"/>
      <c r="DT197" s="189">
        <f t="shared" si="65"/>
        <v>0</v>
      </c>
      <c r="DU197" s="189"/>
      <c r="DV197" s="188">
        <f t="shared" si="66"/>
        <v>39</v>
      </c>
      <c r="DW197" s="183" t="e">
        <f t="shared" ca="1" si="67"/>
        <v>#NAME?</v>
      </c>
      <c r="DX197" s="207"/>
      <c r="DY197" s="190" t="e">
        <f t="shared" ca="1" si="68"/>
        <v>#NAME?</v>
      </c>
      <c r="DZ197" s="191" t="str">
        <f t="shared" si="264"/>
        <v/>
      </c>
      <c r="EA197" s="191" t="str">
        <f t="shared" si="265"/>
        <v/>
      </c>
      <c r="EB197" s="191" t="str">
        <f t="shared" si="266"/>
        <v/>
      </c>
      <c r="EC197" s="208" t="e">
        <f t="shared" ca="1" si="72"/>
        <v>#NAME?</v>
      </c>
      <c r="ED197" s="36" t="str">
        <f t="shared" si="73"/>
        <v>Equity - Common</v>
      </c>
      <c r="EE197" s="193">
        <f>COUNTIF($ED$2:$ED$92, ED197)/(COUNTIF($ED$2:$ED$92, "&lt;&gt;""") - COUNTIF($ED$2:$ED$92, ""))</f>
        <v>0.32222222222222224</v>
      </c>
      <c r="EF197" s="36" t="str">
        <f t="shared" si="74"/>
        <v>Growth</v>
      </c>
      <c r="EG197" s="207"/>
      <c r="EH197" s="194" t="e">
        <f t="shared" ca="1" si="75"/>
        <v>#NAME?</v>
      </c>
      <c r="EI197" s="194" t="e">
        <f t="shared" ca="1" si="76"/>
        <v>#NAME?</v>
      </c>
      <c r="EJ197" s="209" t="e">
        <f t="shared" ca="1" si="77"/>
        <v>#NAME?</v>
      </c>
      <c r="EK197" s="208" t="e">
        <f t="shared" ca="1" si="267"/>
        <v>#NAME?</v>
      </c>
      <c r="EL197" s="36" t="str">
        <f t="shared" si="79"/>
        <v>No</v>
      </c>
      <c r="EM197" s="207"/>
      <c r="EN197" s="192">
        <f t="shared" si="268"/>
        <v>1.4285714285714286</v>
      </c>
      <c r="EO197" s="192">
        <f t="shared" si="269"/>
        <v>1</v>
      </c>
      <c r="EP197" s="209">
        <f t="shared" si="82"/>
        <v>2.4285714285714288</v>
      </c>
      <c r="EQ197" s="210">
        <f t="shared" si="270"/>
        <v>1.3364485981308414</v>
      </c>
      <c r="ER197" s="36" t="e">
        <f t="shared" ca="1" si="84"/>
        <v>#NAME?</v>
      </c>
      <c r="ES197" s="40">
        <f ca="1">COUNTIF($ER$2:$ER$92, ER197)/(COUNTIF($ER$2:$ER$92, "&lt;&gt;""") - COUNTIF($ER$2:$ER$92, ""))</f>
        <v>1</v>
      </c>
      <c r="ET197" s="36">
        <f t="shared" si="85"/>
        <v>2</v>
      </c>
      <c r="EU197" s="40">
        <f>COUNTIF($ET$2:$ET$92, ET197)/(COUNTIF($ET$2:$ET$92, "&lt;&gt;""") - COUNTIF($ET$2:$ET$92, ""))</f>
        <v>0.45555555555555555</v>
      </c>
      <c r="EV197" s="36">
        <f t="shared" si="86"/>
        <v>5</v>
      </c>
      <c r="EW197" s="40">
        <f>COUNTIF($EV$2:$EV$92, EV197)/(COUNTIF($EV$2:$EV$92, "&lt;&gt;""") - COUNTIF($EV$2:$EV$92, ""))</f>
        <v>0.13333333333333333</v>
      </c>
      <c r="EX197" s="36" t="str">
        <f t="shared" si="87"/>
        <v>Yes</v>
      </c>
      <c r="EY197" s="40">
        <f>COUNTIF($EX$2:$EX$92, EX197)/(COUNTIF($EX$2:$EX$92, "&lt;&gt;""") - COUNTIF($EX$2:$EX$92, ""))</f>
        <v>0.27777777777777779</v>
      </c>
      <c r="EZ197" s="36" t="str">
        <f t="shared" ref="EZ197:FB197" si="330">BM197</f>
        <v>Yes</v>
      </c>
      <c r="FA197" s="36" t="str">
        <f t="shared" si="330"/>
        <v>No</v>
      </c>
      <c r="FB197" s="36" t="str">
        <f t="shared" si="330"/>
        <v>No</v>
      </c>
      <c r="FC197" s="207"/>
      <c r="FD197" s="36" t="str">
        <f t="shared" si="89"/>
        <v>Transactional</v>
      </c>
      <c r="FE197" s="40">
        <f>COUNTIF($FD$2:$FD$92, FD197)/(COUNTIF($FD$2:$FD$92, "&lt;&gt;""") - COUNTIF($FD$2:$FD$92, ""))</f>
        <v>0.6</v>
      </c>
      <c r="FF197" s="36" t="str">
        <f t="shared" si="90"/>
        <v>B2B/B2C</v>
      </c>
      <c r="FG197" s="40">
        <f>COUNTIF($FF$2:$FF$92, FF197)/(COUNTIF($FF$2:$FF$92, "&lt;&gt;""") - COUNTIF($FF$2:$FF$92, ""))</f>
        <v>0.27777777777777779</v>
      </c>
      <c r="FH197" s="36" t="str">
        <f t="shared" si="91"/>
        <v>High</v>
      </c>
      <c r="FI197" s="40">
        <f>COUNTIF($FH$2:$FH$92, FH197)/(COUNTIF($FH$2:$FH$92, "&lt;&gt;""") - COUNTIF($FH$2:$FH$92, ""))</f>
        <v>0.53333333333333333</v>
      </c>
      <c r="FJ197" s="36" t="str">
        <f t="shared" si="92"/>
        <v>Low</v>
      </c>
      <c r="FK197" s="40">
        <f>COUNTIF($FJ$2:$FJ$92, FJ197)/(COUNTIF($FJ$2:$FJ$92, "&lt;&gt;""") - COUNTIF($FJ$2:$FJ$92, ""))</f>
        <v>0.41111111111111109</v>
      </c>
      <c r="FL197" s="207"/>
      <c r="FM197" s="192">
        <f t="shared" si="93"/>
        <v>5</v>
      </c>
      <c r="FN197" s="192" t="e">
        <f t="shared" ca="1" si="94"/>
        <v>#NAME?</v>
      </c>
      <c r="FO197" s="192" t="e">
        <f t="shared" ca="1" si="95"/>
        <v>#NAME?</v>
      </c>
      <c r="FP197" s="192" t="e">
        <f t="shared" ca="1" si="96"/>
        <v>#NAME?</v>
      </c>
      <c r="FQ197" s="209" t="e">
        <f t="shared" ca="1" si="97"/>
        <v>#NAME?</v>
      </c>
      <c r="FR197" s="208" t="e">
        <f t="shared" ca="1" si="272"/>
        <v>#NAME?</v>
      </c>
      <c r="FS197" s="36" t="str">
        <f t="shared" si="99"/>
        <v>Profitable</v>
      </c>
      <c r="FT197" s="196">
        <f>COUNTIF($FS$2:$FS$92, FS197)/(COUNTIF($FS$2:$FS$92, "&lt;&gt;""") - COUNTIF($FZ$2:$FZ$92, ""))</f>
        <v>6.6666666666666666E-2</v>
      </c>
      <c r="FU197" s="207"/>
      <c r="FV197" s="192" t="e">
        <f t="shared" ca="1" si="100"/>
        <v>#NAME?</v>
      </c>
      <c r="FW197" s="197" t="e">
        <f t="shared" ca="1" si="101"/>
        <v>#NAME?</v>
      </c>
      <c r="FX197" s="209" t="e">
        <f t="shared" ca="1" si="102"/>
        <v>#NAME?</v>
      </c>
      <c r="FY197" s="211" t="e">
        <f t="shared" ca="1" si="273"/>
        <v>#NAME?</v>
      </c>
      <c r="FZ197" s="36" t="str">
        <f t="shared" si="104"/>
        <v>No</v>
      </c>
      <c r="GA197" s="196">
        <f>COUNTIF($FZ$2:$FZ$92, FZ197)/(COUNTIF($FZ$2:$FZ$92, "&lt;&gt;""") - COUNTIF($FZ$2:$FZ$92, ""))</f>
        <v>0.76666666666666672</v>
      </c>
      <c r="GB197" s="196">
        <f t="shared" si="105"/>
        <v>0</v>
      </c>
      <c r="GC197" s="196">
        <f>COUNTIF($GB$2:$GB$92, GB197)/(COUNTIF($GB$2:$GB$92, "&lt;&gt;""") - COUNTIF($GB$2:$GB$92, ""))</f>
        <v>1.1111111111111112E-2</v>
      </c>
      <c r="GD197" s="196">
        <f t="shared" si="106"/>
        <v>0</v>
      </c>
      <c r="GE197" s="196">
        <f>COUNTIF($GD$2:$GD$92, GD197)/(COUNTIF($GD$2:$GD$92, "&lt;&gt;""") - COUNTIF($GD$2:$GD$92, ""))</f>
        <v>1.1111111111111112E-2</v>
      </c>
      <c r="GF197" s="207"/>
      <c r="GG197" s="36"/>
      <c r="GH197" s="209" t="e">
        <f t="shared" ca="1" si="107"/>
        <v>#NAME?</v>
      </c>
      <c r="GI197" s="212" t="e">
        <f t="shared" ca="1" si="274"/>
        <v>#NAME?</v>
      </c>
    </row>
    <row r="198" spans="1:191" ht="15.75" customHeight="1">
      <c r="A198" s="171"/>
      <c r="B198" s="171" t="s">
        <v>501</v>
      </c>
      <c r="C198" s="16">
        <v>1790042</v>
      </c>
      <c r="D198" s="233" t="s">
        <v>1544</v>
      </c>
      <c r="E198" s="234">
        <v>43773.450694444444</v>
      </c>
      <c r="F198" s="16" t="s">
        <v>329</v>
      </c>
      <c r="G198" s="235" t="s">
        <v>1545</v>
      </c>
      <c r="H198" s="235" t="s">
        <v>1546</v>
      </c>
      <c r="I198" s="241">
        <v>43886</v>
      </c>
      <c r="J198" s="233" t="s">
        <v>1547</v>
      </c>
      <c r="K198" s="233" t="s">
        <v>1544</v>
      </c>
      <c r="M198" s="29" t="s">
        <v>747</v>
      </c>
      <c r="N198" s="16" t="s">
        <v>168</v>
      </c>
      <c r="O198" s="16" t="s">
        <v>30</v>
      </c>
      <c r="P198" s="16" t="s">
        <v>31</v>
      </c>
      <c r="Q198" s="16" t="s">
        <v>35</v>
      </c>
      <c r="S198" s="16" t="s">
        <v>269</v>
      </c>
      <c r="T198" s="237"/>
      <c r="U198" s="213"/>
      <c r="V198" s="54"/>
      <c r="W198" s="54">
        <v>5000000</v>
      </c>
      <c r="X198" s="226">
        <v>0.1</v>
      </c>
      <c r="Y198" s="55">
        <f t="shared" si="158"/>
        <v>4500000</v>
      </c>
      <c r="Z198" s="274">
        <f t="shared" si="159"/>
        <v>4500000</v>
      </c>
      <c r="AA198" s="183" t="e">
        <f t="shared" ca="1" si="160"/>
        <v>#NAME?</v>
      </c>
      <c r="AB198" s="16" t="s">
        <v>178</v>
      </c>
      <c r="AC198" s="16" t="s">
        <v>37</v>
      </c>
      <c r="AD198" s="16" t="s">
        <v>38</v>
      </c>
      <c r="AE198" s="16" t="s">
        <v>227</v>
      </c>
      <c r="AF198" s="16" t="s">
        <v>181</v>
      </c>
      <c r="AG198" s="16" t="s">
        <v>181</v>
      </c>
      <c r="AH198" s="16" t="s">
        <v>227</v>
      </c>
      <c r="AI198" s="54"/>
      <c r="AJ198" s="278">
        <v>57200000000</v>
      </c>
      <c r="AK198" s="224" t="e">
        <f t="shared" ca="1" si="161"/>
        <v>#NAME?</v>
      </c>
      <c r="AL198" s="278">
        <v>11390000000</v>
      </c>
      <c r="AM198" s="224" t="e">
        <f t="shared" ca="1" si="162"/>
        <v>#NAME?</v>
      </c>
      <c r="AN198" s="278">
        <v>0.08</v>
      </c>
      <c r="AO198" s="185" t="e">
        <f t="shared" ca="1" si="63"/>
        <v>#NAME?</v>
      </c>
      <c r="AP198" s="185" t="s">
        <v>169</v>
      </c>
      <c r="AQ198" s="16" t="s">
        <v>39</v>
      </c>
      <c r="AR198" s="16" t="s">
        <v>39</v>
      </c>
      <c r="AS198" s="16" t="s">
        <v>182</v>
      </c>
      <c r="AT198" s="159"/>
      <c r="AU198" s="159"/>
      <c r="AV198" s="16" t="s">
        <v>227</v>
      </c>
      <c r="AW198" s="16" t="s">
        <v>190</v>
      </c>
      <c r="AX198" s="16" t="s">
        <v>227</v>
      </c>
      <c r="AY198" s="16" t="s">
        <v>227</v>
      </c>
      <c r="AZ198" s="54">
        <v>1893</v>
      </c>
      <c r="BA198" s="55" t="e">
        <f t="shared" ca="1" si="163"/>
        <v>#NAME?</v>
      </c>
      <c r="BB198" s="278">
        <v>0</v>
      </c>
      <c r="BC198" s="278">
        <v>0</v>
      </c>
      <c r="BD198" s="62" t="e">
        <f t="shared" ca="1" si="164"/>
        <v>#NAME?</v>
      </c>
      <c r="BE198" s="277">
        <f t="shared" si="165"/>
        <v>1</v>
      </c>
      <c r="BF198" s="62" t="e">
        <f t="shared" ca="1" si="166"/>
        <v>#NAME?</v>
      </c>
      <c r="BG198" s="16" t="s">
        <v>202</v>
      </c>
      <c r="BI198" s="16" t="s">
        <v>227</v>
      </c>
      <c r="BJ198" s="16">
        <v>3</v>
      </c>
      <c r="BK198" s="278">
        <v>2</v>
      </c>
      <c r="BL198" s="16" t="s">
        <v>190</v>
      </c>
      <c r="BM198" s="16" t="s">
        <v>227</v>
      </c>
      <c r="BN198" s="16" t="s">
        <v>227</v>
      </c>
      <c r="BO198" s="16" t="s">
        <v>190</v>
      </c>
      <c r="BP198" s="16">
        <v>2</v>
      </c>
      <c r="BQ198" s="16">
        <v>2</v>
      </c>
      <c r="BR198" s="16">
        <v>0</v>
      </c>
      <c r="BS198" s="16">
        <v>0</v>
      </c>
      <c r="BT198" s="205"/>
      <c r="BU198" s="16">
        <v>0</v>
      </c>
      <c r="BV198" s="16">
        <v>0</v>
      </c>
      <c r="BW198" s="16">
        <v>31</v>
      </c>
      <c r="BX198" s="16" t="s">
        <v>190</v>
      </c>
      <c r="BY198" s="205"/>
      <c r="BZ198" s="16">
        <v>0</v>
      </c>
      <c r="CA198" s="16">
        <v>0</v>
      </c>
      <c r="CB198" s="16">
        <v>27</v>
      </c>
      <c r="CC198" s="16" t="s">
        <v>227</v>
      </c>
      <c r="CD198" s="205"/>
      <c r="CI198" s="205"/>
      <c r="CN198" s="205"/>
      <c r="CS198" s="205"/>
      <c r="CX198" s="205"/>
      <c r="DC198" s="205"/>
      <c r="DH198" s="205"/>
      <c r="DM198" s="205"/>
      <c r="DN198" s="205"/>
      <c r="DO198" s="205"/>
      <c r="DQ198" s="206"/>
      <c r="DR198" s="188">
        <f t="shared" si="64"/>
        <v>0</v>
      </c>
      <c r="DS198" s="188"/>
      <c r="DT198" s="189">
        <f t="shared" si="65"/>
        <v>0</v>
      </c>
      <c r="DU198" s="189"/>
      <c r="DV198" s="188">
        <f t="shared" si="66"/>
        <v>29</v>
      </c>
      <c r="DW198" s="183" t="e">
        <f t="shared" ca="1" si="67"/>
        <v>#NAME?</v>
      </c>
      <c r="DX198" s="207"/>
      <c r="DY198" s="190" t="e">
        <f t="shared" ca="1" si="68"/>
        <v>#NAME?</v>
      </c>
      <c r="DZ198" s="191">
        <f t="shared" si="264"/>
        <v>2.0526315789473681</v>
      </c>
      <c r="EA198" s="191" t="str">
        <f t="shared" si="265"/>
        <v/>
      </c>
      <c r="EB198" s="191" t="str">
        <f t="shared" si="266"/>
        <v/>
      </c>
      <c r="EC198" s="208" t="e">
        <f t="shared" ca="1" si="72"/>
        <v>#NAME?</v>
      </c>
      <c r="ED198" s="36" t="str">
        <f t="shared" si="73"/>
        <v>SAFE</v>
      </c>
      <c r="EE198" s="193">
        <f>COUNTIF($ED$2:$ED$92, ED198)/(COUNTIF($ED$2:$ED$92, "&lt;&gt;""") - COUNTIF($ED$2:$ED$92, ""))</f>
        <v>0.37777777777777777</v>
      </c>
      <c r="EF198" s="36" t="str">
        <f t="shared" si="74"/>
        <v>Early</v>
      </c>
      <c r="EG198" s="207"/>
      <c r="EH198" s="194" t="e">
        <f t="shared" ca="1" si="75"/>
        <v>#NAME?</v>
      </c>
      <c r="EI198" s="194" t="e">
        <f t="shared" ca="1" si="76"/>
        <v>#NAME?</v>
      </c>
      <c r="EJ198" s="209" t="e">
        <f t="shared" ca="1" si="77"/>
        <v>#NAME?</v>
      </c>
      <c r="EK198" s="208" t="e">
        <f t="shared" ca="1" si="267"/>
        <v>#NAME?</v>
      </c>
      <c r="EL198" s="36" t="str">
        <f t="shared" si="79"/>
        <v>Yes</v>
      </c>
      <c r="EM198" s="207"/>
      <c r="EN198" s="192">
        <f t="shared" si="268"/>
        <v>1</v>
      </c>
      <c r="EO198" s="192">
        <f t="shared" si="269"/>
        <v>1</v>
      </c>
      <c r="EP198" s="209">
        <f t="shared" si="82"/>
        <v>2</v>
      </c>
      <c r="EQ198" s="210">
        <f t="shared" si="270"/>
        <v>1</v>
      </c>
      <c r="ER198" s="36" t="e">
        <f t="shared" ca="1" si="84"/>
        <v>#NAME?</v>
      </c>
      <c r="ES198" s="40">
        <f ca="1">COUNTIF($ER$2:$ER$92, ER198)/(COUNTIF($ER$2:$ER$92, "&lt;&gt;""") - COUNTIF($ER$2:$ER$92, ""))</f>
        <v>1</v>
      </c>
      <c r="ET198" s="36">
        <f t="shared" si="85"/>
        <v>2</v>
      </c>
      <c r="EU198" s="40">
        <f>COUNTIF($ET$2:$ET$92, ET198)/(COUNTIF($ET$2:$ET$92, "&lt;&gt;""") - COUNTIF($ET$2:$ET$92, ""))</f>
        <v>0.45555555555555555</v>
      </c>
      <c r="EV198" s="36">
        <f t="shared" si="86"/>
        <v>2</v>
      </c>
      <c r="EW198" s="40">
        <f>COUNTIF($EV$2:$EV$92, EV198)/(COUNTIF($EV$2:$EV$92, "&lt;&gt;""") - COUNTIF($EV$2:$EV$92, ""))</f>
        <v>0.15555555555555556</v>
      </c>
      <c r="EX198" s="36" t="str">
        <f t="shared" si="87"/>
        <v>No</v>
      </c>
      <c r="EY198" s="40">
        <f>COUNTIF($EX$2:$EX$92, EX198)/(COUNTIF($EX$2:$EX$92, "&lt;&gt;""") - COUNTIF($EX$2:$EX$92, ""))</f>
        <v>0.72222222222222221</v>
      </c>
      <c r="EZ198" s="36" t="str">
        <f t="shared" ref="EZ198:FB198" si="331">BM198</f>
        <v>Yes</v>
      </c>
      <c r="FA198" s="36" t="str">
        <f t="shared" si="331"/>
        <v>Yes</v>
      </c>
      <c r="FB198" s="36" t="str">
        <f t="shared" si="331"/>
        <v>No</v>
      </c>
      <c r="FC198" s="207"/>
      <c r="FD198" s="36" t="str">
        <f t="shared" si="89"/>
        <v>Recurring</v>
      </c>
      <c r="FE198" s="40">
        <f>COUNTIF($FD$2:$FD$92, FD198)/(COUNTIF($FD$2:$FD$92, "&lt;&gt;""") - COUNTIF($FD$2:$FD$92, ""))</f>
        <v>0.4</v>
      </c>
      <c r="FF198" s="36" t="str">
        <f t="shared" si="90"/>
        <v>B2B</v>
      </c>
      <c r="FG198" s="40">
        <f>COUNTIF($FF$2:$FF$92, FF198)/(COUNTIF($FF$2:$FF$92, "&lt;&gt;""") - COUNTIF($FF$2:$FF$92, ""))</f>
        <v>0.24444444444444444</v>
      </c>
      <c r="FH198" s="36" t="str">
        <f t="shared" si="91"/>
        <v>Low</v>
      </c>
      <c r="FI198" s="40">
        <f>COUNTIF($FH$2:$FH$92, FH198)/(COUNTIF($FH$2:$FH$92, "&lt;&gt;""") - COUNTIF($FH$2:$FH$92, ""))</f>
        <v>0.46666666666666667</v>
      </c>
      <c r="FJ198" s="36" t="str">
        <f t="shared" si="92"/>
        <v>Low</v>
      </c>
      <c r="FK198" s="40">
        <f>COUNTIF($FJ$2:$FJ$92, FJ198)/(COUNTIF($FJ$2:$FJ$92, "&lt;&gt;""") - COUNTIF($FJ$2:$FJ$92, ""))</f>
        <v>0.41111111111111109</v>
      </c>
      <c r="FL198" s="207"/>
      <c r="FM198" s="192">
        <f t="shared" si="93"/>
        <v>5</v>
      </c>
      <c r="FN198" s="192" t="e">
        <f t="shared" ca="1" si="94"/>
        <v>#NAME?</v>
      </c>
      <c r="FO198" s="192" t="e">
        <f t="shared" ca="1" si="95"/>
        <v>#NAME?</v>
      </c>
      <c r="FP198" s="192" t="e">
        <f t="shared" ca="1" si="96"/>
        <v>#NAME?</v>
      </c>
      <c r="FQ198" s="209" t="e">
        <f t="shared" ca="1" si="97"/>
        <v>#NAME?</v>
      </c>
      <c r="FR198" s="208" t="e">
        <f t="shared" ca="1" si="272"/>
        <v>#NAME?</v>
      </c>
      <c r="FS198" s="36" t="str">
        <f t="shared" si="99"/>
        <v>Pre-Profit</v>
      </c>
      <c r="FT198" s="196">
        <f>COUNTIF($FS$2:$FS$92, FS198)/(COUNTIF($FS$2:$FS$92, "&lt;&gt;""") - COUNTIF($FZ$2:$FZ$92, ""))</f>
        <v>0.51111111111111107</v>
      </c>
      <c r="FU198" s="207"/>
      <c r="FV198" s="192" t="e">
        <f t="shared" ca="1" si="100"/>
        <v>#NAME?</v>
      </c>
      <c r="FW198" s="197" t="e">
        <f t="shared" ca="1" si="101"/>
        <v>#NAME?</v>
      </c>
      <c r="FX198" s="209" t="e">
        <f t="shared" ca="1" si="102"/>
        <v>#NAME?</v>
      </c>
      <c r="FY198" s="211" t="e">
        <f t="shared" ca="1" si="273"/>
        <v>#NAME?</v>
      </c>
      <c r="FZ198" s="36" t="str">
        <f t="shared" si="104"/>
        <v>No</v>
      </c>
      <c r="GA198" s="196">
        <f>COUNTIF($FZ$2:$FZ$92, FZ198)/(COUNTIF($FZ$2:$FZ$92, "&lt;&gt;""") - COUNTIF($FZ$2:$FZ$92, ""))</f>
        <v>0.76666666666666672</v>
      </c>
      <c r="GB198" s="196">
        <f t="shared" si="105"/>
        <v>0</v>
      </c>
      <c r="GC198" s="196">
        <f>COUNTIF($GB$2:$GB$92, GB198)/(COUNTIF($GB$2:$GB$92, "&lt;&gt;""") - COUNTIF($GB$2:$GB$92, ""))</f>
        <v>1.1111111111111112E-2</v>
      </c>
      <c r="GD198" s="196">
        <f t="shared" si="106"/>
        <v>0</v>
      </c>
      <c r="GE198" s="196">
        <f>COUNTIF($GD$2:$GD$92, GD198)/(COUNTIF($GD$2:$GD$92, "&lt;&gt;""") - COUNTIF($GD$2:$GD$92, ""))</f>
        <v>1.1111111111111112E-2</v>
      </c>
      <c r="GF198" s="207"/>
      <c r="GG198" s="36"/>
      <c r="GH198" s="209" t="e">
        <f t="shared" ca="1" si="107"/>
        <v>#NAME?</v>
      </c>
      <c r="GI198" s="212" t="e">
        <f t="shared" ca="1" si="274"/>
        <v>#NAME?</v>
      </c>
    </row>
    <row r="199" spans="1:191" ht="15.75" customHeight="1">
      <c r="A199" s="171"/>
      <c r="B199" s="171" t="s">
        <v>501</v>
      </c>
      <c r="C199" s="16">
        <v>1790042</v>
      </c>
      <c r="D199" s="233" t="s">
        <v>1548</v>
      </c>
      <c r="E199" s="234">
        <v>43773.45416666667</v>
      </c>
      <c r="F199" s="16" t="s">
        <v>329</v>
      </c>
      <c r="G199" s="235" t="s">
        <v>1549</v>
      </c>
      <c r="H199" s="235" t="s">
        <v>1550</v>
      </c>
      <c r="I199" s="241">
        <v>43851</v>
      </c>
      <c r="J199" s="233" t="s">
        <v>1551</v>
      </c>
      <c r="K199" s="233" t="s">
        <v>1548</v>
      </c>
      <c r="M199" s="16" t="s">
        <v>1552</v>
      </c>
      <c r="N199" s="16" t="s">
        <v>278</v>
      </c>
      <c r="O199" s="16" t="s">
        <v>30</v>
      </c>
      <c r="P199" s="16" t="s">
        <v>174</v>
      </c>
      <c r="Q199" s="16" t="s">
        <v>35</v>
      </c>
      <c r="S199" s="16" t="s">
        <v>269</v>
      </c>
      <c r="T199" s="237"/>
      <c r="U199" s="213"/>
      <c r="V199" s="54"/>
      <c r="W199" s="54">
        <v>5000000</v>
      </c>
      <c r="X199" s="226">
        <v>0.15</v>
      </c>
      <c r="Y199" s="55">
        <f t="shared" si="158"/>
        <v>4250000</v>
      </c>
      <c r="Z199" s="274">
        <f t="shared" si="159"/>
        <v>4250000</v>
      </c>
      <c r="AA199" s="183" t="e">
        <f t="shared" ca="1" si="160"/>
        <v>#NAME?</v>
      </c>
      <c r="AB199" s="16" t="s">
        <v>36</v>
      </c>
      <c r="AC199" s="16" t="s">
        <v>179</v>
      </c>
      <c r="AD199" s="16" t="s">
        <v>180</v>
      </c>
      <c r="AE199" s="16" t="s">
        <v>227</v>
      </c>
      <c r="AF199" s="16" t="s">
        <v>39</v>
      </c>
      <c r="AG199" s="16" t="s">
        <v>181</v>
      </c>
      <c r="AH199" s="16" t="s">
        <v>190</v>
      </c>
      <c r="AI199" s="54"/>
      <c r="AJ199" s="278">
        <v>697000000</v>
      </c>
      <c r="AK199" s="224" t="e">
        <f t="shared" ca="1" si="161"/>
        <v>#NAME?</v>
      </c>
      <c r="AL199" s="278">
        <v>697000000</v>
      </c>
      <c r="AM199" s="224" t="e">
        <f t="shared" ca="1" si="162"/>
        <v>#NAME?</v>
      </c>
      <c r="AN199" s="278">
        <v>0.05</v>
      </c>
      <c r="AO199" s="185" t="e">
        <f t="shared" ca="1" si="63"/>
        <v>#NAME?</v>
      </c>
      <c r="AP199" s="185" t="s">
        <v>169</v>
      </c>
      <c r="AQ199" s="16" t="s">
        <v>181</v>
      </c>
      <c r="AR199" s="16" t="s">
        <v>181</v>
      </c>
      <c r="AS199" s="16" t="s">
        <v>42</v>
      </c>
      <c r="AT199" s="159"/>
      <c r="AU199" s="159"/>
      <c r="AV199" s="16" t="s">
        <v>190</v>
      </c>
      <c r="AW199" s="16" t="s">
        <v>190</v>
      </c>
      <c r="AX199" s="16" t="s">
        <v>227</v>
      </c>
      <c r="AY199" s="16" t="s">
        <v>227</v>
      </c>
      <c r="AZ199" s="54">
        <v>1710</v>
      </c>
      <c r="BA199" s="55" t="e">
        <f t="shared" ca="1" si="163"/>
        <v>#NAME?</v>
      </c>
      <c r="BB199" s="278">
        <v>2044</v>
      </c>
      <c r="BC199" s="278">
        <v>24902</v>
      </c>
      <c r="BD199" s="62" t="e">
        <f t="shared" ca="1" si="164"/>
        <v>#NAME?</v>
      </c>
      <c r="BE199" s="277">
        <f t="shared" si="165"/>
        <v>8.2081760501164572E-2</v>
      </c>
      <c r="BF199" s="62" t="e">
        <f t="shared" ca="1" si="166"/>
        <v>#NAME?</v>
      </c>
      <c r="BG199" s="16" t="s">
        <v>202</v>
      </c>
      <c r="BI199" s="16" t="s">
        <v>227</v>
      </c>
      <c r="BJ199" s="16">
        <v>2</v>
      </c>
      <c r="BK199" s="278">
        <v>3</v>
      </c>
      <c r="BL199" s="16" t="s">
        <v>190</v>
      </c>
      <c r="BM199" s="16" t="s">
        <v>190</v>
      </c>
      <c r="BN199" s="16" t="s">
        <v>227</v>
      </c>
      <c r="BO199" s="16" t="s">
        <v>190</v>
      </c>
      <c r="BP199" s="16">
        <v>6</v>
      </c>
      <c r="BQ199" s="16">
        <v>4</v>
      </c>
      <c r="BR199" s="16">
        <v>1</v>
      </c>
      <c r="BS199" s="16">
        <v>0</v>
      </c>
      <c r="BT199" s="205"/>
      <c r="BU199" s="16">
        <v>0</v>
      </c>
      <c r="BV199" s="16">
        <v>1</v>
      </c>
      <c r="BW199" s="16">
        <v>33</v>
      </c>
      <c r="BX199" s="16" t="s">
        <v>227</v>
      </c>
      <c r="BY199" s="205"/>
      <c r="BZ199" s="16">
        <v>0</v>
      </c>
      <c r="CA199" s="16">
        <v>0</v>
      </c>
      <c r="CB199" s="16">
        <v>29</v>
      </c>
      <c r="CC199" s="16" t="s">
        <v>190</v>
      </c>
      <c r="CD199" s="205"/>
      <c r="CE199" s="16">
        <v>0</v>
      </c>
      <c r="CF199" s="16">
        <v>0</v>
      </c>
      <c r="CG199" s="16">
        <v>31</v>
      </c>
      <c r="CH199" s="16" t="s">
        <v>190</v>
      </c>
      <c r="CI199" s="205"/>
      <c r="CN199" s="205"/>
      <c r="CS199" s="205"/>
      <c r="CX199" s="205"/>
      <c r="DC199" s="205"/>
      <c r="DH199" s="205"/>
      <c r="DM199" s="205"/>
      <c r="DN199" s="205"/>
      <c r="DO199" s="205"/>
      <c r="DQ199" s="206"/>
      <c r="DR199" s="188">
        <f t="shared" si="64"/>
        <v>0</v>
      </c>
      <c r="DS199" s="188"/>
      <c r="DT199" s="189">
        <f t="shared" si="65"/>
        <v>1</v>
      </c>
      <c r="DU199" s="189"/>
      <c r="DV199" s="188">
        <f t="shared" si="66"/>
        <v>31</v>
      </c>
      <c r="DW199" s="183" t="e">
        <f t="shared" ca="1" si="67"/>
        <v>#NAME?</v>
      </c>
      <c r="DX199" s="207"/>
      <c r="DY199" s="190" t="e">
        <f t="shared" ca="1" si="68"/>
        <v>#NAME?</v>
      </c>
      <c r="DZ199" s="191">
        <f t="shared" si="264"/>
        <v>2.5789473684210527</v>
      </c>
      <c r="EA199" s="191" t="str">
        <f t="shared" si="265"/>
        <v/>
      </c>
      <c r="EB199" s="191" t="str">
        <f t="shared" si="266"/>
        <v/>
      </c>
      <c r="EC199" s="208" t="e">
        <f t="shared" ca="1" si="72"/>
        <v>#NAME?</v>
      </c>
      <c r="ED199" s="36" t="str">
        <f t="shared" si="73"/>
        <v>SAFE</v>
      </c>
      <c r="EE199" s="193">
        <f>COUNTIF($ED$2:$ED$92, ED199)/(COUNTIF($ED$2:$ED$92, "&lt;&gt;""") - COUNTIF($ED$2:$ED$92, ""))</f>
        <v>0.37777777777777777</v>
      </c>
      <c r="EF199" s="36" t="str">
        <f t="shared" si="74"/>
        <v>Early</v>
      </c>
      <c r="EG199" s="207"/>
      <c r="EH199" s="194" t="e">
        <f t="shared" ca="1" si="75"/>
        <v>#NAME?</v>
      </c>
      <c r="EI199" s="194" t="e">
        <f t="shared" ca="1" si="76"/>
        <v>#NAME?</v>
      </c>
      <c r="EJ199" s="209" t="e">
        <f t="shared" ca="1" si="77"/>
        <v>#NAME?</v>
      </c>
      <c r="EK199" s="208" t="e">
        <f t="shared" ca="1" si="267"/>
        <v>#NAME?</v>
      </c>
      <c r="EL199" s="36" t="str">
        <f t="shared" si="79"/>
        <v>No</v>
      </c>
      <c r="EM199" s="207"/>
      <c r="EN199" s="192">
        <f t="shared" si="268"/>
        <v>1</v>
      </c>
      <c r="EO199" s="192">
        <f t="shared" si="269"/>
        <v>2</v>
      </c>
      <c r="EP199" s="209">
        <f t="shared" si="82"/>
        <v>3</v>
      </c>
      <c r="EQ199" s="210">
        <f t="shared" si="270"/>
        <v>1.7850467289719627</v>
      </c>
      <c r="ER199" s="36" t="e">
        <f t="shared" ca="1" si="84"/>
        <v>#NAME?</v>
      </c>
      <c r="ES199" s="40">
        <f ca="1">COUNTIF($ER$2:$ER$92, ER199)/(COUNTIF($ER$2:$ER$92, "&lt;&gt;""") - COUNTIF($ER$2:$ER$92, ""))</f>
        <v>1</v>
      </c>
      <c r="ET199" s="36">
        <f t="shared" si="85"/>
        <v>3</v>
      </c>
      <c r="EU199" s="40">
        <f>COUNTIF($ET$2:$ET$92, ET199)/(COUNTIF($ET$2:$ET$92, "&lt;&gt;""") - COUNTIF($ET$2:$ET$92, ""))</f>
        <v>4.4444444444444446E-2</v>
      </c>
      <c r="EV199" s="36">
        <f t="shared" si="86"/>
        <v>4</v>
      </c>
      <c r="EW199" s="40">
        <f>COUNTIF($EV$2:$EV$92, EV199)/(COUNTIF($EV$2:$EV$92, "&lt;&gt;""") - COUNTIF($EV$2:$EV$92, ""))</f>
        <v>0.12222222222222222</v>
      </c>
      <c r="EX199" s="36" t="str">
        <f t="shared" si="87"/>
        <v>No</v>
      </c>
      <c r="EY199" s="40">
        <f>COUNTIF($EX$2:$EX$92, EX199)/(COUNTIF($EX$2:$EX$92, "&lt;&gt;""") - COUNTIF($EX$2:$EX$92, ""))</f>
        <v>0.72222222222222221</v>
      </c>
      <c r="EZ199" s="36" t="str">
        <f t="shared" ref="EZ199:FB199" si="332">BM199</f>
        <v>No</v>
      </c>
      <c r="FA199" s="36" t="str">
        <f t="shared" si="332"/>
        <v>Yes</v>
      </c>
      <c r="FB199" s="36" t="str">
        <f t="shared" si="332"/>
        <v>No</v>
      </c>
      <c r="FC199" s="207"/>
      <c r="FD199" s="36" t="str">
        <f t="shared" si="89"/>
        <v>Transactional</v>
      </c>
      <c r="FE199" s="40">
        <f>COUNTIF($FD$2:$FD$92, FD199)/(COUNTIF($FD$2:$FD$92, "&lt;&gt;""") - COUNTIF($FD$2:$FD$92, ""))</f>
        <v>0.6</v>
      </c>
      <c r="FF199" s="36" t="str">
        <f t="shared" si="90"/>
        <v>B2C</v>
      </c>
      <c r="FG199" s="40">
        <f>COUNTIF($FF$2:$FF$92, FF199)/(COUNTIF($FF$2:$FF$92, "&lt;&gt;""") - COUNTIF($FF$2:$FF$92, ""))</f>
        <v>0.41111111111111109</v>
      </c>
      <c r="FH199" s="36" t="str">
        <f t="shared" si="91"/>
        <v>High</v>
      </c>
      <c r="FI199" s="40">
        <f>COUNTIF($FH$2:$FH$92, FH199)/(COUNTIF($FH$2:$FH$92, "&lt;&gt;""") - COUNTIF($FH$2:$FH$92, ""))</f>
        <v>0.53333333333333333</v>
      </c>
      <c r="FJ199" s="36" t="str">
        <f t="shared" si="92"/>
        <v>Low</v>
      </c>
      <c r="FK199" s="40">
        <f>COUNTIF($FJ$2:$FJ$92, FJ199)/(COUNTIF($FJ$2:$FJ$92, "&lt;&gt;""") - COUNTIF($FJ$2:$FJ$92, ""))</f>
        <v>0.41111111111111109</v>
      </c>
      <c r="FL199" s="207"/>
      <c r="FM199" s="192">
        <f t="shared" si="93"/>
        <v>5</v>
      </c>
      <c r="FN199" s="192" t="e">
        <f t="shared" ca="1" si="94"/>
        <v>#NAME?</v>
      </c>
      <c r="FO199" s="192" t="e">
        <f t="shared" ca="1" si="95"/>
        <v>#NAME?</v>
      </c>
      <c r="FP199" s="192" t="e">
        <f t="shared" ca="1" si="96"/>
        <v>#NAME?</v>
      </c>
      <c r="FQ199" s="209" t="e">
        <f t="shared" ca="1" si="97"/>
        <v>#NAME?</v>
      </c>
      <c r="FR199" s="208" t="e">
        <f t="shared" ca="1" si="272"/>
        <v>#NAME?</v>
      </c>
      <c r="FS199" s="36" t="str">
        <f t="shared" si="99"/>
        <v>Pre-Profit</v>
      </c>
      <c r="FT199" s="196">
        <f>COUNTIF($FS$2:$FS$92, FS199)/(COUNTIF($FS$2:$FS$92, "&lt;&gt;""") - COUNTIF($FZ$2:$FZ$92, ""))</f>
        <v>0.51111111111111107</v>
      </c>
      <c r="FU199" s="207"/>
      <c r="FV199" s="192" t="e">
        <f t="shared" ca="1" si="100"/>
        <v>#NAME?</v>
      </c>
      <c r="FW199" s="197" t="e">
        <f t="shared" ca="1" si="101"/>
        <v>#NAME?</v>
      </c>
      <c r="FX199" s="209" t="e">
        <f t="shared" ca="1" si="102"/>
        <v>#NAME?</v>
      </c>
      <c r="FY199" s="211" t="e">
        <f t="shared" ca="1" si="273"/>
        <v>#NAME?</v>
      </c>
      <c r="FZ199" s="36" t="str">
        <f t="shared" si="104"/>
        <v>No</v>
      </c>
      <c r="GA199" s="196">
        <f>COUNTIF($FZ$2:$FZ$92, FZ199)/(COUNTIF($FZ$2:$FZ$92, "&lt;&gt;""") - COUNTIF($FZ$2:$FZ$92, ""))</f>
        <v>0.76666666666666672</v>
      </c>
      <c r="GB199" s="196">
        <f t="shared" si="105"/>
        <v>0</v>
      </c>
      <c r="GC199" s="196">
        <f>COUNTIF($GB$2:$GB$92, GB199)/(COUNTIF($GB$2:$GB$92, "&lt;&gt;""") - COUNTIF($GB$2:$GB$92, ""))</f>
        <v>1.1111111111111112E-2</v>
      </c>
      <c r="GD199" s="196">
        <f t="shared" si="106"/>
        <v>0</v>
      </c>
      <c r="GE199" s="196">
        <f>COUNTIF($GD$2:$GD$92, GD199)/(COUNTIF($GD$2:$GD$92, "&lt;&gt;""") - COUNTIF($GD$2:$GD$92, ""))</f>
        <v>1.1111111111111112E-2</v>
      </c>
      <c r="GF199" s="207"/>
      <c r="GG199" s="36"/>
      <c r="GH199" s="209" t="e">
        <f t="shared" ca="1" si="107"/>
        <v>#NAME?</v>
      </c>
      <c r="GI199" s="212" t="e">
        <f t="shared" ca="1" si="274"/>
        <v>#NAME?</v>
      </c>
    </row>
    <row r="200" spans="1:191" ht="15.75" customHeight="1">
      <c r="A200" s="171"/>
      <c r="B200" s="171" t="s">
        <v>501</v>
      </c>
      <c r="C200" s="16">
        <v>1789369</v>
      </c>
      <c r="D200" s="233" t="s">
        <v>1553</v>
      </c>
      <c r="E200" s="234">
        <v>43774.439583333333</v>
      </c>
      <c r="F200" s="16" t="s">
        <v>329</v>
      </c>
      <c r="G200" s="235" t="s">
        <v>1554</v>
      </c>
      <c r="H200" s="235" t="s">
        <v>1555</v>
      </c>
      <c r="I200" s="241">
        <v>43872</v>
      </c>
      <c r="J200" s="233" t="s">
        <v>1556</v>
      </c>
      <c r="K200" s="233" t="s">
        <v>1553</v>
      </c>
      <c r="M200" s="16" t="s">
        <v>1557</v>
      </c>
      <c r="N200" s="16" t="s">
        <v>168</v>
      </c>
      <c r="O200" s="16" t="s">
        <v>173</v>
      </c>
      <c r="P200" s="16" t="s">
        <v>197</v>
      </c>
      <c r="Q200" s="16" t="s">
        <v>35</v>
      </c>
      <c r="S200" s="16" t="s">
        <v>269</v>
      </c>
      <c r="T200" s="237"/>
      <c r="U200" s="213"/>
      <c r="V200" s="54"/>
      <c r="W200" s="54">
        <v>5000000</v>
      </c>
      <c r="X200" s="226">
        <v>0.2</v>
      </c>
      <c r="Y200" s="55">
        <f t="shared" si="158"/>
        <v>4000000</v>
      </c>
      <c r="Z200" s="274">
        <f t="shared" si="159"/>
        <v>4000000</v>
      </c>
      <c r="AA200" s="183" t="e">
        <f t="shared" ca="1" si="160"/>
        <v>#NAME?</v>
      </c>
      <c r="AB200" s="16" t="s">
        <v>178</v>
      </c>
      <c r="AC200" s="16" t="s">
        <v>179</v>
      </c>
      <c r="AD200" s="16" t="s">
        <v>38</v>
      </c>
      <c r="AE200" s="16" t="s">
        <v>227</v>
      </c>
      <c r="AF200" s="16" t="s">
        <v>181</v>
      </c>
      <c r="AG200" s="16" t="s">
        <v>181</v>
      </c>
      <c r="AH200" s="16" t="s">
        <v>190</v>
      </c>
      <c r="AI200" s="54"/>
      <c r="AJ200" s="278">
        <v>240722000000</v>
      </c>
      <c r="AK200" s="224" t="e">
        <f t="shared" ca="1" si="161"/>
        <v>#NAME?</v>
      </c>
      <c r="AL200" s="278">
        <v>67920000000</v>
      </c>
      <c r="AM200" s="224" t="e">
        <f t="shared" ca="1" si="162"/>
        <v>#NAME?</v>
      </c>
      <c r="AN200" s="278">
        <v>0.02</v>
      </c>
      <c r="AO200" s="185" t="e">
        <f t="shared" ca="1" si="63"/>
        <v>#NAME?</v>
      </c>
      <c r="AP200" s="185" t="s">
        <v>228</v>
      </c>
      <c r="AQ200" s="16" t="s">
        <v>181</v>
      </c>
      <c r="AR200" s="16" t="s">
        <v>181</v>
      </c>
      <c r="AS200" s="16" t="s">
        <v>182</v>
      </c>
      <c r="AT200" s="159"/>
      <c r="AU200" s="159"/>
      <c r="AV200" s="16" t="s">
        <v>227</v>
      </c>
      <c r="AW200" s="16" t="s">
        <v>190</v>
      </c>
      <c r="AX200" s="16" t="s">
        <v>227</v>
      </c>
      <c r="AY200" s="16" t="s">
        <v>227</v>
      </c>
      <c r="AZ200" s="54">
        <v>1430801</v>
      </c>
      <c r="BA200" s="55" t="e">
        <f t="shared" ca="1" si="163"/>
        <v>#NAME?</v>
      </c>
      <c r="BB200" s="278">
        <v>6336</v>
      </c>
      <c r="BC200" s="278">
        <v>0</v>
      </c>
      <c r="BD200" s="62" t="e">
        <f t="shared" ca="1" si="164"/>
        <v>#NAME?</v>
      </c>
      <c r="BE200" s="277">
        <f t="shared" si="165"/>
        <v>1</v>
      </c>
      <c r="BF200" s="62" t="e">
        <f t="shared" ca="1" si="166"/>
        <v>#NAME?</v>
      </c>
      <c r="BG200" s="16" t="s">
        <v>219</v>
      </c>
      <c r="BI200" s="16" t="s">
        <v>227</v>
      </c>
      <c r="BJ200" s="16">
        <v>0</v>
      </c>
      <c r="BK200" s="278">
        <v>1</v>
      </c>
      <c r="BL200" s="16" t="s">
        <v>227</v>
      </c>
      <c r="BM200" s="16" t="s">
        <v>227</v>
      </c>
      <c r="BN200" s="16" t="s">
        <v>227</v>
      </c>
      <c r="BO200" s="16" t="s">
        <v>190</v>
      </c>
      <c r="BP200" s="16">
        <v>2</v>
      </c>
      <c r="BQ200" s="16">
        <v>8</v>
      </c>
      <c r="BR200" s="16">
        <v>0</v>
      </c>
      <c r="BS200" s="16">
        <v>0</v>
      </c>
      <c r="BT200" s="205"/>
      <c r="BU200" s="16">
        <v>7</v>
      </c>
      <c r="BV200" s="16">
        <v>0</v>
      </c>
      <c r="BW200" s="16">
        <v>49</v>
      </c>
      <c r="BX200" s="16" t="s">
        <v>190</v>
      </c>
      <c r="BY200" s="205"/>
      <c r="CD200" s="205"/>
      <c r="CI200" s="205"/>
      <c r="CN200" s="205"/>
      <c r="CS200" s="205"/>
      <c r="CX200" s="205"/>
      <c r="DC200" s="205"/>
      <c r="DH200" s="205"/>
      <c r="DM200" s="205"/>
      <c r="DN200" s="205"/>
      <c r="DO200" s="205"/>
      <c r="DQ200" s="206"/>
      <c r="DR200" s="188">
        <f t="shared" si="64"/>
        <v>7</v>
      </c>
      <c r="DS200" s="188"/>
      <c r="DT200" s="189">
        <f t="shared" si="65"/>
        <v>0</v>
      </c>
      <c r="DU200" s="189"/>
      <c r="DV200" s="188">
        <f t="shared" si="66"/>
        <v>49</v>
      </c>
      <c r="DW200" s="183" t="e">
        <f t="shared" ca="1" si="67"/>
        <v>#NAME?</v>
      </c>
      <c r="DX200" s="207"/>
      <c r="DY200" s="190" t="e">
        <f t="shared" ca="1" si="68"/>
        <v>#NAME?</v>
      </c>
      <c r="DZ200" s="191">
        <f t="shared" si="264"/>
        <v>3.1052631578947367</v>
      </c>
      <c r="EA200" s="191" t="str">
        <f t="shared" si="265"/>
        <v/>
      </c>
      <c r="EB200" s="191" t="str">
        <f t="shared" si="266"/>
        <v/>
      </c>
      <c r="EC200" s="208" t="e">
        <f t="shared" ca="1" si="72"/>
        <v>#NAME?</v>
      </c>
      <c r="ED200" s="36" t="str">
        <f t="shared" si="73"/>
        <v>SAFE</v>
      </c>
      <c r="EE200" s="193">
        <f>COUNTIF($ED$2:$ED$92, ED200)/(COUNTIF($ED$2:$ED$92, "&lt;&gt;""") - COUNTIF($ED$2:$ED$92, ""))</f>
        <v>0.37777777777777777</v>
      </c>
      <c r="EF200" s="36" t="str">
        <f t="shared" si="74"/>
        <v>Growth</v>
      </c>
      <c r="EG200" s="207"/>
      <c r="EH200" s="194" t="e">
        <f t="shared" ca="1" si="75"/>
        <v>#NAME?</v>
      </c>
      <c r="EI200" s="194" t="e">
        <f t="shared" ca="1" si="76"/>
        <v>#NAME?</v>
      </c>
      <c r="EJ200" s="209" t="e">
        <f t="shared" ca="1" si="77"/>
        <v>#NAME?</v>
      </c>
      <c r="EK200" s="208" t="e">
        <f t="shared" ca="1" si="267"/>
        <v>#NAME?</v>
      </c>
      <c r="EL200" s="36" t="str">
        <f t="shared" si="79"/>
        <v>Yes</v>
      </c>
      <c r="EM200" s="207"/>
      <c r="EN200" s="192">
        <f t="shared" si="268"/>
        <v>1.6666666666666665</v>
      </c>
      <c r="EO200" s="192">
        <f t="shared" si="269"/>
        <v>1</v>
      </c>
      <c r="EP200" s="209">
        <f t="shared" si="82"/>
        <v>2.6666666666666665</v>
      </c>
      <c r="EQ200" s="210">
        <f t="shared" si="270"/>
        <v>1.5233644859813085</v>
      </c>
      <c r="ER200" s="36" t="e">
        <f t="shared" ca="1" si="84"/>
        <v>#NAME?</v>
      </c>
      <c r="ES200" s="40">
        <f ca="1">COUNTIF($ER$2:$ER$92, ER200)/(COUNTIF($ER$2:$ER$92, "&lt;&gt;""") - COUNTIF($ER$2:$ER$92, ""))</f>
        <v>1</v>
      </c>
      <c r="ET200" s="36">
        <f t="shared" si="85"/>
        <v>1</v>
      </c>
      <c r="EU200" s="40">
        <f>COUNTIF($ET$2:$ET$92, ET200)/(COUNTIF($ET$2:$ET$92, "&lt;&gt;""") - COUNTIF($ET$2:$ET$92, ""))</f>
        <v>0.45555555555555555</v>
      </c>
      <c r="EV200" s="36">
        <f t="shared" si="86"/>
        <v>8</v>
      </c>
      <c r="EW200" s="40">
        <f>COUNTIF($EV$2:$EV$92, EV200)/(COUNTIF($EV$2:$EV$92, "&lt;&gt;""") - COUNTIF($EV$2:$EV$92, ""))</f>
        <v>5.5555555555555552E-2</v>
      </c>
      <c r="EX200" s="36" t="str">
        <f t="shared" si="87"/>
        <v>Yes</v>
      </c>
      <c r="EY200" s="40">
        <f>COUNTIF($EX$2:$EX$92, EX200)/(COUNTIF($EX$2:$EX$92, "&lt;&gt;""") - COUNTIF($EX$2:$EX$92, ""))</f>
        <v>0.27777777777777779</v>
      </c>
      <c r="EZ200" s="36" t="str">
        <f t="shared" ref="EZ200:FB200" si="333">BM200</f>
        <v>Yes</v>
      </c>
      <c r="FA200" s="36" t="str">
        <f t="shared" si="333"/>
        <v>Yes</v>
      </c>
      <c r="FB200" s="36" t="str">
        <f t="shared" si="333"/>
        <v>No</v>
      </c>
      <c r="FC200" s="207"/>
      <c r="FD200" s="36" t="str">
        <f t="shared" si="89"/>
        <v>Recurring</v>
      </c>
      <c r="FE200" s="40">
        <f>COUNTIF($FD$2:$FD$92, FD200)/(COUNTIF($FD$2:$FD$92, "&lt;&gt;""") - COUNTIF($FD$2:$FD$92, ""))</f>
        <v>0.4</v>
      </c>
      <c r="FF200" s="36" t="str">
        <f t="shared" si="90"/>
        <v>B2C</v>
      </c>
      <c r="FG200" s="40">
        <f>COUNTIF($FF$2:$FF$92, FF200)/(COUNTIF($FF$2:$FF$92, "&lt;&gt;""") - COUNTIF($FF$2:$FF$92, ""))</f>
        <v>0.41111111111111109</v>
      </c>
      <c r="FH200" s="36" t="str">
        <f t="shared" si="91"/>
        <v>Low</v>
      </c>
      <c r="FI200" s="40">
        <f>COUNTIF($FH$2:$FH$92, FH200)/(COUNTIF($FH$2:$FH$92, "&lt;&gt;""") - COUNTIF($FH$2:$FH$92, ""))</f>
        <v>0.46666666666666667</v>
      </c>
      <c r="FJ200" s="36" t="str">
        <f t="shared" si="92"/>
        <v>Low</v>
      </c>
      <c r="FK200" s="40">
        <f>COUNTIF($FJ$2:$FJ$92, FJ200)/(COUNTIF($FJ$2:$FJ$92, "&lt;&gt;""") - COUNTIF($FJ$2:$FJ$92, ""))</f>
        <v>0.41111111111111109</v>
      </c>
      <c r="FL200" s="207"/>
      <c r="FM200" s="192">
        <f t="shared" si="93"/>
        <v>5</v>
      </c>
      <c r="FN200" s="192" t="e">
        <f t="shared" ca="1" si="94"/>
        <v>#NAME?</v>
      </c>
      <c r="FO200" s="192" t="e">
        <f t="shared" ca="1" si="95"/>
        <v>#NAME?</v>
      </c>
      <c r="FP200" s="192" t="e">
        <f t="shared" ca="1" si="96"/>
        <v>#NAME?</v>
      </c>
      <c r="FQ200" s="209" t="e">
        <f t="shared" ca="1" si="97"/>
        <v>#NAME?</v>
      </c>
      <c r="FR200" s="208" t="e">
        <f t="shared" ca="1" si="272"/>
        <v>#NAME?</v>
      </c>
      <c r="FS200" s="36" t="str">
        <f t="shared" si="99"/>
        <v>Profitable</v>
      </c>
      <c r="FT200" s="196">
        <f>COUNTIF($FS$2:$FS$92, FS200)/(COUNTIF($FS$2:$FS$92, "&lt;&gt;""") - COUNTIF($FZ$2:$FZ$92, ""))</f>
        <v>6.6666666666666666E-2</v>
      </c>
      <c r="FU200" s="207"/>
      <c r="FV200" s="192" t="e">
        <f t="shared" ca="1" si="100"/>
        <v>#NAME?</v>
      </c>
      <c r="FW200" s="197" t="e">
        <f t="shared" ca="1" si="101"/>
        <v>#NAME?</v>
      </c>
      <c r="FX200" s="209" t="e">
        <f t="shared" ca="1" si="102"/>
        <v>#NAME?</v>
      </c>
      <c r="FY200" s="211" t="e">
        <f t="shared" ca="1" si="273"/>
        <v>#NAME?</v>
      </c>
      <c r="FZ200" s="36" t="str">
        <f t="shared" si="104"/>
        <v>No</v>
      </c>
      <c r="GA200" s="196">
        <f>COUNTIF($FZ$2:$FZ$92, FZ200)/(COUNTIF($FZ$2:$FZ$92, "&lt;&gt;""") - COUNTIF($FZ$2:$FZ$92, ""))</f>
        <v>0.76666666666666672</v>
      </c>
      <c r="GB200" s="196">
        <f t="shared" si="105"/>
        <v>0</v>
      </c>
      <c r="GC200" s="196">
        <f>COUNTIF($GB$2:$GB$92, GB200)/(COUNTIF($GB$2:$GB$92, "&lt;&gt;""") - COUNTIF($GB$2:$GB$92, ""))</f>
        <v>1.1111111111111112E-2</v>
      </c>
      <c r="GD200" s="196">
        <f t="shared" si="106"/>
        <v>0</v>
      </c>
      <c r="GE200" s="196">
        <f>COUNTIF($GD$2:$GD$92, GD200)/(COUNTIF($GD$2:$GD$92, "&lt;&gt;""") - COUNTIF($GD$2:$GD$92, ""))</f>
        <v>1.1111111111111112E-2</v>
      </c>
      <c r="GF200" s="207"/>
      <c r="GG200" s="36"/>
      <c r="GH200" s="209" t="e">
        <f t="shared" ca="1" si="107"/>
        <v>#NAME?</v>
      </c>
      <c r="GI200" s="212" t="e">
        <f t="shared" ca="1" si="274"/>
        <v>#NAME?</v>
      </c>
    </row>
    <row r="201" spans="1:191" ht="15.75" customHeight="1">
      <c r="A201" s="171"/>
      <c r="B201" s="171" t="s">
        <v>501</v>
      </c>
      <c r="C201" s="16">
        <v>1706429</v>
      </c>
      <c r="D201" s="233" t="s">
        <v>1558</v>
      </c>
      <c r="E201" s="234">
        <v>43774.443749999999</v>
      </c>
      <c r="F201" s="16" t="s">
        <v>329</v>
      </c>
      <c r="G201" s="235" t="s">
        <v>1559</v>
      </c>
      <c r="H201" s="235" t="s">
        <v>1560</v>
      </c>
      <c r="I201" s="241">
        <v>43889</v>
      </c>
      <c r="J201" s="233" t="s">
        <v>1561</v>
      </c>
      <c r="K201" s="233" t="s">
        <v>1558</v>
      </c>
      <c r="M201" s="239" t="s">
        <v>28</v>
      </c>
      <c r="N201" s="16" t="s">
        <v>168</v>
      </c>
      <c r="O201" s="16" t="s">
        <v>30</v>
      </c>
      <c r="P201" s="16" t="s">
        <v>174</v>
      </c>
      <c r="Q201" s="16" t="s">
        <v>35</v>
      </c>
      <c r="S201" s="16" t="s">
        <v>269</v>
      </c>
      <c r="T201" s="237"/>
      <c r="U201" s="213"/>
      <c r="V201" s="54"/>
      <c r="W201" s="54">
        <v>5000000</v>
      </c>
      <c r="X201" s="226">
        <v>0.2</v>
      </c>
      <c r="Y201" s="55">
        <f t="shared" si="158"/>
        <v>4000000</v>
      </c>
      <c r="Z201" s="274">
        <f t="shared" si="159"/>
        <v>4000000</v>
      </c>
      <c r="AA201" s="183" t="e">
        <f t="shared" ca="1" si="160"/>
        <v>#NAME?</v>
      </c>
      <c r="AB201" s="16" t="s">
        <v>36</v>
      </c>
      <c r="AC201" s="16" t="s">
        <v>218</v>
      </c>
      <c r="AD201" s="16" t="s">
        <v>38</v>
      </c>
      <c r="AE201" s="16" t="s">
        <v>227</v>
      </c>
      <c r="AF201" s="16" t="s">
        <v>181</v>
      </c>
      <c r="AG201" s="16" t="s">
        <v>181</v>
      </c>
      <c r="AH201" s="16" t="s">
        <v>190</v>
      </c>
      <c r="AI201" s="54"/>
      <c r="AJ201" s="278">
        <v>114200000000</v>
      </c>
      <c r="AK201" s="224" t="e">
        <f t="shared" ca="1" si="161"/>
        <v>#NAME?</v>
      </c>
      <c r="AL201" s="278">
        <v>5100000000</v>
      </c>
      <c r="AM201" s="224" t="e">
        <f t="shared" ca="1" si="162"/>
        <v>#NAME?</v>
      </c>
      <c r="AN201" s="278">
        <v>0.03</v>
      </c>
      <c r="AO201" s="185" t="e">
        <f t="shared" ca="1" si="63"/>
        <v>#NAME?</v>
      </c>
      <c r="AP201" s="185" t="s">
        <v>192</v>
      </c>
      <c r="AQ201" s="16" t="s">
        <v>181</v>
      </c>
      <c r="AR201" s="16" t="s">
        <v>181</v>
      </c>
      <c r="AS201" s="16" t="s">
        <v>42</v>
      </c>
      <c r="AT201" s="159"/>
      <c r="AU201" s="159"/>
      <c r="AV201" s="16" t="s">
        <v>190</v>
      </c>
      <c r="AW201" s="16" t="s">
        <v>190</v>
      </c>
      <c r="AX201" s="16" t="s">
        <v>227</v>
      </c>
      <c r="AY201" s="16" t="s">
        <v>227</v>
      </c>
      <c r="AZ201" s="54">
        <v>75515</v>
      </c>
      <c r="BA201" s="55" t="e">
        <f t="shared" ca="1" si="163"/>
        <v>#NAME?</v>
      </c>
      <c r="BB201" s="278">
        <v>323</v>
      </c>
      <c r="BC201" s="278">
        <v>104707</v>
      </c>
      <c r="BD201" s="62" t="e">
        <f t="shared" ca="1" si="164"/>
        <v>#NAME?</v>
      </c>
      <c r="BE201" s="277">
        <f t="shared" si="165"/>
        <v>3.0847985330493665E-3</v>
      </c>
      <c r="BF201" s="62" t="e">
        <f t="shared" ca="1" si="166"/>
        <v>#NAME?</v>
      </c>
      <c r="BG201" s="16" t="s">
        <v>219</v>
      </c>
      <c r="BI201" s="16" t="s">
        <v>227</v>
      </c>
      <c r="BJ201" s="16">
        <v>1</v>
      </c>
      <c r="BK201" s="278">
        <v>3</v>
      </c>
      <c r="BL201" s="16" t="s">
        <v>227</v>
      </c>
      <c r="BM201" s="16" t="s">
        <v>227</v>
      </c>
      <c r="BN201" s="16" t="s">
        <v>227</v>
      </c>
      <c r="BO201" s="16" t="s">
        <v>190</v>
      </c>
      <c r="BP201" s="16">
        <v>4</v>
      </c>
      <c r="BQ201" s="16">
        <v>4</v>
      </c>
      <c r="BR201" s="16">
        <v>0</v>
      </c>
      <c r="BS201" s="16">
        <v>0</v>
      </c>
      <c r="BT201" s="205"/>
      <c r="BU201" s="16">
        <v>0</v>
      </c>
      <c r="BV201" s="16">
        <v>0</v>
      </c>
      <c r="BW201" s="16">
        <v>30</v>
      </c>
      <c r="BX201" s="16" t="s">
        <v>190</v>
      </c>
      <c r="BY201" s="205"/>
      <c r="BZ201" s="16">
        <v>10</v>
      </c>
      <c r="CA201" s="16">
        <v>0</v>
      </c>
      <c r="CB201" s="16">
        <v>43</v>
      </c>
      <c r="CC201" s="16" t="s">
        <v>190</v>
      </c>
      <c r="CD201" s="205"/>
      <c r="CE201" s="16">
        <v>9</v>
      </c>
      <c r="CF201" s="16">
        <v>0</v>
      </c>
      <c r="CG201" s="16">
        <v>43</v>
      </c>
      <c r="CH201" s="16" t="s">
        <v>190</v>
      </c>
      <c r="CI201" s="205"/>
      <c r="CN201" s="205"/>
      <c r="CS201" s="205"/>
      <c r="CX201" s="205"/>
      <c r="DC201" s="205"/>
      <c r="DH201" s="205"/>
      <c r="DM201" s="205"/>
      <c r="DN201" s="205"/>
      <c r="DO201" s="205"/>
      <c r="DQ201" s="206"/>
      <c r="DR201" s="188">
        <f t="shared" si="64"/>
        <v>6.333333333333333</v>
      </c>
      <c r="DS201" s="188"/>
      <c r="DT201" s="189">
        <f t="shared" si="65"/>
        <v>0</v>
      </c>
      <c r="DU201" s="189"/>
      <c r="DV201" s="188">
        <f t="shared" si="66"/>
        <v>38.666666666666664</v>
      </c>
      <c r="DW201" s="183" t="e">
        <f t="shared" ca="1" si="67"/>
        <v>#NAME?</v>
      </c>
      <c r="DX201" s="207"/>
      <c r="DY201" s="190" t="e">
        <f t="shared" ca="1" si="68"/>
        <v>#NAME?</v>
      </c>
      <c r="DZ201" s="191">
        <f t="shared" si="264"/>
        <v>3.1052631578947367</v>
      </c>
      <c r="EA201" s="191" t="str">
        <f t="shared" si="265"/>
        <v/>
      </c>
      <c r="EB201" s="191" t="str">
        <f t="shared" si="266"/>
        <v/>
      </c>
      <c r="EC201" s="208" t="e">
        <f t="shared" ca="1" si="72"/>
        <v>#NAME?</v>
      </c>
      <c r="ED201" s="36" t="str">
        <f t="shared" si="73"/>
        <v>SAFE</v>
      </c>
      <c r="EE201" s="193">
        <f>COUNTIF($ED$2:$ED$92, ED201)/(COUNTIF($ED$2:$ED$92, "&lt;&gt;""") - COUNTIF($ED$2:$ED$92, ""))</f>
        <v>0.37777777777777777</v>
      </c>
      <c r="EF201" s="36" t="str">
        <f t="shared" si="74"/>
        <v>Early</v>
      </c>
      <c r="EG201" s="207"/>
      <c r="EH201" s="194" t="e">
        <f t="shared" ca="1" si="75"/>
        <v>#NAME?</v>
      </c>
      <c r="EI201" s="194" t="e">
        <f t="shared" ca="1" si="76"/>
        <v>#NAME?</v>
      </c>
      <c r="EJ201" s="209" t="e">
        <f t="shared" ca="1" si="77"/>
        <v>#NAME?</v>
      </c>
      <c r="EK201" s="208" t="e">
        <f t="shared" ca="1" si="267"/>
        <v>#NAME?</v>
      </c>
      <c r="EL201" s="36" t="str">
        <f t="shared" si="79"/>
        <v>No</v>
      </c>
      <c r="EM201" s="207"/>
      <c r="EN201" s="192">
        <f t="shared" si="268"/>
        <v>1.6031746031746033</v>
      </c>
      <c r="EO201" s="192">
        <f t="shared" si="269"/>
        <v>1</v>
      </c>
      <c r="EP201" s="209">
        <f t="shared" si="82"/>
        <v>2.6031746031746033</v>
      </c>
      <c r="EQ201" s="210">
        <f t="shared" si="270"/>
        <v>1.4735202492211839</v>
      </c>
      <c r="ER201" s="36" t="e">
        <f t="shared" ca="1" si="84"/>
        <v>#NAME?</v>
      </c>
      <c r="ES201" s="40">
        <f ca="1">COUNTIF($ER$2:$ER$92, ER201)/(COUNTIF($ER$2:$ER$92, "&lt;&gt;""") - COUNTIF($ER$2:$ER$92, ""))</f>
        <v>1</v>
      </c>
      <c r="ET201" s="36">
        <f t="shared" si="85"/>
        <v>3</v>
      </c>
      <c r="EU201" s="40">
        <f>COUNTIF($ET$2:$ET$92, ET201)/(COUNTIF($ET$2:$ET$92, "&lt;&gt;""") - COUNTIF($ET$2:$ET$92, ""))</f>
        <v>4.4444444444444446E-2</v>
      </c>
      <c r="EV201" s="36">
        <f t="shared" si="86"/>
        <v>4</v>
      </c>
      <c r="EW201" s="40">
        <f>COUNTIF($EV$2:$EV$92, EV201)/(COUNTIF($EV$2:$EV$92, "&lt;&gt;""") - COUNTIF($EV$2:$EV$92, ""))</f>
        <v>0.12222222222222222</v>
      </c>
      <c r="EX201" s="36" t="str">
        <f t="shared" si="87"/>
        <v>Yes</v>
      </c>
      <c r="EY201" s="40">
        <f>COUNTIF($EX$2:$EX$92, EX201)/(COUNTIF($EX$2:$EX$92, "&lt;&gt;""") - COUNTIF($EX$2:$EX$92, ""))</f>
        <v>0.27777777777777779</v>
      </c>
      <c r="EZ201" s="36" t="str">
        <f t="shared" ref="EZ201:FB201" si="334">BM201</f>
        <v>Yes</v>
      </c>
      <c r="FA201" s="36" t="str">
        <f t="shared" si="334"/>
        <v>Yes</v>
      </c>
      <c r="FB201" s="36" t="str">
        <f t="shared" si="334"/>
        <v>No</v>
      </c>
      <c r="FC201" s="207"/>
      <c r="FD201" s="36" t="str">
        <f t="shared" si="89"/>
        <v>Transactional</v>
      </c>
      <c r="FE201" s="40">
        <f>COUNTIF($FD$2:$FD$92, FD201)/(COUNTIF($FD$2:$FD$92, "&lt;&gt;""") - COUNTIF($FD$2:$FD$92, ""))</f>
        <v>0.6</v>
      </c>
      <c r="FF201" s="36" t="str">
        <f t="shared" si="90"/>
        <v>B2B/B2C</v>
      </c>
      <c r="FG201" s="40">
        <f>COUNTIF($FF$2:$FF$92, FF201)/(COUNTIF($FF$2:$FF$92, "&lt;&gt;""") - COUNTIF($FF$2:$FF$92, ""))</f>
        <v>0.27777777777777779</v>
      </c>
      <c r="FH201" s="36" t="str">
        <f t="shared" si="91"/>
        <v>Low</v>
      </c>
      <c r="FI201" s="40">
        <f>COUNTIF($FH$2:$FH$92, FH201)/(COUNTIF($FH$2:$FH$92, "&lt;&gt;""") - COUNTIF($FH$2:$FH$92, ""))</f>
        <v>0.46666666666666667</v>
      </c>
      <c r="FJ201" s="36" t="str">
        <f t="shared" si="92"/>
        <v>Low</v>
      </c>
      <c r="FK201" s="40">
        <f>COUNTIF($FJ$2:$FJ$92, FJ201)/(COUNTIF($FJ$2:$FJ$92, "&lt;&gt;""") - COUNTIF($FJ$2:$FJ$92, ""))</f>
        <v>0.41111111111111109</v>
      </c>
      <c r="FL201" s="207"/>
      <c r="FM201" s="192">
        <f t="shared" si="93"/>
        <v>5</v>
      </c>
      <c r="FN201" s="192" t="e">
        <f t="shared" ca="1" si="94"/>
        <v>#NAME?</v>
      </c>
      <c r="FO201" s="192" t="e">
        <f t="shared" ca="1" si="95"/>
        <v>#NAME?</v>
      </c>
      <c r="FP201" s="192" t="e">
        <f t="shared" ca="1" si="96"/>
        <v>#NAME?</v>
      </c>
      <c r="FQ201" s="209" t="e">
        <f t="shared" ca="1" si="97"/>
        <v>#NAME?</v>
      </c>
      <c r="FR201" s="208" t="e">
        <f t="shared" ca="1" si="272"/>
        <v>#NAME?</v>
      </c>
      <c r="FS201" s="36" t="str">
        <f t="shared" si="99"/>
        <v>Profitable</v>
      </c>
      <c r="FT201" s="196">
        <f>COUNTIF($FS$2:$FS$92, FS201)/(COUNTIF($FS$2:$FS$92, "&lt;&gt;""") - COUNTIF($FZ$2:$FZ$92, ""))</f>
        <v>6.6666666666666666E-2</v>
      </c>
      <c r="FU201" s="207"/>
      <c r="FV201" s="192" t="e">
        <f t="shared" ca="1" si="100"/>
        <v>#NAME?</v>
      </c>
      <c r="FW201" s="197" t="e">
        <f t="shared" ca="1" si="101"/>
        <v>#NAME?</v>
      </c>
      <c r="FX201" s="209" t="e">
        <f t="shared" ca="1" si="102"/>
        <v>#NAME?</v>
      </c>
      <c r="FY201" s="211" t="e">
        <f t="shared" ca="1" si="273"/>
        <v>#NAME?</v>
      </c>
      <c r="FZ201" s="36" t="str">
        <f t="shared" si="104"/>
        <v>No</v>
      </c>
      <c r="GA201" s="196">
        <f>COUNTIF($FZ$2:$FZ$92, FZ201)/(COUNTIF($FZ$2:$FZ$92, "&lt;&gt;""") - COUNTIF($FZ$2:$FZ$92, ""))</f>
        <v>0.76666666666666672</v>
      </c>
      <c r="GB201" s="196">
        <f t="shared" si="105"/>
        <v>0</v>
      </c>
      <c r="GC201" s="196">
        <f>COUNTIF($GB$2:$GB$92, GB201)/(COUNTIF($GB$2:$GB$92, "&lt;&gt;""") - COUNTIF($GB$2:$GB$92, ""))</f>
        <v>1.1111111111111112E-2</v>
      </c>
      <c r="GD201" s="196">
        <f t="shared" si="106"/>
        <v>0</v>
      </c>
      <c r="GE201" s="196">
        <f>COUNTIF($GD$2:$GD$92, GD201)/(COUNTIF($GD$2:$GD$92, "&lt;&gt;""") - COUNTIF($GD$2:$GD$92, ""))</f>
        <v>1.1111111111111112E-2</v>
      </c>
      <c r="GF201" s="207"/>
      <c r="GG201" s="36"/>
      <c r="GH201" s="209" t="e">
        <f t="shared" ca="1" si="107"/>
        <v>#NAME?</v>
      </c>
      <c r="GI201" s="212" t="e">
        <f t="shared" ca="1" si="274"/>
        <v>#NAME?</v>
      </c>
    </row>
    <row r="202" spans="1:191" ht="15.75" customHeight="1">
      <c r="A202" s="171"/>
      <c r="B202" s="171" t="s">
        <v>501</v>
      </c>
      <c r="C202" s="16">
        <v>1792908</v>
      </c>
      <c r="D202" s="233" t="s">
        <v>1562</v>
      </c>
      <c r="E202" s="234">
        <v>43776.464583333334</v>
      </c>
      <c r="F202" s="16" t="s">
        <v>281</v>
      </c>
      <c r="G202" s="235" t="s">
        <v>1563</v>
      </c>
      <c r="H202" s="235" t="s">
        <v>1564</v>
      </c>
      <c r="I202" s="241">
        <v>43788</v>
      </c>
      <c r="J202" s="233" t="s">
        <v>1565</v>
      </c>
      <c r="K202" s="233"/>
      <c r="M202" s="29" t="s">
        <v>747</v>
      </c>
      <c r="N202" s="16" t="s">
        <v>324</v>
      </c>
      <c r="O202" s="16" t="s">
        <v>30</v>
      </c>
      <c r="P202" s="16" t="s">
        <v>31</v>
      </c>
      <c r="Q202" s="16" t="s">
        <v>35</v>
      </c>
      <c r="S202" s="16" t="s">
        <v>216</v>
      </c>
      <c r="T202" s="237"/>
      <c r="U202" s="213"/>
      <c r="V202" s="54">
        <v>10000000</v>
      </c>
      <c r="W202" s="54"/>
      <c r="X202" s="226"/>
      <c r="Y202" s="55" t="str">
        <f t="shared" si="158"/>
        <v/>
      </c>
      <c r="Z202" s="274">
        <f t="shared" si="159"/>
        <v>10000000</v>
      </c>
      <c r="AA202" s="183" t="e">
        <f t="shared" ca="1" si="160"/>
        <v>#NAME?</v>
      </c>
      <c r="AB202" s="16" t="s">
        <v>178</v>
      </c>
      <c r="AC202" s="16" t="s">
        <v>37</v>
      </c>
      <c r="AD202" s="16" t="s">
        <v>180</v>
      </c>
      <c r="AE202" s="16" t="s">
        <v>227</v>
      </c>
      <c r="AF202" s="16" t="s">
        <v>39</v>
      </c>
      <c r="AG202" s="16" t="s">
        <v>181</v>
      </c>
      <c r="AH202" s="16" t="s">
        <v>190</v>
      </c>
      <c r="AI202" s="54"/>
      <c r="AJ202" s="278">
        <v>14664000000</v>
      </c>
      <c r="AK202" s="224" t="e">
        <f t="shared" ca="1" si="161"/>
        <v>#NAME?</v>
      </c>
      <c r="AL202" s="278">
        <v>14664000000</v>
      </c>
      <c r="AM202" s="224" t="e">
        <f t="shared" ca="1" si="162"/>
        <v>#NAME?</v>
      </c>
      <c r="AN202" s="278">
        <v>0.06</v>
      </c>
      <c r="AO202" s="185" t="e">
        <f t="shared" ca="1" si="63"/>
        <v>#NAME?</v>
      </c>
      <c r="AP202" s="185" t="s">
        <v>228</v>
      </c>
      <c r="AQ202" s="16" t="s">
        <v>181</v>
      </c>
      <c r="AR202" s="16" t="s">
        <v>181</v>
      </c>
      <c r="AS202" s="16" t="s">
        <v>42</v>
      </c>
      <c r="AT202" s="159"/>
      <c r="AU202" s="159"/>
      <c r="AV202" s="16" t="s">
        <v>190</v>
      </c>
      <c r="AW202" s="16" t="s">
        <v>227</v>
      </c>
      <c r="AX202" s="16" t="s">
        <v>227</v>
      </c>
      <c r="AY202" s="16" t="s">
        <v>190</v>
      </c>
      <c r="AZ202" s="54">
        <v>0</v>
      </c>
      <c r="BA202" s="55" t="e">
        <f t="shared" ca="1" si="163"/>
        <v>#NAME?</v>
      </c>
      <c r="BB202" s="278">
        <v>0</v>
      </c>
      <c r="BC202" s="278">
        <v>0</v>
      </c>
      <c r="BD202" s="62" t="e">
        <f t="shared" ca="1" si="164"/>
        <v>#NAME?</v>
      </c>
      <c r="BE202" s="277">
        <f t="shared" si="165"/>
        <v>1</v>
      </c>
      <c r="BF202" s="62" t="e">
        <f t="shared" ca="1" si="166"/>
        <v>#NAME?</v>
      </c>
      <c r="BG202" s="16" t="s">
        <v>183</v>
      </c>
      <c r="BI202" s="16" t="s">
        <v>190</v>
      </c>
      <c r="BJ202" s="16">
        <v>0</v>
      </c>
      <c r="BK202" s="278">
        <v>1</v>
      </c>
      <c r="BL202" s="16" t="s">
        <v>227</v>
      </c>
      <c r="BM202" s="16" t="s">
        <v>190</v>
      </c>
      <c r="BN202" s="16" t="s">
        <v>227</v>
      </c>
      <c r="BO202" s="16" t="s">
        <v>190</v>
      </c>
      <c r="BP202" s="16">
        <v>3</v>
      </c>
      <c r="BQ202" s="16">
        <v>14</v>
      </c>
      <c r="BR202" s="16">
        <v>0</v>
      </c>
      <c r="BS202" s="16">
        <v>0</v>
      </c>
      <c r="BT202" s="205"/>
      <c r="BU202" s="16">
        <v>10</v>
      </c>
      <c r="BV202" s="16">
        <v>0</v>
      </c>
      <c r="BW202" s="16">
        <v>38</v>
      </c>
      <c r="BX202" s="16" t="s">
        <v>227</v>
      </c>
      <c r="BY202" s="205"/>
      <c r="CD202" s="205"/>
      <c r="CI202" s="205"/>
      <c r="CN202" s="205"/>
      <c r="CS202" s="205"/>
      <c r="CX202" s="205"/>
      <c r="DC202" s="205"/>
      <c r="DH202" s="205"/>
      <c r="DM202" s="205"/>
      <c r="DN202" s="205"/>
      <c r="DO202" s="205"/>
      <c r="DQ202" s="206"/>
      <c r="DR202" s="188">
        <f t="shared" si="64"/>
        <v>10</v>
      </c>
      <c r="DS202" s="188"/>
      <c r="DT202" s="189">
        <f t="shared" si="65"/>
        <v>0</v>
      </c>
      <c r="DU202" s="189"/>
      <c r="DV202" s="188">
        <f t="shared" si="66"/>
        <v>38</v>
      </c>
      <c r="DW202" s="183" t="e">
        <f t="shared" ca="1" si="67"/>
        <v>#NAME?</v>
      </c>
      <c r="DX202" s="207"/>
      <c r="DY202" s="190" t="e">
        <f t="shared" ca="1" si="68"/>
        <v>#NAME?</v>
      </c>
      <c r="DZ202" s="191" t="str">
        <f t="shared" si="264"/>
        <v/>
      </c>
      <c r="EA202" s="191" t="str">
        <f t="shared" si="265"/>
        <v/>
      </c>
      <c r="EB202" s="191" t="str">
        <f t="shared" si="266"/>
        <v/>
      </c>
      <c r="EC202" s="208" t="e">
        <f t="shared" ca="1" si="72"/>
        <v>#NAME?</v>
      </c>
      <c r="ED202" s="36" t="str">
        <f t="shared" si="73"/>
        <v>Equity - Common</v>
      </c>
      <c r="EE202" s="193">
        <f>COUNTIF($ED$2:$ED$92, ED202)/(COUNTIF($ED$2:$ED$92, "&lt;&gt;""") - COUNTIF($ED$2:$ED$92, ""))</f>
        <v>0.32222222222222224</v>
      </c>
      <c r="EF202" s="36" t="str">
        <f t="shared" si="74"/>
        <v>Early</v>
      </c>
      <c r="EG202" s="207"/>
      <c r="EH202" s="194" t="e">
        <f t="shared" ca="1" si="75"/>
        <v>#NAME?</v>
      </c>
      <c r="EI202" s="194" t="e">
        <f t="shared" ca="1" si="76"/>
        <v>#NAME?</v>
      </c>
      <c r="EJ202" s="209" t="e">
        <f t="shared" ca="1" si="77"/>
        <v>#NAME?</v>
      </c>
      <c r="EK202" s="208" t="e">
        <f t="shared" ca="1" si="267"/>
        <v>#NAME?</v>
      </c>
      <c r="EL202" s="36" t="str">
        <f t="shared" si="79"/>
        <v>No</v>
      </c>
      <c r="EM202" s="207"/>
      <c r="EN202" s="192">
        <f t="shared" si="268"/>
        <v>1.9523809523809523</v>
      </c>
      <c r="EO202" s="192">
        <f t="shared" si="269"/>
        <v>1</v>
      </c>
      <c r="EP202" s="209">
        <f t="shared" si="82"/>
        <v>2.9523809523809526</v>
      </c>
      <c r="EQ202" s="210">
        <f t="shared" si="270"/>
        <v>1.7476635514018692</v>
      </c>
      <c r="ER202" s="36" t="e">
        <f t="shared" ca="1" si="84"/>
        <v>#NAME?</v>
      </c>
      <c r="ES202" s="40">
        <f ca="1">COUNTIF($ER$2:$ER$92, ER202)/(COUNTIF($ER$2:$ER$92, "&lt;&gt;""") - COUNTIF($ER$2:$ER$92, ""))</f>
        <v>1</v>
      </c>
      <c r="ET202" s="36">
        <f t="shared" si="85"/>
        <v>1</v>
      </c>
      <c r="EU202" s="40">
        <f>COUNTIF($ET$2:$ET$92, ET202)/(COUNTIF($ET$2:$ET$92, "&lt;&gt;""") - COUNTIF($ET$2:$ET$92, ""))</f>
        <v>0.45555555555555555</v>
      </c>
      <c r="EV202" s="36">
        <f t="shared" si="86"/>
        <v>14</v>
      </c>
      <c r="EW202" s="40">
        <f>COUNTIF($EV$2:$EV$92, EV202)/(COUNTIF($EV$2:$EV$92, "&lt;&gt;""") - COUNTIF($EV$2:$EV$92, ""))</f>
        <v>3.3333333333333333E-2</v>
      </c>
      <c r="EX202" s="36" t="str">
        <f t="shared" si="87"/>
        <v>Yes</v>
      </c>
      <c r="EY202" s="40">
        <f>COUNTIF($EX$2:$EX$92, EX202)/(COUNTIF($EX$2:$EX$92, "&lt;&gt;""") - COUNTIF($EX$2:$EX$92, ""))</f>
        <v>0.27777777777777779</v>
      </c>
      <c r="EZ202" s="36" t="str">
        <f t="shared" ref="EZ202:FB202" si="335">BM202</f>
        <v>No</v>
      </c>
      <c r="FA202" s="36" t="str">
        <f t="shared" si="335"/>
        <v>Yes</v>
      </c>
      <c r="FB202" s="36" t="str">
        <f t="shared" si="335"/>
        <v>No</v>
      </c>
      <c r="FC202" s="207"/>
      <c r="FD202" s="36" t="str">
        <f t="shared" si="89"/>
        <v>Recurring</v>
      </c>
      <c r="FE202" s="40">
        <f>COUNTIF($FD$2:$FD$92, FD202)/(COUNTIF($FD$2:$FD$92, "&lt;&gt;""") - COUNTIF($FD$2:$FD$92, ""))</f>
        <v>0.4</v>
      </c>
      <c r="FF202" s="36" t="str">
        <f t="shared" si="90"/>
        <v>B2B</v>
      </c>
      <c r="FG202" s="40">
        <f>COUNTIF($FF$2:$FF$92, FF202)/(COUNTIF($FF$2:$FF$92, "&lt;&gt;""") - COUNTIF($FF$2:$FF$92, ""))</f>
        <v>0.24444444444444444</v>
      </c>
      <c r="FH202" s="36" t="str">
        <f t="shared" si="91"/>
        <v>High</v>
      </c>
      <c r="FI202" s="40">
        <f>COUNTIF($FH$2:$FH$92, FH202)/(COUNTIF($FH$2:$FH$92, "&lt;&gt;""") - COUNTIF($FH$2:$FH$92, ""))</f>
        <v>0.53333333333333333</v>
      </c>
      <c r="FJ202" s="36" t="str">
        <f t="shared" si="92"/>
        <v>Low</v>
      </c>
      <c r="FK202" s="40">
        <f>COUNTIF($FJ$2:$FJ$92, FJ202)/(COUNTIF($FJ$2:$FJ$92, "&lt;&gt;""") - COUNTIF($FJ$2:$FJ$92, ""))</f>
        <v>0.41111111111111109</v>
      </c>
      <c r="FL202" s="207"/>
      <c r="FM202" s="192">
        <f t="shared" si="93"/>
        <v>3</v>
      </c>
      <c r="FN202" s="192" t="e">
        <f t="shared" ca="1" si="94"/>
        <v>#NAME?</v>
      </c>
      <c r="FO202" s="192" t="e">
        <f t="shared" ca="1" si="95"/>
        <v>#NAME?</v>
      </c>
      <c r="FP202" s="192" t="e">
        <f t="shared" ca="1" si="96"/>
        <v>#NAME?</v>
      </c>
      <c r="FQ202" s="209" t="e">
        <f t="shared" ca="1" si="97"/>
        <v>#NAME?</v>
      </c>
      <c r="FR202" s="208" t="e">
        <f t="shared" ca="1" si="272"/>
        <v>#NAME?</v>
      </c>
      <c r="FS202" s="36" t="str">
        <f t="shared" si="99"/>
        <v>Pre-Revenue</v>
      </c>
      <c r="FT202" s="196">
        <f>COUNTIF($FS$2:$FS$92, FS202)/(COUNTIF($FS$2:$FS$92, "&lt;&gt;""") - COUNTIF($FZ$2:$FZ$92, ""))</f>
        <v>0.2</v>
      </c>
      <c r="FU202" s="207"/>
      <c r="FV202" s="192" t="e">
        <f t="shared" ca="1" si="100"/>
        <v>#NAME?</v>
      </c>
      <c r="FW202" s="197" t="e">
        <f t="shared" ca="1" si="101"/>
        <v>#NAME?</v>
      </c>
      <c r="FX202" s="209" t="e">
        <f t="shared" ca="1" si="102"/>
        <v>#NAME?</v>
      </c>
      <c r="FY202" s="211" t="e">
        <f t="shared" ca="1" si="273"/>
        <v>#NAME?</v>
      </c>
      <c r="FZ202" s="36" t="str">
        <f t="shared" si="104"/>
        <v>Yes</v>
      </c>
      <c r="GA202" s="196">
        <f>COUNTIF($FZ$2:$FZ$92, FZ202)/(COUNTIF($FZ$2:$FZ$92, "&lt;&gt;""") - COUNTIF($FZ$2:$FZ$92, ""))</f>
        <v>0.23333333333333334</v>
      </c>
      <c r="GB202" s="196">
        <f t="shared" si="105"/>
        <v>0</v>
      </c>
      <c r="GC202" s="196">
        <f>COUNTIF($GB$2:$GB$92, GB202)/(COUNTIF($GB$2:$GB$92, "&lt;&gt;""") - COUNTIF($GB$2:$GB$92, ""))</f>
        <v>1.1111111111111112E-2</v>
      </c>
      <c r="GD202" s="196">
        <f t="shared" si="106"/>
        <v>0</v>
      </c>
      <c r="GE202" s="196">
        <f>COUNTIF($GD$2:$GD$92, GD202)/(COUNTIF($GD$2:$GD$92, "&lt;&gt;""") - COUNTIF($GD$2:$GD$92, ""))</f>
        <v>1.1111111111111112E-2</v>
      </c>
      <c r="GF202" s="207"/>
      <c r="GG202" s="36"/>
      <c r="GH202" s="209" t="e">
        <f t="shared" ca="1" si="107"/>
        <v>#NAME?</v>
      </c>
      <c r="GI202" s="212" t="e">
        <f t="shared" ca="1" si="274"/>
        <v>#NAME?</v>
      </c>
    </row>
    <row r="203" spans="1:191" ht="15.75" customHeight="1">
      <c r="A203" s="171"/>
      <c r="B203" s="171" t="s">
        <v>501</v>
      </c>
      <c r="C203" s="16">
        <v>1730695</v>
      </c>
      <c r="D203" s="233" t="s">
        <v>1566</v>
      </c>
      <c r="E203" s="234">
        <v>43777.414583333331</v>
      </c>
      <c r="F203" s="16" t="s">
        <v>329</v>
      </c>
      <c r="G203" s="235" t="s">
        <v>1567</v>
      </c>
      <c r="H203" s="235" t="s">
        <v>1568</v>
      </c>
      <c r="I203" s="241">
        <v>43788</v>
      </c>
      <c r="J203" s="233" t="s">
        <v>1569</v>
      </c>
      <c r="K203" s="233" t="s">
        <v>1566</v>
      </c>
      <c r="M203" s="231" t="s">
        <v>286</v>
      </c>
      <c r="N203" s="16" t="s">
        <v>278</v>
      </c>
      <c r="O203" s="16" t="s">
        <v>173</v>
      </c>
      <c r="P203" s="16" t="s">
        <v>174</v>
      </c>
      <c r="Q203" s="16" t="s">
        <v>35</v>
      </c>
      <c r="S203" s="16" t="s">
        <v>269</v>
      </c>
      <c r="T203" s="237"/>
      <c r="U203" s="213"/>
      <c r="V203" s="54"/>
      <c r="W203" s="54">
        <v>15000000</v>
      </c>
      <c r="X203" s="226">
        <v>0.2</v>
      </c>
      <c r="Y203" s="55">
        <f t="shared" si="158"/>
        <v>12000000</v>
      </c>
      <c r="Z203" s="274">
        <f t="shared" si="159"/>
        <v>12000000</v>
      </c>
      <c r="AA203" s="183" t="e">
        <f t="shared" ca="1" si="160"/>
        <v>#NAME?</v>
      </c>
      <c r="AB203" s="16" t="s">
        <v>178</v>
      </c>
      <c r="AC203" s="16" t="s">
        <v>179</v>
      </c>
      <c r="AD203" s="16" t="s">
        <v>180</v>
      </c>
      <c r="AE203" s="16" t="s">
        <v>227</v>
      </c>
      <c r="AF203" s="16" t="s">
        <v>39</v>
      </c>
      <c r="AG203" s="16" t="s">
        <v>181</v>
      </c>
      <c r="AH203" s="16" t="s">
        <v>190</v>
      </c>
      <c r="AI203" s="54"/>
      <c r="AJ203" s="278">
        <v>66000000000</v>
      </c>
      <c r="AK203" s="224" t="e">
        <f t="shared" ca="1" si="161"/>
        <v>#NAME?</v>
      </c>
      <c r="AL203" s="278">
        <v>66000000000</v>
      </c>
      <c r="AM203" s="224" t="e">
        <f t="shared" ca="1" si="162"/>
        <v>#NAME?</v>
      </c>
      <c r="AN203" s="278">
        <v>0.11</v>
      </c>
      <c r="AO203" s="185" t="e">
        <f t="shared" ca="1" si="63"/>
        <v>#NAME?</v>
      </c>
      <c r="AP203" s="185" t="s">
        <v>192</v>
      </c>
      <c r="AQ203" s="16" t="s">
        <v>181</v>
      </c>
      <c r="AR203" s="16" t="s">
        <v>181</v>
      </c>
      <c r="AS203" s="16" t="s">
        <v>42</v>
      </c>
      <c r="AT203" s="159"/>
      <c r="AU203" s="159"/>
      <c r="AV203" s="16" t="s">
        <v>190</v>
      </c>
      <c r="AW203" s="16" t="s">
        <v>227</v>
      </c>
      <c r="AX203" s="16" t="s">
        <v>227</v>
      </c>
      <c r="AY203" s="16" t="s">
        <v>227</v>
      </c>
      <c r="AZ203" s="54">
        <v>1201406</v>
      </c>
      <c r="BA203" s="55" t="e">
        <f t="shared" ca="1" si="163"/>
        <v>#NAME?</v>
      </c>
      <c r="BB203" s="278">
        <v>4539</v>
      </c>
      <c r="BC203" s="278">
        <v>0</v>
      </c>
      <c r="BD203" s="62" t="e">
        <f t="shared" ca="1" si="164"/>
        <v>#NAME?</v>
      </c>
      <c r="BE203" s="277">
        <f t="shared" si="165"/>
        <v>1</v>
      </c>
      <c r="BF203" s="62" t="e">
        <f t="shared" ca="1" si="166"/>
        <v>#NAME?</v>
      </c>
      <c r="BG203" s="16" t="s">
        <v>219</v>
      </c>
      <c r="BI203" s="16" t="s">
        <v>227</v>
      </c>
      <c r="BJ203" s="16">
        <v>1</v>
      </c>
      <c r="BK203" s="278">
        <v>2</v>
      </c>
      <c r="BL203" s="16" t="s">
        <v>227</v>
      </c>
      <c r="BM203" s="16" t="s">
        <v>190</v>
      </c>
      <c r="BN203" s="16" t="s">
        <v>190</v>
      </c>
      <c r="BO203" s="16" t="s">
        <v>190</v>
      </c>
      <c r="BP203" s="16">
        <v>1</v>
      </c>
      <c r="BQ203" s="16">
        <v>17</v>
      </c>
      <c r="BR203" s="16">
        <v>0</v>
      </c>
      <c r="BS203" s="16">
        <v>0</v>
      </c>
      <c r="BT203" s="205"/>
      <c r="BU203" s="16">
        <v>2</v>
      </c>
      <c r="BV203" s="16">
        <v>0</v>
      </c>
      <c r="BW203" s="16">
        <v>37</v>
      </c>
      <c r="BX203" s="16" t="s">
        <v>190</v>
      </c>
      <c r="BY203" s="205"/>
      <c r="BZ203" s="16">
        <v>2</v>
      </c>
      <c r="CA203" s="16">
        <v>0</v>
      </c>
      <c r="CB203" s="16">
        <v>33</v>
      </c>
      <c r="CC203" s="16" t="s">
        <v>190</v>
      </c>
      <c r="CD203" s="205"/>
      <c r="CI203" s="205"/>
      <c r="CN203" s="205"/>
      <c r="CS203" s="205"/>
      <c r="CX203" s="205"/>
      <c r="DC203" s="205"/>
      <c r="DH203" s="205"/>
      <c r="DM203" s="205"/>
      <c r="DN203" s="205"/>
      <c r="DO203" s="205"/>
      <c r="DQ203" s="206"/>
      <c r="DR203" s="188">
        <f t="shared" si="64"/>
        <v>2</v>
      </c>
      <c r="DS203" s="188"/>
      <c r="DT203" s="189">
        <f t="shared" si="65"/>
        <v>0</v>
      </c>
      <c r="DU203" s="189"/>
      <c r="DV203" s="188">
        <f t="shared" si="66"/>
        <v>35</v>
      </c>
      <c r="DW203" s="183" t="e">
        <f t="shared" ca="1" si="67"/>
        <v>#NAME?</v>
      </c>
      <c r="DX203" s="207"/>
      <c r="DY203" s="190" t="e">
        <f t="shared" ca="1" si="68"/>
        <v>#NAME?</v>
      </c>
      <c r="DZ203" s="191">
        <f t="shared" si="264"/>
        <v>3.1052631578947367</v>
      </c>
      <c r="EA203" s="191" t="str">
        <f t="shared" si="265"/>
        <v/>
      </c>
      <c r="EB203" s="191" t="str">
        <f t="shared" si="266"/>
        <v/>
      </c>
      <c r="EC203" s="208" t="e">
        <f t="shared" ca="1" si="72"/>
        <v>#NAME?</v>
      </c>
      <c r="ED203" s="36" t="str">
        <f t="shared" si="73"/>
        <v>SAFE</v>
      </c>
      <c r="EE203" s="193">
        <f>COUNTIF($ED$2:$ED$92, ED203)/(COUNTIF($ED$2:$ED$92, "&lt;&gt;""") - COUNTIF($ED$2:$ED$92, ""))</f>
        <v>0.37777777777777777</v>
      </c>
      <c r="EF203" s="36" t="str">
        <f t="shared" si="74"/>
        <v>Growth</v>
      </c>
      <c r="EG203" s="207"/>
      <c r="EH203" s="194" t="e">
        <f t="shared" ca="1" si="75"/>
        <v>#NAME?</v>
      </c>
      <c r="EI203" s="194" t="e">
        <f t="shared" ca="1" si="76"/>
        <v>#NAME?</v>
      </c>
      <c r="EJ203" s="209" t="e">
        <f t="shared" ca="1" si="77"/>
        <v>#NAME?</v>
      </c>
      <c r="EK203" s="208" t="e">
        <f t="shared" ca="1" si="267"/>
        <v>#NAME?</v>
      </c>
      <c r="EL203" s="36" t="str">
        <f t="shared" si="79"/>
        <v>No</v>
      </c>
      <c r="EM203" s="207"/>
      <c r="EN203" s="192">
        <f t="shared" si="268"/>
        <v>1.1904761904761905</v>
      </c>
      <c r="EO203" s="192">
        <f t="shared" si="269"/>
        <v>1</v>
      </c>
      <c r="EP203" s="209">
        <f t="shared" si="82"/>
        <v>2.1904761904761907</v>
      </c>
      <c r="EQ203" s="210">
        <f t="shared" si="270"/>
        <v>1.1495327102803741</v>
      </c>
      <c r="ER203" s="36" t="e">
        <f t="shared" ca="1" si="84"/>
        <v>#NAME?</v>
      </c>
      <c r="ES203" s="40">
        <f ca="1">COUNTIF($ER$2:$ER$92, ER203)/(COUNTIF($ER$2:$ER$92, "&lt;&gt;""") - COUNTIF($ER$2:$ER$92, ""))</f>
        <v>1</v>
      </c>
      <c r="ET203" s="36">
        <f t="shared" si="85"/>
        <v>2</v>
      </c>
      <c r="EU203" s="40">
        <f>COUNTIF($ET$2:$ET$92, ET203)/(COUNTIF($ET$2:$ET$92, "&lt;&gt;""") - COUNTIF($ET$2:$ET$92, ""))</f>
        <v>0.45555555555555555</v>
      </c>
      <c r="EV203" s="36">
        <f t="shared" si="86"/>
        <v>17</v>
      </c>
      <c r="EW203" s="40">
        <f>COUNTIF($EV$2:$EV$92, EV203)/(COUNTIF($EV$2:$EV$92, "&lt;&gt;""") - COUNTIF($EV$2:$EV$92, ""))</f>
        <v>0</v>
      </c>
      <c r="EX203" s="36" t="str">
        <f t="shared" si="87"/>
        <v>Yes</v>
      </c>
      <c r="EY203" s="40">
        <f>COUNTIF($EX$2:$EX$92, EX203)/(COUNTIF($EX$2:$EX$92, "&lt;&gt;""") - COUNTIF($EX$2:$EX$92, ""))</f>
        <v>0.27777777777777779</v>
      </c>
      <c r="EZ203" s="36" t="str">
        <f t="shared" ref="EZ203:FB203" si="336">BM203</f>
        <v>No</v>
      </c>
      <c r="FA203" s="36" t="str">
        <f t="shared" si="336"/>
        <v>No</v>
      </c>
      <c r="FB203" s="36" t="str">
        <f t="shared" si="336"/>
        <v>No</v>
      </c>
      <c r="FC203" s="207"/>
      <c r="FD203" s="36" t="str">
        <f t="shared" si="89"/>
        <v>Recurring</v>
      </c>
      <c r="FE203" s="40">
        <f>COUNTIF($FD$2:$FD$92, FD203)/(COUNTIF($FD$2:$FD$92, "&lt;&gt;""") - COUNTIF($FD$2:$FD$92, ""))</f>
        <v>0.4</v>
      </c>
      <c r="FF203" s="36" t="str">
        <f t="shared" si="90"/>
        <v>B2C</v>
      </c>
      <c r="FG203" s="40">
        <f>COUNTIF($FF$2:$FF$92, FF203)/(COUNTIF($FF$2:$FF$92, "&lt;&gt;""") - COUNTIF($FF$2:$FF$92, ""))</f>
        <v>0.41111111111111109</v>
      </c>
      <c r="FH203" s="36" t="str">
        <f t="shared" si="91"/>
        <v>High</v>
      </c>
      <c r="FI203" s="40">
        <f>COUNTIF($FH$2:$FH$92, FH203)/(COUNTIF($FH$2:$FH$92, "&lt;&gt;""") - COUNTIF($FH$2:$FH$92, ""))</f>
        <v>0.53333333333333333</v>
      </c>
      <c r="FJ203" s="36" t="str">
        <f t="shared" si="92"/>
        <v>Low</v>
      </c>
      <c r="FK203" s="40">
        <f>COUNTIF($FJ$2:$FJ$92, FJ203)/(COUNTIF($FJ$2:$FJ$92, "&lt;&gt;""") - COUNTIF($FJ$2:$FJ$92, ""))</f>
        <v>0.41111111111111109</v>
      </c>
      <c r="FL203" s="207"/>
      <c r="FM203" s="192">
        <f t="shared" si="93"/>
        <v>5</v>
      </c>
      <c r="FN203" s="192" t="e">
        <f t="shared" ca="1" si="94"/>
        <v>#NAME?</v>
      </c>
      <c r="FO203" s="192" t="e">
        <f t="shared" ca="1" si="95"/>
        <v>#NAME?</v>
      </c>
      <c r="FP203" s="192" t="e">
        <f t="shared" ca="1" si="96"/>
        <v>#NAME?</v>
      </c>
      <c r="FQ203" s="209" t="e">
        <f t="shared" ca="1" si="97"/>
        <v>#NAME?</v>
      </c>
      <c r="FR203" s="208" t="e">
        <f t="shared" ca="1" si="272"/>
        <v>#NAME?</v>
      </c>
      <c r="FS203" s="36" t="str">
        <f t="shared" si="99"/>
        <v>Profitable</v>
      </c>
      <c r="FT203" s="196">
        <f>COUNTIF($FS$2:$FS$92, FS203)/(COUNTIF($FS$2:$FS$92, "&lt;&gt;""") - COUNTIF($FZ$2:$FZ$92, ""))</f>
        <v>6.6666666666666666E-2</v>
      </c>
      <c r="FU203" s="207"/>
      <c r="FV203" s="192" t="e">
        <f t="shared" ca="1" si="100"/>
        <v>#NAME?</v>
      </c>
      <c r="FW203" s="197" t="e">
        <f t="shared" ca="1" si="101"/>
        <v>#NAME?</v>
      </c>
      <c r="FX203" s="209" t="e">
        <f t="shared" ca="1" si="102"/>
        <v>#NAME?</v>
      </c>
      <c r="FY203" s="211" t="e">
        <f t="shared" ca="1" si="273"/>
        <v>#NAME?</v>
      </c>
      <c r="FZ203" s="36" t="str">
        <f t="shared" si="104"/>
        <v>Yes</v>
      </c>
      <c r="GA203" s="196">
        <f>COUNTIF($FZ$2:$FZ$92, FZ203)/(COUNTIF($FZ$2:$FZ$92, "&lt;&gt;""") - COUNTIF($FZ$2:$FZ$92, ""))</f>
        <v>0.23333333333333334</v>
      </c>
      <c r="GB203" s="196">
        <f t="shared" si="105"/>
        <v>0</v>
      </c>
      <c r="GC203" s="196">
        <f>COUNTIF($GB$2:$GB$92, GB203)/(COUNTIF($GB$2:$GB$92, "&lt;&gt;""") - COUNTIF($GB$2:$GB$92, ""))</f>
        <v>1.1111111111111112E-2</v>
      </c>
      <c r="GD203" s="196">
        <f t="shared" si="106"/>
        <v>0</v>
      </c>
      <c r="GE203" s="196">
        <f>COUNTIF($GD$2:$GD$92, GD203)/(COUNTIF($GD$2:$GD$92, "&lt;&gt;""") - COUNTIF($GD$2:$GD$92, ""))</f>
        <v>1.1111111111111112E-2</v>
      </c>
      <c r="GF203" s="207"/>
      <c r="GG203" s="36"/>
      <c r="GH203" s="209" t="e">
        <f t="shared" ca="1" si="107"/>
        <v>#NAME?</v>
      </c>
      <c r="GI203" s="212" t="e">
        <f t="shared" ca="1" si="274"/>
        <v>#NAME?</v>
      </c>
    </row>
    <row r="204" spans="1:191" ht="15.75" customHeight="1">
      <c r="A204" s="171"/>
      <c r="B204" s="171" t="s">
        <v>501</v>
      </c>
      <c r="C204" s="16">
        <v>1764730</v>
      </c>
      <c r="D204" s="233" t="s">
        <v>1570</v>
      </c>
      <c r="E204" s="234">
        <v>43780.417361111111</v>
      </c>
      <c r="F204" s="16" t="s">
        <v>329</v>
      </c>
      <c r="G204" s="235" t="s">
        <v>1571</v>
      </c>
      <c r="H204" s="235" t="s">
        <v>1572</v>
      </c>
      <c r="I204" s="241">
        <v>43777</v>
      </c>
      <c r="J204" s="233" t="s">
        <v>1573</v>
      </c>
      <c r="K204" s="233" t="s">
        <v>1570</v>
      </c>
      <c r="M204" s="35" t="s">
        <v>293</v>
      </c>
      <c r="N204" s="16" t="s">
        <v>168</v>
      </c>
      <c r="O204" s="16" t="s">
        <v>173</v>
      </c>
      <c r="P204" s="16" t="s">
        <v>174</v>
      </c>
      <c r="Q204" s="16" t="s">
        <v>35</v>
      </c>
      <c r="S204" s="16" t="s">
        <v>269</v>
      </c>
      <c r="T204" s="237"/>
      <c r="U204" s="213"/>
      <c r="V204" s="54"/>
      <c r="W204" s="54">
        <v>9000000</v>
      </c>
      <c r="X204" s="226">
        <v>0.2</v>
      </c>
      <c r="Y204" s="55">
        <f t="shared" si="158"/>
        <v>7200000</v>
      </c>
      <c r="Z204" s="274">
        <f t="shared" si="159"/>
        <v>7200000</v>
      </c>
      <c r="AA204" s="183" t="e">
        <f t="shared" ca="1" si="160"/>
        <v>#NAME?</v>
      </c>
      <c r="AB204" s="16" t="s">
        <v>36</v>
      </c>
      <c r="AC204" s="16" t="s">
        <v>179</v>
      </c>
      <c r="AD204" s="16" t="s">
        <v>38</v>
      </c>
      <c r="AE204" s="16" t="s">
        <v>227</v>
      </c>
      <c r="AF204" s="16" t="s">
        <v>181</v>
      </c>
      <c r="AG204" s="16" t="s">
        <v>181</v>
      </c>
      <c r="AH204" s="16" t="s">
        <v>190</v>
      </c>
      <c r="AI204" s="54"/>
      <c r="AJ204" s="278">
        <v>59400000000</v>
      </c>
      <c r="AK204" s="224" t="e">
        <f t="shared" ca="1" si="161"/>
        <v>#NAME?</v>
      </c>
      <c r="AL204" s="278">
        <v>59400000000</v>
      </c>
      <c r="AM204" s="224" t="e">
        <f t="shared" ca="1" si="162"/>
        <v>#NAME?</v>
      </c>
      <c r="AN204" s="278">
        <v>0.08</v>
      </c>
      <c r="AO204" s="185" t="e">
        <f t="shared" ca="1" si="63"/>
        <v>#NAME?</v>
      </c>
      <c r="AP204" s="185" t="s">
        <v>192</v>
      </c>
      <c r="AQ204" s="16" t="s">
        <v>181</v>
      </c>
      <c r="AR204" s="16" t="s">
        <v>181</v>
      </c>
      <c r="AS204" s="16" t="s">
        <v>42</v>
      </c>
      <c r="AT204" s="159"/>
      <c r="AU204" s="159"/>
      <c r="AV204" s="16" t="s">
        <v>190</v>
      </c>
      <c r="AW204" s="16" t="s">
        <v>190</v>
      </c>
      <c r="AX204" s="16" t="s">
        <v>227</v>
      </c>
      <c r="AY204" s="16" t="s">
        <v>227</v>
      </c>
      <c r="AZ204" s="54">
        <v>2089477</v>
      </c>
      <c r="BA204" s="55" t="e">
        <f t="shared" ca="1" si="163"/>
        <v>#NAME?</v>
      </c>
      <c r="BB204" s="278">
        <v>44417</v>
      </c>
      <c r="BC204" s="278">
        <v>1045000</v>
      </c>
      <c r="BD204" s="62" t="e">
        <f t="shared" ca="1" si="164"/>
        <v>#NAME?</v>
      </c>
      <c r="BE204" s="277">
        <f t="shared" si="165"/>
        <v>4.250430622009569E-2</v>
      </c>
      <c r="BF204" s="62" t="e">
        <f t="shared" ca="1" si="166"/>
        <v>#NAME?</v>
      </c>
      <c r="BG204" s="16" t="s">
        <v>202</v>
      </c>
      <c r="BI204" s="16" t="s">
        <v>190</v>
      </c>
      <c r="BJ204" s="16">
        <v>0</v>
      </c>
      <c r="BK204" s="278">
        <v>1</v>
      </c>
      <c r="BL204" s="16" t="s">
        <v>227</v>
      </c>
      <c r="BM204" s="16" t="s">
        <v>190</v>
      </c>
      <c r="BN204" s="16" t="s">
        <v>227</v>
      </c>
      <c r="BO204" s="16" t="s">
        <v>190</v>
      </c>
      <c r="BP204" s="16">
        <v>2</v>
      </c>
      <c r="BQ204" s="16">
        <v>5</v>
      </c>
      <c r="BR204" s="16">
        <v>0</v>
      </c>
      <c r="BS204" s="16">
        <v>0</v>
      </c>
      <c r="BT204" s="205"/>
      <c r="BU204" s="16">
        <v>2</v>
      </c>
      <c r="BV204" s="16">
        <v>0</v>
      </c>
      <c r="BW204" s="16">
        <v>35</v>
      </c>
      <c r="BX204" s="16" t="s">
        <v>190</v>
      </c>
      <c r="BY204" s="205"/>
      <c r="CD204" s="205"/>
      <c r="CI204" s="205"/>
      <c r="CN204" s="205"/>
      <c r="CS204" s="205"/>
      <c r="CX204" s="205"/>
      <c r="DC204" s="205"/>
      <c r="DH204" s="205"/>
      <c r="DM204" s="205"/>
      <c r="DN204" s="205"/>
      <c r="DO204" s="205"/>
      <c r="DQ204" s="206"/>
      <c r="DR204" s="188">
        <f t="shared" si="64"/>
        <v>2</v>
      </c>
      <c r="DS204" s="188"/>
      <c r="DT204" s="189">
        <f t="shared" si="65"/>
        <v>0</v>
      </c>
      <c r="DU204" s="189"/>
      <c r="DV204" s="188">
        <f t="shared" si="66"/>
        <v>35</v>
      </c>
      <c r="DW204" s="183" t="e">
        <f t="shared" ca="1" si="67"/>
        <v>#NAME?</v>
      </c>
      <c r="DX204" s="207"/>
      <c r="DY204" s="190" t="e">
        <f t="shared" ca="1" si="68"/>
        <v>#NAME?</v>
      </c>
      <c r="DZ204" s="191">
        <f t="shared" si="264"/>
        <v>3.1052631578947367</v>
      </c>
      <c r="EA204" s="191" t="str">
        <f t="shared" si="265"/>
        <v/>
      </c>
      <c r="EB204" s="191" t="str">
        <f t="shared" si="266"/>
        <v/>
      </c>
      <c r="EC204" s="208" t="e">
        <f t="shared" ca="1" si="72"/>
        <v>#NAME?</v>
      </c>
      <c r="ED204" s="36" t="str">
        <f t="shared" si="73"/>
        <v>SAFE</v>
      </c>
      <c r="EE204" s="193">
        <f>COUNTIF($ED$2:$ED$92, ED204)/(COUNTIF($ED$2:$ED$92, "&lt;&gt;""") - COUNTIF($ED$2:$ED$92, ""))</f>
        <v>0.37777777777777777</v>
      </c>
      <c r="EF204" s="36" t="str">
        <f t="shared" si="74"/>
        <v>Growth</v>
      </c>
      <c r="EG204" s="207"/>
      <c r="EH204" s="194" t="e">
        <f t="shared" ca="1" si="75"/>
        <v>#NAME?</v>
      </c>
      <c r="EI204" s="194" t="e">
        <f t="shared" ca="1" si="76"/>
        <v>#NAME?</v>
      </c>
      <c r="EJ204" s="209" t="e">
        <f t="shared" ca="1" si="77"/>
        <v>#NAME?</v>
      </c>
      <c r="EK204" s="208" t="e">
        <f t="shared" ca="1" si="267"/>
        <v>#NAME?</v>
      </c>
      <c r="EL204" s="36" t="str">
        <f t="shared" si="79"/>
        <v>No</v>
      </c>
      <c r="EM204" s="207"/>
      <c r="EN204" s="192">
        <f t="shared" si="268"/>
        <v>1.1904761904761905</v>
      </c>
      <c r="EO204" s="192">
        <f t="shared" si="269"/>
        <v>1</v>
      </c>
      <c r="EP204" s="209">
        <f t="shared" si="82"/>
        <v>2.1904761904761907</v>
      </c>
      <c r="EQ204" s="210">
        <f t="shared" si="270"/>
        <v>1.1495327102803741</v>
      </c>
      <c r="ER204" s="36" t="e">
        <f t="shared" ca="1" si="84"/>
        <v>#NAME?</v>
      </c>
      <c r="ES204" s="40">
        <f ca="1">COUNTIF($ER$2:$ER$92, ER204)/(COUNTIF($ER$2:$ER$92, "&lt;&gt;""") - COUNTIF($ER$2:$ER$92, ""))</f>
        <v>1</v>
      </c>
      <c r="ET204" s="36">
        <f t="shared" si="85"/>
        <v>1</v>
      </c>
      <c r="EU204" s="40">
        <f>COUNTIF($ET$2:$ET$92, ET204)/(COUNTIF($ET$2:$ET$92, "&lt;&gt;""") - COUNTIF($ET$2:$ET$92, ""))</f>
        <v>0.45555555555555555</v>
      </c>
      <c r="EV204" s="36">
        <f t="shared" si="86"/>
        <v>5</v>
      </c>
      <c r="EW204" s="40">
        <f>COUNTIF($EV$2:$EV$92, EV204)/(COUNTIF($EV$2:$EV$92, "&lt;&gt;""") - COUNTIF($EV$2:$EV$92, ""))</f>
        <v>0.13333333333333333</v>
      </c>
      <c r="EX204" s="36" t="str">
        <f t="shared" si="87"/>
        <v>Yes</v>
      </c>
      <c r="EY204" s="40">
        <f>COUNTIF($EX$2:$EX$92, EX204)/(COUNTIF($EX$2:$EX$92, "&lt;&gt;""") - COUNTIF($EX$2:$EX$92, ""))</f>
        <v>0.27777777777777779</v>
      </c>
      <c r="EZ204" s="36" t="str">
        <f t="shared" ref="EZ204:FB204" si="337">BM204</f>
        <v>No</v>
      </c>
      <c r="FA204" s="36" t="str">
        <f t="shared" si="337"/>
        <v>Yes</v>
      </c>
      <c r="FB204" s="36" t="str">
        <f t="shared" si="337"/>
        <v>No</v>
      </c>
      <c r="FC204" s="207"/>
      <c r="FD204" s="36" t="str">
        <f t="shared" si="89"/>
        <v>Transactional</v>
      </c>
      <c r="FE204" s="40">
        <f>COUNTIF($FD$2:$FD$92, FD204)/(COUNTIF($FD$2:$FD$92, "&lt;&gt;""") - COUNTIF($FD$2:$FD$92, ""))</f>
        <v>0.6</v>
      </c>
      <c r="FF204" s="36" t="str">
        <f t="shared" si="90"/>
        <v>B2C</v>
      </c>
      <c r="FG204" s="40">
        <f>COUNTIF($FF$2:$FF$92, FF204)/(COUNTIF($FF$2:$FF$92, "&lt;&gt;""") - COUNTIF($FF$2:$FF$92, ""))</f>
        <v>0.41111111111111109</v>
      </c>
      <c r="FH204" s="36" t="str">
        <f t="shared" si="91"/>
        <v>Low</v>
      </c>
      <c r="FI204" s="40">
        <f>COUNTIF($FH$2:$FH$92, FH204)/(COUNTIF($FH$2:$FH$92, "&lt;&gt;""") - COUNTIF($FH$2:$FH$92, ""))</f>
        <v>0.46666666666666667</v>
      </c>
      <c r="FJ204" s="36" t="str">
        <f t="shared" si="92"/>
        <v>Low</v>
      </c>
      <c r="FK204" s="40">
        <f>COUNTIF($FJ$2:$FJ$92, FJ204)/(COUNTIF($FJ$2:$FJ$92, "&lt;&gt;""") - COUNTIF($FJ$2:$FJ$92, ""))</f>
        <v>0.41111111111111109</v>
      </c>
      <c r="FL204" s="207"/>
      <c r="FM204" s="192">
        <f t="shared" si="93"/>
        <v>5</v>
      </c>
      <c r="FN204" s="192" t="e">
        <f t="shared" ca="1" si="94"/>
        <v>#NAME?</v>
      </c>
      <c r="FO204" s="192" t="e">
        <f t="shared" ca="1" si="95"/>
        <v>#NAME?</v>
      </c>
      <c r="FP204" s="192" t="e">
        <f t="shared" ca="1" si="96"/>
        <v>#NAME?</v>
      </c>
      <c r="FQ204" s="209" t="e">
        <f t="shared" ca="1" si="97"/>
        <v>#NAME?</v>
      </c>
      <c r="FR204" s="208" t="e">
        <f t="shared" ca="1" si="272"/>
        <v>#NAME?</v>
      </c>
      <c r="FS204" s="36" t="str">
        <f t="shared" si="99"/>
        <v>Pre-Profit</v>
      </c>
      <c r="FT204" s="196">
        <f>COUNTIF($FS$2:$FS$92, FS204)/(COUNTIF($FS$2:$FS$92, "&lt;&gt;""") - COUNTIF($FZ$2:$FZ$92, ""))</f>
        <v>0.51111111111111107</v>
      </c>
      <c r="FU204" s="207"/>
      <c r="FV204" s="192" t="e">
        <f t="shared" ca="1" si="100"/>
        <v>#NAME?</v>
      </c>
      <c r="FW204" s="197" t="e">
        <f t="shared" ca="1" si="101"/>
        <v>#NAME?</v>
      </c>
      <c r="FX204" s="209" t="e">
        <f t="shared" ca="1" si="102"/>
        <v>#NAME?</v>
      </c>
      <c r="FY204" s="211" t="e">
        <f t="shared" ca="1" si="273"/>
        <v>#NAME?</v>
      </c>
      <c r="FZ204" s="36" t="str">
        <f t="shared" si="104"/>
        <v>No</v>
      </c>
      <c r="GA204" s="196">
        <f>COUNTIF($FZ$2:$FZ$92, FZ204)/(COUNTIF($FZ$2:$FZ$92, "&lt;&gt;""") - COUNTIF($FZ$2:$FZ$92, ""))</f>
        <v>0.76666666666666672</v>
      </c>
      <c r="GB204" s="196">
        <f t="shared" si="105"/>
        <v>0</v>
      </c>
      <c r="GC204" s="196">
        <f>COUNTIF($GB$2:$GB$92, GB204)/(COUNTIF($GB$2:$GB$92, "&lt;&gt;""") - COUNTIF($GB$2:$GB$92, ""))</f>
        <v>1.1111111111111112E-2</v>
      </c>
      <c r="GD204" s="196">
        <f t="shared" si="106"/>
        <v>0</v>
      </c>
      <c r="GE204" s="196">
        <f>COUNTIF($GD$2:$GD$92, GD204)/(COUNTIF($GD$2:$GD$92, "&lt;&gt;""") - COUNTIF($GD$2:$GD$92, ""))</f>
        <v>1.1111111111111112E-2</v>
      </c>
      <c r="GF204" s="207"/>
      <c r="GG204" s="36"/>
      <c r="GH204" s="209" t="e">
        <f t="shared" ca="1" si="107"/>
        <v>#NAME?</v>
      </c>
      <c r="GI204" s="212" t="e">
        <f t="shared" ca="1" si="274"/>
        <v>#NAME?</v>
      </c>
    </row>
    <row r="205" spans="1:191" ht="15.75" customHeight="1">
      <c r="A205" s="171"/>
      <c r="B205" s="171" t="s">
        <v>501</v>
      </c>
      <c r="C205" s="16">
        <v>1788672</v>
      </c>
      <c r="D205" s="233" t="s">
        <v>1574</v>
      </c>
      <c r="E205" s="234">
        <v>43780.588194444441</v>
      </c>
      <c r="F205" s="16" t="s">
        <v>344</v>
      </c>
      <c r="G205" s="235" t="s">
        <v>1575</v>
      </c>
      <c r="H205" s="235" t="s">
        <v>1576</v>
      </c>
      <c r="I205" s="241">
        <v>43767</v>
      </c>
      <c r="J205" s="233" t="s">
        <v>1577</v>
      </c>
      <c r="K205" s="233" t="s">
        <v>1578</v>
      </c>
      <c r="M205" s="16" t="s">
        <v>1037</v>
      </c>
      <c r="N205" s="16" t="s">
        <v>168</v>
      </c>
      <c r="O205" s="16" t="s">
        <v>173</v>
      </c>
      <c r="P205" s="16" t="s">
        <v>197</v>
      </c>
      <c r="Q205" s="16" t="s">
        <v>35</v>
      </c>
      <c r="S205" s="16" t="s">
        <v>269</v>
      </c>
      <c r="T205" s="237"/>
      <c r="U205" s="213"/>
      <c r="V205" s="54"/>
      <c r="W205" s="54">
        <v>9000000</v>
      </c>
      <c r="X205" s="226">
        <v>0</v>
      </c>
      <c r="Y205" s="55">
        <f t="shared" si="158"/>
        <v>9000000</v>
      </c>
      <c r="Z205" s="274">
        <f t="shared" si="159"/>
        <v>9000000</v>
      </c>
      <c r="AA205" s="183" t="e">
        <f t="shared" ca="1" si="160"/>
        <v>#NAME?</v>
      </c>
      <c r="AB205" s="16" t="s">
        <v>36</v>
      </c>
      <c r="AC205" s="16" t="s">
        <v>218</v>
      </c>
      <c r="AD205" s="16" t="s">
        <v>38</v>
      </c>
      <c r="AE205" s="16" t="s">
        <v>227</v>
      </c>
      <c r="AF205" s="16" t="s">
        <v>181</v>
      </c>
      <c r="AG205" s="16" t="s">
        <v>181</v>
      </c>
      <c r="AH205" s="16" t="s">
        <v>227</v>
      </c>
      <c r="AI205" s="54"/>
      <c r="AJ205" s="278">
        <v>50600000000</v>
      </c>
      <c r="AK205" s="224" t="e">
        <f t="shared" ca="1" si="161"/>
        <v>#NAME?</v>
      </c>
      <c r="AL205" s="278">
        <v>50600000000</v>
      </c>
      <c r="AM205" s="224" t="e">
        <f t="shared" ca="1" si="162"/>
        <v>#NAME?</v>
      </c>
      <c r="AN205" s="278">
        <v>0.02</v>
      </c>
      <c r="AO205" s="185" t="e">
        <f t="shared" ca="1" si="63"/>
        <v>#NAME?</v>
      </c>
      <c r="AP205" s="185" t="s">
        <v>169</v>
      </c>
      <c r="AQ205" s="16" t="s">
        <v>181</v>
      </c>
      <c r="AR205" s="16" t="s">
        <v>181</v>
      </c>
      <c r="AS205" s="16" t="s">
        <v>42</v>
      </c>
      <c r="AT205" s="159"/>
      <c r="AU205" s="159"/>
      <c r="AV205" s="16" t="s">
        <v>227</v>
      </c>
      <c r="AW205" s="16" t="s">
        <v>190</v>
      </c>
      <c r="AX205" s="16" t="s">
        <v>227</v>
      </c>
      <c r="AY205" s="16" t="s">
        <v>227</v>
      </c>
      <c r="AZ205" s="54">
        <v>1349052</v>
      </c>
      <c r="BA205" s="55" t="e">
        <f t="shared" ca="1" si="163"/>
        <v>#NAME?</v>
      </c>
      <c r="BB205" s="278">
        <v>14780</v>
      </c>
      <c r="BC205" s="278">
        <v>570230</v>
      </c>
      <c r="BD205" s="62" t="e">
        <f t="shared" ca="1" si="164"/>
        <v>#NAME?</v>
      </c>
      <c r="BE205" s="277">
        <f t="shared" si="165"/>
        <v>2.5919365869912142E-2</v>
      </c>
      <c r="BF205" s="62" t="e">
        <f t="shared" ca="1" si="166"/>
        <v>#NAME?</v>
      </c>
      <c r="BG205" s="16" t="s">
        <v>202</v>
      </c>
      <c r="BI205" s="16" t="s">
        <v>190</v>
      </c>
      <c r="BJ205" s="16">
        <v>0</v>
      </c>
      <c r="BK205" s="278">
        <v>2</v>
      </c>
      <c r="BL205" s="16" t="s">
        <v>227</v>
      </c>
      <c r="BM205" s="16" t="s">
        <v>190</v>
      </c>
      <c r="BN205" s="16" t="s">
        <v>190</v>
      </c>
      <c r="BO205" s="16" t="s">
        <v>190</v>
      </c>
      <c r="BP205" s="16">
        <v>5</v>
      </c>
      <c r="BQ205" s="16">
        <v>5</v>
      </c>
      <c r="BR205" s="16">
        <v>0</v>
      </c>
      <c r="BS205" s="16">
        <v>0</v>
      </c>
      <c r="BT205" s="205"/>
      <c r="BU205" s="16">
        <v>3</v>
      </c>
      <c r="BV205" s="16">
        <v>0</v>
      </c>
      <c r="BW205" s="16">
        <v>30</v>
      </c>
      <c r="BX205" s="16" t="s">
        <v>190</v>
      </c>
      <c r="BY205" s="205"/>
      <c r="BZ205" s="16">
        <v>3</v>
      </c>
      <c r="CA205" s="16">
        <v>0</v>
      </c>
      <c r="CB205" s="16">
        <v>34</v>
      </c>
      <c r="CC205" s="16" t="s">
        <v>190</v>
      </c>
      <c r="CD205" s="205"/>
      <c r="CI205" s="205"/>
      <c r="CN205" s="205"/>
      <c r="CS205" s="205"/>
      <c r="CX205" s="205"/>
      <c r="DC205" s="205"/>
      <c r="DH205" s="205"/>
      <c r="DM205" s="205"/>
      <c r="DN205" s="205"/>
      <c r="DO205" s="205"/>
      <c r="DQ205" s="206"/>
      <c r="DR205" s="188">
        <f t="shared" si="64"/>
        <v>3</v>
      </c>
      <c r="DS205" s="188"/>
      <c r="DT205" s="189">
        <f t="shared" si="65"/>
        <v>0</v>
      </c>
      <c r="DU205" s="189"/>
      <c r="DV205" s="188">
        <f t="shared" si="66"/>
        <v>32</v>
      </c>
      <c r="DW205" s="183" t="e">
        <f t="shared" ca="1" si="67"/>
        <v>#NAME?</v>
      </c>
      <c r="DX205" s="207"/>
      <c r="DY205" s="190" t="e">
        <f t="shared" ca="1" si="68"/>
        <v>#NAME?</v>
      </c>
      <c r="DZ205" s="191">
        <f t="shared" ref="DZ205:DZ268" si="338">IF(X205 &lt;&gt; "", 1+((X205-MIN(discount_rates))*(4)/(MAX(discount_rates) - MIN(discount_rates))), "")</f>
        <v>1</v>
      </c>
      <c r="EA205" s="191" t="str">
        <f t="shared" ref="EA205:EA268" si="339">IF(S205="Debt", (1+((U205-MIN(interest_rates))*(4)/(MAX(interest_rates) - MIN(interest_rates)))), "")</f>
        <v/>
      </c>
      <c r="EB205" s="191" t="str">
        <f t="shared" ref="EB205:EB268" si="340">IF(OR(S205="Revenue Share", S205="Profit Share"), (1+((T205-MIN(return_mutiples))*(4)/(MAX(return_mutiples) - MIN(return_mutiples)))), "")</f>
        <v/>
      </c>
      <c r="EC205" s="208" t="e">
        <f t="shared" ca="1" si="72"/>
        <v>#NAME?</v>
      </c>
      <c r="ED205" s="36" t="str">
        <f t="shared" si="73"/>
        <v>SAFE</v>
      </c>
      <c r="EE205" s="193">
        <f>COUNTIF($ED$2:$ED$92, ED205)/(COUNTIF($ED$2:$ED$92, "&lt;&gt;""") - COUNTIF($ED$2:$ED$92, ""))</f>
        <v>0.37777777777777777</v>
      </c>
      <c r="EF205" s="36" t="str">
        <f t="shared" si="74"/>
        <v>Growth</v>
      </c>
      <c r="EG205" s="207"/>
      <c r="EH205" s="194" t="e">
        <f t="shared" ca="1" si="75"/>
        <v>#NAME?</v>
      </c>
      <c r="EI205" s="194" t="e">
        <f t="shared" ca="1" si="76"/>
        <v>#NAME?</v>
      </c>
      <c r="EJ205" s="209" t="e">
        <f t="shared" ca="1" si="77"/>
        <v>#NAME?</v>
      </c>
      <c r="EK205" s="208" t="e">
        <f t="shared" ref="EK205:EK268" ca="1" si="341">1+((EJ205-MIN(market_ratings_sums))*(4)/(MAX(market_ratings_sums) - MIN(market_ratings_sums)))</f>
        <v>#NAME?</v>
      </c>
      <c r="EL205" s="36" t="str">
        <f t="shared" si="79"/>
        <v>Yes</v>
      </c>
      <c r="EM205" s="207"/>
      <c r="EN205" s="192">
        <f t="shared" ref="EN205:EN268" si="342">1+((DR205-MIN(industry_experiences))*(4)/(MAX(industry_experiences) - MIN(industry_experiences)))</f>
        <v>1.2857142857142856</v>
      </c>
      <c r="EO205" s="192">
        <f t="shared" ref="EO205:EO268" si="343">1+((DT205-MIN(exits))*(4)/(MAX(exits) - MIN(exits)))</f>
        <v>1</v>
      </c>
      <c r="EP205" s="209">
        <f t="shared" si="82"/>
        <v>2.2857142857142856</v>
      </c>
      <c r="EQ205" s="210">
        <f t="shared" ref="EQ205:EQ268" si="344">1+((EP205-MIN(team_ratings_sums))*(4)/(MAX(team_ratings_sums) - MIN(team_ratings_sums)))</f>
        <v>1.2242990654205608</v>
      </c>
      <c r="ER205" s="36" t="e">
        <f t="shared" ca="1" si="84"/>
        <v>#NAME?</v>
      </c>
      <c r="ES205" s="40">
        <f ca="1">COUNTIF($ER$2:$ER$92, ER205)/(COUNTIF($ER$2:$ER$92, "&lt;&gt;""") - COUNTIF($ER$2:$ER$92, ""))</f>
        <v>1</v>
      </c>
      <c r="ET205" s="36">
        <f t="shared" si="85"/>
        <v>2</v>
      </c>
      <c r="EU205" s="40">
        <f>COUNTIF($ET$2:$ET$92, ET205)/(COUNTIF($ET$2:$ET$92, "&lt;&gt;""") - COUNTIF($ET$2:$ET$92, ""))</f>
        <v>0.45555555555555555</v>
      </c>
      <c r="EV205" s="36">
        <f t="shared" si="86"/>
        <v>5</v>
      </c>
      <c r="EW205" s="40">
        <f>COUNTIF($EV$2:$EV$92, EV205)/(COUNTIF($EV$2:$EV$92, "&lt;&gt;""") - COUNTIF($EV$2:$EV$92, ""))</f>
        <v>0.13333333333333333</v>
      </c>
      <c r="EX205" s="36" t="str">
        <f t="shared" si="87"/>
        <v>Yes</v>
      </c>
      <c r="EY205" s="40">
        <f>COUNTIF($EX$2:$EX$92, EX205)/(COUNTIF($EX$2:$EX$92, "&lt;&gt;""") - COUNTIF($EX$2:$EX$92, ""))</f>
        <v>0.27777777777777779</v>
      </c>
      <c r="EZ205" s="36" t="str">
        <f t="shared" ref="EZ205:FB205" si="345">BM205</f>
        <v>No</v>
      </c>
      <c r="FA205" s="36" t="str">
        <f t="shared" si="345"/>
        <v>No</v>
      </c>
      <c r="FB205" s="36" t="str">
        <f t="shared" si="345"/>
        <v>No</v>
      </c>
      <c r="FC205" s="207"/>
      <c r="FD205" s="36" t="str">
        <f t="shared" si="89"/>
        <v>Transactional</v>
      </c>
      <c r="FE205" s="40">
        <f>COUNTIF($FD$2:$FD$92, FD205)/(COUNTIF($FD$2:$FD$92, "&lt;&gt;""") - COUNTIF($FD$2:$FD$92, ""))</f>
        <v>0.6</v>
      </c>
      <c r="FF205" s="36" t="str">
        <f t="shared" si="90"/>
        <v>B2B/B2C</v>
      </c>
      <c r="FG205" s="40">
        <f>COUNTIF($FF$2:$FF$92, FF205)/(COUNTIF($FF$2:$FF$92, "&lt;&gt;""") - COUNTIF($FF$2:$FF$92, ""))</f>
        <v>0.27777777777777779</v>
      </c>
      <c r="FH205" s="36" t="str">
        <f t="shared" si="91"/>
        <v>Low</v>
      </c>
      <c r="FI205" s="40">
        <f>COUNTIF($FH$2:$FH$92, FH205)/(COUNTIF($FH$2:$FH$92, "&lt;&gt;""") - COUNTIF($FH$2:$FH$92, ""))</f>
        <v>0.46666666666666667</v>
      </c>
      <c r="FJ205" s="36" t="str">
        <f t="shared" si="92"/>
        <v>Low</v>
      </c>
      <c r="FK205" s="40">
        <f>COUNTIF($FJ$2:$FJ$92, FJ205)/(COUNTIF($FJ$2:$FJ$92, "&lt;&gt;""") - COUNTIF($FJ$2:$FJ$92, ""))</f>
        <v>0.41111111111111109</v>
      </c>
      <c r="FL205" s="207"/>
      <c r="FM205" s="192">
        <f t="shared" si="93"/>
        <v>5</v>
      </c>
      <c r="FN205" s="192" t="e">
        <f t="shared" ca="1" si="94"/>
        <v>#NAME?</v>
      </c>
      <c r="FO205" s="192" t="e">
        <f t="shared" ca="1" si="95"/>
        <v>#NAME?</v>
      </c>
      <c r="FP205" s="192" t="e">
        <f t="shared" ca="1" si="96"/>
        <v>#NAME?</v>
      </c>
      <c r="FQ205" s="209" t="e">
        <f t="shared" ca="1" si="97"/>
        <v>#NAME?</v>
      </c>
      <c r="FR205" s="208" t="e">
        <f t="shared" ref="FR205:FR268" ca="1" si="346">1+((FQ205-MIN(performance_ratings_sums))*(4)/(MAX(performance_ratings_sums) - MIN(performance_ratings_sums)))</f>
        <v>#NAME?</v>
      </c>
      <c r="FS205" s="36" t="str">
        <f t="shared" si="99"/>
        <v>Pre-Profit</v>
      </c>
      <c r="FT205" s="196">
        <f>COUNTIF($FS$2:$FS$92, FS205)/(COUNTIF($FS$2:$FS$92, "&lt;&gt;""") - COUNTIF($FZ$2:$FZ$92, ""))</f>
        <v>0.51111111111111107</v>
      </c>
      <c r="FU205" s="207"/>
      <c r="FV205" s="192" t="e">
        <f t="shared" ca="1" si="100"/>
        <v>#NAME?</v>
      </c>
      <c r="FW205" s="197" t="e">
        <f t="shared" ca="1" si="101"/>
        <v>#NAME?</v>
      </c>
      <c r="FX205" s="209" t="e">
        <f t="shared" ca="1" si="102"/>
        <v>#NAME?</v>
      </c>
      <c r="FY205" s="211" t="e">
        <f t="shared" ref="FY205:FY268" ca="1" si="347">1+((FX205-MIN(diffrentiation_sums))*(4)/(MAX(diffrentiation_sums) - MIN(diffrentiation_sums)))</f>
        <v>#NAME?</v>
      </c>
      <c r="FZ205" s="36" t="str">
        <f t="shared" si="104"/>
        <v>No</v>
      </c>
      <c r="GA205" s="196">
        <f>COUNTIF($FZ$2:$FZ$92, FZ205)/(COUNTIF($FZ$2:$FZ$92, "&lt;&gt;""") - COUNTIF($FZ$2:$FZ$92, ""))</f>
        <v>0.76666666666666672</v>
      </c>
      <c r="GB205" s="196">
        <f t="shared" si="105"/>
        <v>0</v>
      </c>
      <c r="GC205" s="196">
        <f>COUNTIF($GB$2:$GB$92, GB205)/(COUNTIF($GB$2:$GB$92, "&lt;&gt;""") - COUNTIF($GB$2:$GB$92, ""))</f>
        <v>1.1111111111111112E-2</v>
      </c>
      <c r="GD205" s="196">
        <f t="shared" si="106"/>
        <v>0</v>
      </c>
      <c r="GE205" s="196">
        <f>COUNTIF($GD$2:$GD$92, GD205)/(COUNTIF($GD$2:$GD$92, "&lt;&gt;""") - COUNTIF($GD$2:$GD$92, ""))</f>
        <v>1.1111111111111112E-2</v>
      </c>
      <c r="GF205" s="207"/>
      <c r="GG205" s="36"/>
      <c r="GH205" s="209" t="e">
        <f t="shared" ca="1" si="107"/>
        <v>#NAME?</v>
      </c>
      <c r="GI205" s="212" t="e">
        <f t="shared" ref="GI205:GI268" ca="1" si="348">1+((GH205-MIN(ratings_sums))*(4)/(MAX(ratings_sums) - MIN(ratings_sums)))</f>
        <v>#NAME?</v>
      </c>
    </row>
    <row r="206" spans="1:191" ht="15.75" customHeight="1">
      <c r="A206" s="171"/>
      <c r="B206" s="171" t="s">
        <v>501</v>
      </c>
      <c r="C206" s="16">
        <v>1793349</v>
      </c>
      <c r="D206" s="233" t="s">
        <v>1579</v>
      </c>
      <c r="E206" s="234">
        <v>43781.677083333336</v>
      </c>
      <c r="F206" s="16" t="s">
        <v>329</v>
      </c>
      <c r="G206" s="235" t="s">
        <v>1580</v>
      </c>
      <c r="H206" s="235" t="s">
        <v>1581</v>
      </c>
      <c r="I206" s="241">
        <v>43866</v>
      </c>
      <c r="J206" s="233" t="s">
        <v>1582</v>
      </c>
      <c r="K206" s="233" t="s">
        <v>1579</v>
      </c>
      <c r="M206" s="243" t="s">
        <v>28</v>
      </c>
      <c r="N206" s="16" t="s">
        <v>254</v>
      </c>
      <c r="O206" s="16" t="s">
        <v>30</v>
      </c>
      <c r="P206" s="16" t="s">
        <v>31</v>
      </c>
      <c r="Q206" s="16" t="s">
        <v>35</v>
      </c>
      <c r="S206" s="16" t="s">
        <v>269</v>
      </c>
      <c r="T206" s="237"/>
      <c r="U206" s="213"/>
      <c r="V206" s="54"/>
      <c r="W206" s="54">
        <v>3750000</v>
      </c>
      <c r="X206" s="226">
        <v>0.2</v>
      </c>
      <c r="Y206" s="55">
        <f t="shared" si="158"/>
        <v>3000000</v>
      </c>
      <c r="Z206" s="274">
        <f t="shared" si="159"/>
        <v>3000000</v>
      </c>
      <c r="AA206" s="183" t="e">
        <f t="shared" ca="1" si="160"/>
        <v>#NAME?</v>
      </c>
      <c r="AB206" s="16" t="s">
        <v>178</v>
      </c>
      <c r="AC206" s="16" t="s">
        <v>37</v>
      </c>
      <c r="AD206" s="16" t="s">
        <v>38</v>
      </c>
      <c r="AE206" s="16" t="s">
        <v>227</v>
      </c>
      <c r="AF206" s="16" t="s">
        <v>39</v>
      </c>
      <c r="AG206" s="16" t="s">
        <v>181</v>
      </c>
      <c r="AH206" s="16" t="s">
        <v>190</v>
      </c>
      <c r="AI206" s="54"/>
      <c r="AJ206" s="278">
        <v>200000000000</v>
      </c>
      <c r="AK206" s="224" t="e">
        <f t="shared" ca="1" si="161"/>
        <v>#NAME?</v>
      </c>
      <c r="AL206" s="278">
        <v>14815000000</v>
      </c>
      <c r="AM206" s="224" t="e">
        <f t="shared" ca="1" si="162"/>
        <v>#NAME?</v>
      </c>
      <c r="AN206" s="278">
        <v>0.15</v>
      </c>
      <c r="AO206" s="185" t="e">
        <f t="shared" ca="1" si="63"/>
        <v>#NAME?</v>
      </c>
      <c r="AP206" s="185" t="s">
        <v>211</v>
      </c>
      <c r="AQ206" s="16" t="s">
        <v>39</v>
      </c>
      <c r="AR206" s="16" t="s">
        <v>39</v>
      </c>
      <c r="AS206" s="16" t="s">
        <v>182</v>
      </c>
      <c r="AT206" s="159"/>
      <c r="AU206" s="159"/>
      <c r="AV206" s="16" t="s">
        <v>190</v>
      </c>
      <c r="AW206" s="16" t="s">
        <v>190</v>
      </c>
      <c r="AX206" s="16" t="s">
        <v>190</v>
      </c>
      <c r="AY206" s="16" t="s">
        <v>190</v>
      </c>
      <c r="AZ206" s="54">
        <v>0</v>
      </c>
      <c r="BA206" s="55" t="e">
        <f t="shared" ca="1" si="163"/>
        <v>#NAME?</v>
      </c>
      <c r="BB206" s="278">
        <v>0</v>
      </c>
      <c r="BC206" s="278">
        <v>0</v>
      </c>
      <c r="BD206" s="62" t="e">
        <f t="shared" ca="1" si="164"/>
        <v>#NAME?</v>
      </c>
      <c r="BE206" s="277">
        <f t="shared" si="165"/>
        <v>1</v>
      </c>
      <c r="BF206" s="62" t="e">
        <f t="shared" ca="1" si="166"/>
        <v>#NAME?</v>
      </c>
      <c r="BG206" s="16" t="s">
        <v>43</v>
      </c>
      <c r="BI206" s="16" t="s">
        <v>227</v>
      </c>
      <c r="BJ206" s="16">
        <v>1</v>
      </c>
      <c r="BK206" s="278">
        <v>1</v>
      </c>
      <c r="BL206" s="16" t="s">
        <v>227</v>
      </c>
      <c r="BM206" s="16" t="s">
        <v>190</v>
      </c>
      <c r="BN206" s="16" t="s">
        <v>227</v>
      </c>
      <c r="BO206" s="16" t="s">
        <v>190</v>
      </c>
      <c r="BP206" s="16">
        <v>1</v>
      </c>
      <c r="BQ206" s="16">
        <v>6</v>
      </c>
      <c r="BR206" s="16">
        <v>0</v>
      </c>
      <c r="BS206" s="16">
        <v>0</v>
      </c>
      <c r="BT206" s="205"/>
      <c r="BU206" s="16">
        <v>4</v>
      </c>
      <c r="BV206" s="16">
        <v>0</v>
      </c>
      <c r="BW206" s="16">
        <v>27</v>
      </c>
      <c r="BX206" s="16" t="s">
        <v>190</v>
      </c>
      <c r="BY206" s="205"/>
      <c r="CD206" s="205"/>
      <c r="CI206" s="205"/>
      <c r="CN206" s="205"/>
      <c r="CS206" s="205"/>
      <c r="CX206" s="205"/>
      <c r="DC206" s="205"/>
      <c r="DH206" s="205"/>
      <c r="DM206" s="205"/>
      <c r="DN206" s="205"/>
      <c r="DO206" s="205"/>
      <c r="DQ206" s="206"/>
      <c r="DR206" s="188">
        <f t="shared" si="64"/>
        <v>4</v>
      </c>
      <c r="DS206" s="188"/>
      <c r="DT206" s="189">
        <f t="shared" si="65"/>
        <v>0</v>
      </c>
      <c r="DU206" s="189"/>
      <c r="DV206" s="188">
        <f t="shared" si="66"/>
        <v>27</v>
      </c>
      <c r="DW206" s="183" t="e">
        <f t="shared" ca="1" si="67"/>
        <v>#NAME?</v>
      </c>
      <c r="DX206" s="207"/>
      <c r="DY206" s="190" t="e">
        <f t="shared" ca="1" si="68"/>
        <v>#NAME?</v>
      </c>
      <c r="DZ206" s="191">
        <f t="shared" si="338"/>
        <v>3.1052631578947367</v>
      </c>
      <c r="EA206" s="191" t="str">
        <f t="shared" si="339"/>
        <v/>
      </c>
      <c r="EB206" s="191" t="str">
        <f t="shared" si="340"/>
        <v/>
      </c>
      <c r="EC206" s="208" t="e">
        <f t="shared" ca="1" si="72"/>
        <v>#NAME?</v>
      </c>
      <c r="ED206" s="36" t="str">
        <f t="shared" si="73"/>
        <v>SAFE</v>
      </c>
      <c r="EE206" s="193">
        <f>COUNTIF($ED$2:$ED$92, ED206)/(COUNTIF($ED$2:$ED$92, "&lt;&gt;""") - COUNTIF($ED$2:$ED$92, ""))</f>
        <v>0.37777777777777777</v>
      </c>
      <c r="EF206" s="36" t="str">
        <f t="shared" si="74"/>
        <v>Early</v>
      </c>
      <c r="EG206" s="207"/>
      <c r="EH206" s="194" t="e">
        <f t="shared" ca="1" si="75"/>
        <v>#NAME?</v>
      </c>
      <c r="EI206" s="194" t="e">
        <f t="shared" ca="1" si="76"/>
        <v>#NAME?</v>
      </c>
      <c r="EJ206" s="209" t="e">
        <f t="shared" ca="1" si="77"/>
        <v>#NAME?</v>
      </c>
      <c r="EK206" s="208" t="e">
        <f t="shared" ca="1" si="341"/>
        <v>#NAME?</v>
      </c>
      <c r="EL206" s="36" t="str">
        <f t="shared" si="79"/>
        <v>No</v>
      </c>
      <c r="EM206" s="207"/>
      <c r="EN206" s="192">
        <f t="shared" si="342"/>
        <v>1.3809523809523809</v>
      </c>
      <c r="EO206" s="192">
        <f t="shared" si="343"/>
        <v>1</v>
      </c>
      <c r="EP206" s="209">
        <f t="shared" si="82"/>
        <v>2.3809523809523809</v>
      </c>
      <c r="EQ206" s="210">
        <f t="shared" si="344"/>
        <v>1.2990654205607477</v>
      </c>
      <c r="ER206" s="36" t="e">
        <f t="shared" ca="1" si="84"/>
        <v>#NAME?</v>
      </c>
      <c r="ES206" s="40">
        <f ca="1">COUNTIF($ER$2:$ER$92, ER206)/(COUNTIF($ER$2:$ER$92, "&lt;&gt;""") - COUNTIF($ER$2:$ER$92, ""))</f>
        <v>1</v>
      </c>
      <c r="ET206" s="36">
        <f t="shared" si="85"/>
        <v>1</v>
      </c>
      <c r="EU206" s="40">
        <f>COUNTIF($ET$2:$ET$92, ET206)/(COUNTIF($ET$2:$ET$92, "&lt;&gt;""") - COUNTIF($ET$2:$ET$92, ""))</f>
        <v>0.45555555555555555</v>
      </c>
      <c r="EV206" s="36">
        <f t="shared" si="86"/>
        <v>6</v>
      </c>
      <c r="EW206" s="40">
        <f>COUNTIF($EV$2:$EV$92, EV206)/(COUNTIF($EV$2:$EV$92, "&lt;&gt;""") - COUNTIF($EV$2:$EV$92, ""))</f>
        <v>5.5555555555555552E-2</v>
      </c>
      <c r="EX206" s="36" t="str">
        <f t="shared" si="87"/>
        <v>Yes</v>
      </c>
      <c r="EY206" s="40">
        <f>COUNTIF($EX$2:$EX$92, EX206)/(COUNTIF($EX$2:$EX$92, "&lt;&gt;""") - COUNTIF($EX$2:$EX$92, ""))</f>
        <v>0.27777777777777779</v>
      </c>
      <c r="EZ206" s="36" t="str">
        <f t="shared" ref="EZ206:FB206" si="349">BM206</f>
        <v>No</v>
      </c>
      <c r="FA206" s="36" t="str">
        <f t="shared" si="349"/>
        <v>Yes</v>
      </c>
      <c r="FB206" s="36" t="str">
        <f t="shared" si="349"/>
        <v>No</v>
      </c>
      <c r="FC206" s="207"/>
      <c r="FD206" s="36" t="str">
        <f t="shared" si="89"/>
        <v>Recurring</v>
      </c>
      <c r="FE206" s="40">
        <f>COUNTIF($FD$2:$FD$92, FD206)/(COUNTIF($FD$2:$FD$92, "&lt;&gt;""") - COUNTIF($FD$2:$FD$92, ""))</f>
        <v>0.4</v>
      </c>
      <c r="FF206" s="36" t="str">
        <f t="shared" si="90"/>
        <v>B2B</v>
      </c>
      <c r="FG206" s="40">
        <f>COUNTIF($FF$2:$FF$92, FF206)/(COUNTIF($FF$2:$FF$92, "&lt;&gt;""") - COUNTIF($FF$2:$FF$92, ""))</f>
        <v>0.24444444444444444</v>
      </c>
      <c r="FH206" s="36" t="str">
        <f t="shared" si="91"/>
        <v>High</v>
      </c>
      <c r="FI206" s="40">
        <f>COUNTIF($FH$2:$FH$92, FH206)/(COUNTIF($FH$2:$FH$92, "&lt;&gt;""") - COUNTIF($FH$2:$FH$92, ""))</f>
        <v>0.53333333333333333</v>
      </c>
      <c r="FJ206" s="36" t="str">
        <f t="shared" si="92"/>
        <v>Low</v>
      </c>
      <c r="FK206" s="40">
        <f>COUNTIF($FJ$2:$FJ$92, FJ206)/(COUNTIF($FJ$2:$FJ$92, "&lt;&gt;""") - COUNTIF($FJ$2:$FJ$92, ""))</f>
        <v>0.41111111111111109</v>
      </c>
      <c r="FL206" s="207"/>
      <c r="FM206" s="192">
        <f t="shared" si="93"/>
        <v>1</v>
      </c>
      <c r="FN206" s="192" t="e">
        <f t="shared" ca="1" si="94"/>
        <v>#NAME?</v>
      </c>
      <c r="FO206" s="192" t="e">
        <f t="shared" ca="1" si="95"/>
        <v>#NAME?</v>
      </c>
      <c r="FP206" s="192" t="e">
        <f t="shared" ca="1" si="96"/>
        <v>#NAME?</v>
      </c>
      <c r="FQ206" s="209" t="e">
        <f t="shared" ca="1" si="97"/>
        <v>#NAME?</v>
      </c>
      <c r="FR206" s="208" t="e">
        <f t="shared" ca="1" si="346"/>
        <v>#NAME?</v>
      </c>
      <c r="FS206" s="36" t="str">
        <f t="shared" si="99"/>
        <v>Pre-Product</v>
      </c>
      <c r="FT206" s="196">
        <f>COUNTIF($FS$2:$FS$92, FS206)/(COUNTIF($FS$2:$FS$92, "&lt;&gt;""") - COUNTIF($FZ$2:$FZ$92, ""))</f>
        <v>0.22222222222222221</v>
      </c>
      <c r="FU206" s="207"/>
      <c r="FV206" s="192" t="e">
        <f t="shared" ca="1" si="100"/>
        <v>#NAME?</v>
      </c>
      <c r="FW206" s="197" t="e">
        <f t="shared" ca="1" si="101"/>
        <v>#NAME?</v>
      </c>
      <c r="FX206" s="209" t="e">
        <f t="shared" ca="1" si="102"/>
        <v>#NAME?</v>
      </c>
      <c r="FY206" s="211" t="e">
        <f t="shared" ca="1" si="347"/>
        <v>#NAME?</v>
      </c>
      <c r="FZ206" s="36" t="str">
        <f t="shared" si="104"/>
        <v>No</v>
      </c>
      <c r="GA206" s="196">
        <f>COUNTIF($FZ$2:$FZ$92, FZ206)/(COUNTIF($FZ$2:$FZ$92, "&lt;&gt;""") - COUNTIF($FZ$2:$FZ$92, ""))</f>
        <v>0.76666666666666672</v>
      </c>
      <c r="GB206" s="196">
        <f t="shared" si="105"/>
        <v>0</v>
      </c>
      <c r="GC206" s="196">
        <f>COUNTIF($GB$2:$GB$92, GB206)/(COUNTIF($GB$2:$GB$92, "&lt;&gt;""") - COUNTIF($GB$2:$GB$92, ""))</f>
        <v>1.1111111111111112E-2</v>
      </c>
      <c r="GD206" s="196">
        <f t="shared" si="106"/>
        <v>0</v>
      </c>
      <c r="GE206" s="196">
        <f>COUNTIF($GD$2:$GD$92, GD206)/(COUNTIF($GD$2:$GD$92, "&lt;&gt;""") - COUNTIF($GD$2:$GD$92, ""))</f>
        <v>1.1111111111111112E-2</v>
      </c>
      <c r="GF206" s="207"/>
      <c r="GG206" s="36"/>
      <c r="GH206" s="209" t="e">
        <f t="shared" ca="1" si="107"/>
        <v>#NAME?</v>
      </c>
      <c r="GI206" s="212" t="e">
        <f t="shared" ca="1" si="348"/>
        <v>#NAME?</v>
      </c>
    </row>
    <row r="207" spans="1:191" ht="15.75" customHeight="1">
      <c r="A207" s="171"/>
      <c r="B207" s="171" t="s">
        <v>501</v>
      </c>
      <c r="C207" s="16">
        <v>1789840</v>
      </c>
      <c r="D207" s="233" t="s">
        <v>1583</v>
      </c>
      <c r="E207" s="270">
        <v>43781.6875</v>
      </c>
      <c r="F207" s="16" t="s">
        <v>344</v>
      </c>
      <c r="G207" s="235" t="s">
        <v>1584</v>
      </c>
      <c r="H207" s="235" t="s">
        <v>1585</v>
      </c>
      <c r="I207" s="271">
        <v>43762</v>
      </c>
      <c r="J207" s="233" t="s">
        <v>1586</v>
      </c>
      <c r="K207" s="233" t="s">
        <v>1583</v>
      </c>
      <c r="M207" s="16" t="s">
        <v>1194</v>
      </c>
      <c r="N207" s="16" t="s">
        <v>244</v>
      </c>
      <c r="O207" s="16" t="s">
        <v>30</v>
      </c>
      <c r="P207" s="16" t="s">
        <v>174</v>
      </c>
      <c r="Q207" s="16" t="s">
        <v>35</v>
      </c>
      <c r="S207" s="16" t="s">
        <v>176</v>
      </c>
      <c r="T207" s="237"/>
      <c r="U207" s="213"/>
      <c r="V207" s="54"/>
      <c r="W207" s="54">
        <v>3500000</v>
      </c>
      <c r="X207" s="226">
        <v>0.2</v>
      </c>
      <c r="Y207" s="55">
        <f t="shared" si="158"/>
        <v>2800000</v>
      </c>
      <c r="Z207" s="274">
        <f t="shared" si="159"/>
        <v>2800000</v>
      </c>
      <c r="AA207" s="183" t="e">
        <f t="shared" ca="1" si="160"/>
        <v>#NAME?</v>
      </c>
      <c r="AC207" s="16" t="s">
        <v>218</v>
      </c>
      <c r="AD207" s="16" t="s">
        <v>38</v>
      </c>
      <c r="AE207" s="16" t="s">
        <v>227</v>
      </c>
      <c r="AF207" s="16" t="s">
        <v>181</v>
      </c>
      <c r="AG207" s="16" t="s">
        <v>181</v>
      </c>
      <c r="AH207" s="16" t="s">
        <v>190</v>
      </c>
      <c r="AI207" s="54"/>
      <c r="AJ207" s="278">
        <v>5700000000</v>
      </c>
      <c r="AK207" s="224" t="e">
        <f t="shared" ca="1" si="161"/>
        <v>#NAME?</v>
      </c>
      <c r="AL207" s="278">
        <v>5700000000</v>
      </c>
      <c r="AM207" s="224" t="e">
        <f t="shared" ca="1" si="162"/>
        <v>#NAME?</v>
      </c>
      <c r="AN207" s="278">
        <v>0.19</v>
      </c>
      <c r="AO207" s="185" t="e">
        <f t="shared" ca="1" si="63"/>
        <v>#NAME?</v>
      </c>
      <c r="AP207" s="185" t="s">
        <v>228</v>
      </c>
      <c r="AQ207" s="16" t="s">
        <v>181</v>
      </c>
      <c r="AR207" s="16" t="s">
        <v>181</v>
      </c>
      <c r="AS207" s="16" t="s">
        <v>42</v>
      </c>
      <c r="AT207" s="159"/>
      <c r="AU207" s="159"/>
      <c r="AV207" s="16" t="s">
        <v>190</v>
      </c>
      <c r="AW207" s="16" t="s">
        <v>227</v>
      </c>
      <c r="AX207" s="16" t="s">
        <v>227</v>
      </c>
      <c r="AY207" s="16" t="s">
        <v>227</v>
      </c>
      <c r="AZ207" s="54">
        <v>300</v>
      </c>
      <c r="BA207" s="55" t="e">
        <f t="shared" ca="1" si="163"/>
        <v>#NAME?</v>
      </c>
      <c r="BB207" s="278">
        <v>5784</v>
      </c>
      <c r="BC207" s="278">
        <v>93618</v>
      </c>
      <c r="BD207" s="62" t="e">
        <f t="shared" ca="1" si="164"/>
        <v>#NAME?</v>
      </c>
      <c r="BE207" s="277">
        <f t="shared" si="165"/>
        <v>6.1782990450554381E-2</v>
      </c>
      <c r="BF207" s="62" t="e">
        <f t="shared" ca="1" si="166"/>
        <v>#NAME?</v>
      </c>
      <c r="BG207" s="16" t="s">
        <v>202</v>
      </c>
      <c r="BI207" s="16" t="s">
        <v>227</v>
      </c>
      <c r="BJ207" s="16">
        <v>4</v>
      </c>
      <c r="BK207" s="278">
        <v>1</v>
      </c>
      <c r="BL207" s="16" t="s">
        <v>190</v>
      </c>
      <c r="BM207" s="16" t="s">
        <v>190</v>
      </c>
      <c r="BN207" s="16" t="s">
        <v>190</v>
      </c>
      <c r="BO207" s="16" t="s">
        <v>190</v>
      </c>
      <c r="BP207" s="16">
        <v>2</v>
      </c>
      <c r="BQ207" s="16">
        <v>3</v>
      </c>
      <c r="BR207" s="16">
        <v>1</v>
      </c>
      <c r="BS207" s="16">
        <v>0</v>
      </c>
      <c r="BT207" s="205"/>
      <c r="BU207" s="16">
        <v>0</v>
      </c>
      <c r="BV207" s="16">
        <v>0</v>
      </c>
      <c r="BW207" s="16">
        <v>41</v>
      </c>
      <c r="BX207" s="16" t="s">
        <v>227</v>
      </c>
      <c r="BY207" s="205"/>
      <c r="CD207" s="205"/>
      <c r="CI207" s="205"/>
      <c r="CN207" s="205"/>
      <c r="CS207" s="205"/>
      <c r="CX207" s="205"/>
      <c r="DC207" s="205"/>
      <c r="DH207" s="205"/>
      <c r="DM207" s="205"/>
      <c r="DN207" s="205"/>
      <c r="DO207" s="205"/>
      <c r="DQ207" s="206"/>
      <c r="DR207" s="188">
        <f t="shared" si="64"/>
        <v>0</v>
      </c>
      <c r="DS207" s="188"/>
      <c r="DT207" s="189">
        <f t="shared" si="65"/>
        <v>0</v>
      </c>
      <c r="DU207" s="189"/>
      <c r="DV207" s="188">
        <f t="shared" si="66"/>
        <v>41</v>
      </c>
      <c r="DW207" s="183" t="e">
        <f t="shared" ca="1" si="67"/>
        <v>#NAME?</v>
      </c>
      <c r="DX207" s="207"/>
      <c r="DY207" s="190" t="e">
        <f t="shared" ca="1" si="68"/>
        <v>#NAME?</v>
      </c>
      <c r="DZ207" s="191">
        <f t="shared" si="338"/>
        <v>3.1052631578947367</v>
      </c>
      <c r="EA207" s="191" t="str">
        <f t="shared" si="339"/>
        <v/>
      </c>
      <c r="EB207" s="191" t="str">
        <f t="shared" si="340"/>
        <v/>
      </c>
      <c r="EC207" s="208" t="e">
        <f t="shared" ca="1" si="72"/>
        <v>#NAME?</v>
      </c>
      <c r="ED207" s="36" t="str">
        <f t="shared" si="73"/>
        <v>Convertible Note</v>
      </c>
      <c r="EE207" s="193">
        <f>COUNTIF($ED$2:$ED$92, ED207)/(COUNTIF($ED$2:$ED$92, "&lt;&gt;""") - COUNTIF($ED$2:$ED$92, ""))</f>
        <v>0.13333333333333333</v>
      </c>
      <c r="EF207" s="36" t="str">
        <f t="shared" si="74"/>
        <v>Early</v>
      </c>
      <c r="EG207" s="207"/>
      <c r="EH207" s="194" t="e">
        <f t="shared" ca="1" si="75"/>
        <v>#NAME?</v>
      </c>
      <c r="EI207" s="194" t="e">
        <f t="shared" ca="1" si="76"/>
        <v>#NAME?</v>
      </c>
      <c r="EJ207" s="209" t="e">
        <f t="shared" ca="1" si="77"/>
        <v>#NAME?</v>
      </c>
      <c r="EK207" s="208" t="e">
        <f t="shared" ca="1" si="341"/>
        <v>#NAME?</v>
      </c>
      <c r="EL207" s="36" t="str">
        <f t="shared" si="79"/>
        <v>No</v>
      </c>
      <c r="EM207" s="207"/>
      <c r="EN207" s="192">
        <f t="shared" si="342"/>
        <v>1</v>
      </c>
      <c r="EO207" s="192">
        <f t="shared" si="343"/>
        <v>1</v>
      </c>
      <c r="EP207" s="209">
        <f t="shared" si="82"/>
        <v>2</v>
      </c>
      <c r="EQ207" s="210">
        <f t="shared" si="344"/>
        <v>1</v>
      </c>
      <c r="ER207" s="36" t="e">
        <f t="shared" ca="1" si="84"/>
        <v>#NAME?</v>
      </c>
      <c r="ES207" s="40">
        <f ca="1">COUNTIF($ER$2:$ER$92, ER207)/(COUNTIF($ER$2:$ER$92, "&lt;&gt;""") - COUNTIF($ER$2:$ER$92, ""))</f>
        <v>1</v>
      </c>
      <c r="ET207" s="36">
        <f t="shared" si="85"/>
        <v>1</v>
      </c>
      <c r="EU207" s="40">
        <f>COUNTIF($ET$2:$ET$92, ET207)/(COUNTIF($ET$2:$ET$92, "&lt;&gt;""") - COUNTIF($ET$2:$ET$92, ""))</f>
        <v>0.45555555555555555</v>
      </c>
      <c r="EV207" s="36">
        <f t="shared" si="86"/>
        <v>3</v>
      </c>
      <c r="EW207" s="40">
        <f>COUNTIF($EV$2:$EV$92, EV207)/(COUNTIF($EV$2:$EV$92, "&lt;&gt;""") - COUNTIF($EV$2:$EV$92, ""))</f>
        <v>8.8888888888888892E-2</v>
      </c>
      <c r="EX207" s="36" t="str">
        <f t="shared" si="87"/>
        <v>No</v>
      </c>
      <c r="EY207" s="40">
        <f>COUNTIF($EX$2:$EX$92, EX207)/(COUNTIF($EX$2:$EX$92, "&lt;&gt;""") - COUNTIF($EX$2:$EX$92, ""))</f>
        <v>0.72222222222222221</v>
      </c>
      <c r="EZ207" s="36" t="str">
        <f t="shared" ref="EZ207:FB207" si="350">BM207</f>
        <v>No</v>
      </c>
      <c r="FA207" s="36" t="str">
        <f t="shared" si="350"/>
        <v>No</v>
      </c>
      <c r="FB207" s="36" t="str">
        <f t="shared" si="350"/>
        <v>No</v>
      </c>
      <c r="FC207" s="207"/>
      <c r="FD207" s="36">
        <f t="shared" si="89"/>
        <v>0</v>
      </c>
      <c r="FE207" s="40">
        <f>COUNTIF($FD$2:$FD$92, FD207)/(COUNTIF($FD$2:$FD$92, "&lt;&gt;""") - COUNTIF($FD$2:$FD$92, ""))</f>
        <v>0</v>
      </c>
      <c r="FF207" s="36" t="str">
        <f t="shared" si="90"/>
        <v>B2B/B2C</v>
      </c>
      <c r="FG207" s="40">
        <f>COUNTIF($FF$2:$FF$92, FF207)/(COUNTIF($FF$2:$FF$92, "&lt;&gt;""") - COUNTIF($FF$2:$FF$92, ""))</f>
        <v>0.27777777777777779</v>
      </c>
      <c r="FH207" s="36" t="str">
        <f t="shared" si="91"/>
        <v>Low</v>
      </c>
      <c r="FI207" s="40">
        <f>COUNTIF($FH$2:$FH$92, FH207)/(COUNTIF($FH$2:$FH$92, "&lt;&gt;""") - COUNTIF($FH$2:$FH$92, ""))</f>
        <v>0.46666666666666667</v>
      </c>
      <c r="FJ207" s="36" t="str">
        <f t="shared" si="92"/>
        <v>Low</v>
      </c>
      <c r="FK207" s="40">
        <f>COUNTIF($FJ$2:$FJ$92, FJ207)/(COUNTIF($FJ$2:$FJ$92, "&lt;&gt;""") - COUNTIF($FJ$2:$FJ$92, ""))</f>
        <v>0.41111111111111109</v>
      </c>
      <c r="FL207" s="207"/>
      <c r="FM207" s="192">
        <f t="shared" si="93"/>
        <v>5</v>
      </c>
      <c r="FN207" s="192" t="e">
        <f t="shared" ca="1" si="94"/>
        <v>#NAME?</v>
      </c>
      <c r="FO207" s="192" t="e">
        <f t="shared" ca="1" si="95"/>
        <v>#NAME?</v>
      </c>
      <c r="FP207" s="192" t="e">
        <f t="shared" ca="1" si="96"/>
        <v>#NAME?</v>
      </c>
      <c r="FQ207" s="209" t="e">
        <f t="shared" ca="1" si="97"/>
        <v>#NAME?</v>
      </c>
      <c r="FR207" s="208" t="e">
        <f t="shared" ca="1" si="346"/>
        <v>#NAME?</v>
      </c>
      <c r="FS207" s="36" t="str">
        <f t="shared" si="99"/>
        <v>Pre-Profit</v>
      </c>
      <c r="FT207" s="196">
        <f>COUNTIF($FS$2:$FS$92, FS207)/(COUNTIF($FS$2:$FS$92, "&lt;&gt;""") - COUNTIF($FZ$2:$FZ$92, ""))</f>
        <v>0.51111111111111107</v>
      </c>
      <c r="FU207" s="207"/>
      <c r="FV207" s="192" t="e">
        <f t="shared" ca="1" si="100"/>
        <v>#NAME?</v>
      </c>
      <c r="FW207" s="197" t="e">
        <f t="shared" ca="1" si="101"/>
        <v>#NAME?</v>
      </c>
      <c r="FX207" s="209" t="e">
        <f t="shared" ca="1" si="102"/>
        <v>#NAME?</v>
      </c>
      <c r="FY207" s="211" t="e">
        <f t="shared" ca="1" si="347"/>
        <v>#NAME?</v>
      </c>
      <c r="FZ207" s="36" t="str">
        <f t="shared" si="104"/>
        <v>Yes</v>
      </c>
      <c r="GA207" s="196">
        <f>COUNTIF($FZ$2:$FZ$92, FZ207)/(COUNTIF($FZ$2:$FZ$92, "&lt;&gt;""") - COUNTIF($FZ$2:$FZ$92, ""))</f>
        <v>0.23333333333333334</v>
      </c>
      <c r="GB207" s="196">
        <f t="shared" si="105"/>
        <v>0</v>
      </c>
      <c r="GC207" s="196">
        <f>COUNTIF($GB$2:$GB$92, GB207)/(COUNTIF($GB$2:$GB$92, "&lt;&gt;""") - COUNTIF($GB$2:$GB$92, ""))</f>
        <v>1.1111111111111112E-2</v>
      </c>
      <c r="GD207" s="196">
        <f t="shared" si="106"/>
        <v>0</v>
      </c>
      <c r="GE207" s="196">
        <f>COUNTIF($GD$2:$GD$92, GD207)/(COUNTIF($GD$2:$GD$92, "&lt;&gt;""") - COUNTIF($GD$2:$GD$92, ""))</f>
        <v>1.1111111111111112E-2</v>
      </c>
      <c r="GF207" s="207"/>
      <c r="GG207" s="36"/>
      <c r="GH207" s="209" t="e">
        <f t="shared" ca="1" si="107"/>
        <v>#NAME?</v>
      </c>
      <c r="GI207" s="212" t="e">
        <f t="shared" ca="1" si="348"/>
        <v>#NAME?</v>
      </c>
    </row>
    <row r="208" spans="1:191" ht="15.75" customHeight="1">
      <c r="A208" s="171"/>
      <c r="B208" s="171" t="s">
        <v>501</v>
      </c>
      <c r="C208" s="16">
        <v>1776303</v>
      </c>
      <c r="D208" s="233" t="s">
        <v>1587</v>
      </c>
      <c r="E208" s="270">
        <v>43783.410416666666</v>
      </c>
      <c r="F208" s="16" t="s">
        <v>344</v>
      </c>
      <c r="G208" s="235" t="s">
        <v>1588</v>
      </c>
      <c r="H208" s="235" t="s">
        <v>1589</v>
      </c>
      <c r="I208" s="241">
        <v>43767</v>
      </c>
      <c r="J208" s="233" t="s">
        <v>1590</v>
      </c>
      <c r="K208" s="233" t="s">
        <v>1587</v>
      </c>
      <c r="M208" s="35" t="s">
        <v>293</v>
      </c>
      <c r="N208" s="16" t="s">
        <v>287</v>
      </c>
      <c r="O208" s="16" t="s">
        <v>30</v>
      </c>
      <c r="P208" s="16" t="s">
        <v>174</v>
      </c>
      <c r="Q208" s="16" t="s">
        <v>35</v>
      </c>
      <c r="S208" s="16" t="s">
        <v>269</v>
      </c>
      <c r="T208" s="237"/>
      <c r="U208" s="213"/>
      <c r="V208" s="54"/>
      <c r="W208" s="215">
        <v>6750000</v>
      </c>
      <c r="X208" s="226">
        <v>0</v>
      </c>
      <c r="Y208" s="55">
        <f t="shared" si="158"/>
        <v>6750000</v>
      </c>
      <c r="Z208" s="274">
        <f t="shared" si="159"/>
        <v>6750000</v>
      </c>
      <c r="AA208" s="183" t="e">
        <f t="shared" ca="1" si="160"/>
        <v>#NAME?</v>
      </c>
      <c r="AB208" s="16" t="s">
        <v>178</v>
      </c>
      <c r="AC208" s="16" t="s">
        <v>218</v>
      </c>
      <c r="AD208" s="16" t="s">
        <v>180</v>
      </c>
      <c r="AE208" s="16" t="s">
        <v>227</v>
      </c>
      <c r="AF208" s="16" t="s">
        <v>39</v>
      </c>
      <c r="AG208" s="16" t="s">
        <v>181</v>
      </c>
      <c r="AH208" s="16" t="s">
        <v>190</v>
      </c>
      <c r="AI208" s="54"/>
      <c r="AJ208" s="278">
        <v>3015000000000</v>
      </c>
      <c r="AK208" s="224" t="e">
        <f t="shared" ca="1" si="161"/>
        <v>#NAME?</v>
      </c>
      <c r="AL208" s="278">
        <v>3015000000000</v>
      </c>
      <c r="AM208" s="224" t="e">
        <f t="shared" ca="1" si="162"/>
        <v>#NAME?</v>
      </c>
      <c r="AN208" s="278">
        <v>0.04</v>
      </c>
      <c r="AO208" s="185" t="e">
        <f t="shared" ca="1" si="63"/>
        <v>#NAME?</v>
      </c>
      <c r="AP208" s="185" t="s">
        <v>169</v>
      </c>
      <c r="AQ208" s="16" t="s">
        <v>39</v>
      </c>
      <c r="AR208" s="16" t="s">
        <v>39</v>
      </c>
      <c r="AS208" s="16" t="s">
        <v>182</v>
      </c>
      <c r="AT208" s="159"/>
      <c r="AU208" s="159"/>
      <c r="AV208" s="16" t="s">
        <v>190</v>
      </c>
      <c r="AW208" s="16" t="s">
        <v>190</v>
      </c>
      <c r="AX208" s="16" t="s">
        <v>227</v>
      </c>
      <c r="AY208" s="16" t="s">
        <v>227</v>
      </c>
      <c r="AZ208" s="54">
        <v>2332</v>
      </c>
      <c r="BA208" s="55" t="e">
        <f t="shared" ca="1" si="163"/>
        <v>#NAME?</v>
      </c>
      <c r="BB208" s="278">
        <v>24799</v>
      </c>
      <c r="BC208" s="278">
        <v>286233</v>
      </c>
      <c r="BD208" s="62" t="e">
        <f t="shared" ca="1" si="164"/>
        <v>#NAME?</v>
      </c>
      <c r="BE208" s="277">
        <f t="shared" si="165"/>
        <v>8.6639206520561923E-2</v>
      </c>
      <c r="BF208" s="62" t="e">
        <f t="shared" ca="1" si="166"/>
        <v>#NAME?</v>
      </c>
      <c r="BG208" s="16" t="s">
        <v>202</v>
      </c>
      <c r="BI208" s="16" t="s">
        <v>227</v>
      </c>
      <c r="BJ208" s="16">
        <v>90</v>
      </c>
      <c r="BK208" s="278">
        <v>2</v>
      </c>
      <c r="BL208" s="16" t="s">
        <v>227</v>
      </c>
      <c r="BM208" s="16" t="s">
        <v>190</v>
      </c>
      <c r="BN208" s="16" t="s">
        <v>190</v>
      </c>
      <c r="BO208" s="16" t="s">
        <v>190</v>
      </c>
      <c r="BP208" s="16">
        <v>3</v>
      </c>
      <c r="BQ208" s="16">
        <v>4</v>
      </c>
      <c r="BR208" s="16">
        <v>0</v>
      </c>
      <c r="BS208" s="16">
        <v>0</v>
      </c>
      <c r="BT208" s="205"/>
      <c r="BU208" s="16">
        <v>1</v>
      </c>
      <c r="BV208" s="16">
        <v>0</v>
      </c>
      <c r="BW208" s="16">
        <v>32</v>
      </c>
      <c r="BX208" s="16" t="s">
        <v>190</v>
      </c>
      <c r="BY208" s="205"/>
      <c r="BZ208" s="16">
        <v>3</v>
      </c>
      <c r="CA208" s="16">
        <v>2</v>
      </c>
      <c r="CB208" s="16">
        <v>33</v>
      </c>
      <c r="CC208" s="16" t="s">
        <v>190</v>
      </c>
      <c r="CD208" s="205"/>
      <c r="CI208" s="205"/>
      <c r="CN208" s="205"/>
      <c r="CS208" s="205"/>
      <c r="CX208" s="205"/>
      <c r="DC208" s="205"/>
      <c r="DH208" s="205"/>
      <c r="DM208" s="205"/>
      <c r="DN208" s="205"/>
      <c r="DO208" s="205"/>
      <c r="DQ208" s="206"/>
      <c r="DR208" s="188">
        <f t="shared" si="64"/>
        <v>2</v>
      </c>
      <c r="DS208" s="188"/>
      <c r="DT208" s="189">
        <f t="shared" si="65"/>
        <v>2</v>
      </c>
      <c r="DU208" s="189"/>
      <c r="DV208" s="188">
        <f t="shared" si="66"/>
        <v>32.5</v>
      </c>
      <c r="DW208" s="183" t="e">
        <f t="shared" ca="1" si="67"/>
        <v>#NAME?</v>
      </c>
      <c r="DX208" s="207"/>
      <c r="DY208" s="190" t="e">
        <f t="shared" ca="1" si="68"/>
        <v>#NAME?</v>
      </c>
      <c r="DZ208" s="191">
        <f t="shared" si="338"/>
        <v>1</v>
      </c>
      <c r="EA208" s="191" t="str">
        <f t="shared" si="339"/>
        <v/>
      </c>
      <c r="EB208" s="191" t="str">
        <f t="shared" si="340"/>
        <v/>
      </c>
      <c r="EC208" s="208" t="e">
        <f t="shared" ca="1" si="72"/>
        <v>#NAME?</v>
      </c>
      <c r="ED208" s="36" t="str">
        <f t="shared" si="73"/>
        <v>SAFE</v>
      </c>
      <c r="EE208" s="193">
        <f>COUNTIF($ED$2:$ED$92, ED208)/(COUNTIF($ED$2:$ED$92, "&lt;&gt;""") - COUNTIF($ED$2:$ED$92, ""))</f>
        <v>0.37777777777777777</v>
      </c>
      <c r="EF208" s="36" t="str">
        <f t="shared" si="74"/>
        <v>Early</v>
      </c>
      <c r="EG208" s="207"/>
      <c r="EH208" s="194" t="e">
        <f t="shared" ca="1" si="75"/>
        <v>#NAME?</v>
      </c>
      <c r="EI208" s="194" t="e">
        <f t="shared" ca="1" si="76"/>
        <v>#NAME?</v>
      </c>
      <c r="EJ208" s="209" t="e">
        <f t="shared" ca="1" si="77"/>
        <v>#NAME?</v>
      </c>
      <c r="EK208" s="208" t="e">
        <f t="shared" ca="1" si="341"/>
        <v>#NAME?</v>
      </c>
      <c r="EL208" s="36" t="str">
        <f t="shared" si="79"/>
        <v>No</v>
      </c>
      <c r="EM208" s="207"/>
      <c r="EN208" s="192">
        <f t="shared" si="342"/>
        <v>1.1904761904761905</v>
      </c>
      <c r="EO208" s="192">
        <f t="shared" si="343"/>
        <v>3</v>
      </c>
      <c r="EP208" s="209">
        <f t="shared" si="82"/>
        <v>4.1904761904761907</v>
      </c>
      <c r="EQ208" s="210">
        <f t="shared" si="344"/>
        <v>2.7196261682242993</v>
      </c>
      <c r="ER208" s="36" t="e">
        <f t="shared" ca="1" si="84"/>
        <v>#NAME?</v>
      </c>
      <c r="ES208" s="40">
        <f ca="1">COUNTIF($ER$2:$ER$92, ER208)/(COUNTIF($ER$2:$ER$92, "&lt;&gt;""") - COUNTIF($ER$2:$ER$92, ""))</f>
        <v>1</v>
      </c>
      <c r="ET208" s="36">
        <f t="shared" si="85"/>
        <v>2</v>
      </c>
      <c r="EU208" s="40">
        <f>COUNTIF($ET$2:$ET$92, ET208)/(COUNTIF($ET$2:$ET$92, "&lt;&gt;""") - COUNTIF($ET$2:$ET$92, ""))</f>
        <v>0.45555555555555555</v>
      </c>
      <c r="EV208" s="36">
        <f t="shared" si="86"/>
        <v>4</v>
      </c>
      <c r="EW208" s="40">
        <f>COUNTIF($EV$2:$EV$92, EV208)/(COUNTIF($EV$2:$EV$92, "&lt;&gt;""") - COUNTIF($EV$2:$EV$92, ""))</f>
        <v>0.12222222222222222</v>
      </c>
      <c r="EX208" s="36" t="str">
        <f t="shared" si="87"/>
        <v>Yes</v>
      </c>
      <c r="EY208" s="40">
        <f>COUNTIF($EX$2:$EX$92, EX208)/(COUNTIF($EX$2:$EX$92, "&lt;&gt;""") - COUNTIF($EX$2:$EX$92, ""))</f>
        <v>0.27777777777777779</v>
      </c>
      <c r="EZ208" s="36" t="str">
        <f t="shared" ref="EZ208:FB208" si="351">BM208</f>
        <v>No</v>
      </c>
      <c r="FA208" s="36" t="str">
        <f t="shared" si="351"/>
        <v>No</v>
      </c>
      <c r="FB208" s="36" t="str">
        <f t="shared" si="351"/>
        <v>No</v>
      </c>
      <c r="FC208" s="207"/>
      <c r="FD208" s="36" t="str">
        <f t="shared" si="89"/>
        <v>Recurring</v>
      </c>
      <c r="FE208" s="40">
        <f>COUNTIF($FD$2:$FD$92, FD208)/(COUNTIF($FD$2:$FD$92, "&lt;&gt;""") - COUNTIF($FD$2:$FD$92, ""))</f>
        <v>0.4</v>
      </c>
      <c r="FF208" s="36" t="str">
        <f t="shared" si="90"/>
        <v>B2B/B2C</v>
      </c>
      <c r="FG208" s="40">
        <f>COUNTIF($FF$2:$FF$92, FF208)/(COUNTIF($FF$2:$FF$92, "&lt;&gt;""") - COUNTIF($FF$2:$FF$92, ""))</f>
        <v>0.27777777777777779</v>
      </c>
      <c r="FH208" s="36" t="str">
        <f t="shared" si="91"/>
        <v>High</v>
      </c>
      <c r="FI208" s="40">
        <f>COUNTIF($FH$2:$FH$92, FH208)/(COUNTIF($FH$2:$FH$92, "&lt;&gt;""") - COUNTIF($FH$2:$FH$92, ""))</f>
        <v>0.53333333333333333</v>
      </c>
      <c r="FJ208" s="36" t="str">
        <f t="shared" si="92"/>
        <v>Low</v>
      </c>
      <c r="FK208" s="40">
        <f>COUNTIF($FJ$2:$FJ$92, FJ208)/(COUNTIF($FJ$2:$FJ$92, "&lt;&gt;""") - COUNTIF($FJ$2:$FJ$92, ""))</f>
        <v>0.41111111111111109</v>
      </c>
      <c r="FL208" s="207"/>
      <c r="FM208" s="192">
        <f t="shared" si="93"/>
        <v>5</v>
      </c>
      <c r="FN208" s="192" t="e">
        <f t="shared" ca="1" si="94"/>
        <v>#NAME?</v>
      </c>
      <c r="FO208" s="192" t="e">
        <f t="shared" ca="1" si="95"/>
        <v>#NAME?</v>
      </c>
      <c r="FP208" s="192" t="e">
        <f t="shared" ca="1" si="96"/>
        <v>#NAME?</v>
      </c>
      <c r="FQ208" s="209" t="e">
        <f t="shared" ca="1" si="97"/>
        <v>#NAME?</v>
      </c>
      <c r="FR208" s="208" t="e">
        <f t="shared" ca="1" si="346"/>
        <v>#NAME?</v>
      </c>
      <c r="FS208" s="36" t="str">
        <f t="shared" si="99"/>
        <v>Pre-Profit</v>
      </c>
      <c r="FT208" s="196">
        <f>COUNTIF($FS$2:$FS$92, FS208)/(COUNTIF($FS$2:$FS$92, "&lt;&gt;""") - COUNTIF($FZ$2:$FZ$92, ""))</f>
        <v>0.51111111111111107</v>
      </c>
      <c r="FU208" s="207"/>
      <c r="FV208" s="192" t="e">
        <f t="shared" ca="1" si="100"/>
        <v>#NAME?</v>
      </c>
      <c r="FW208" s="197" t="e">
        <f t="shared" ca="1" si="101"/>
        <v>#NAME?</v>
      </c>
      <c r="FX208" s="209" t="e">
        <f t="shared" ca="1" si="102"/>
        <v>#NAME?</v>
      </c>
      <c r="FY208" s="211" t="e">
        <f t="shared" ca="1" si="347"/>
        <v>#NAME?</v>
      </c>
      <c r="FZ208" s="36" t="str">
        <f t="shared" si="104"/>
        <v>No</v>
      </c>
      <c r="GA208" s="196">
        <f>COUNTIF($FZ$2:$FZ$92, FZ208)/(COUNTIF($FZ$2:$FZ$92, "&lt;&gt;""") - COUNTIF($FZ$2:$FZ$92, ""))</f>
        <v>0.76666666666666672</v>
      </c>
      <c r="GB208" s="196">
        <f t="shared" si="105"/>
        <v>0</v>
      </c>
      <c r="GC208" s="196">
        <f>COUNTIF($GB$2:$GB$92, GB208)/(COUNTIF($GB$2:$GB$92, "&lt;&gt;""") - COUNTIF($GB$2:$GB$92, ""))</f>
        <v>1.1111111111111112E-2</v>
      </c>
      <c r="GD208" s="196">
        <f t="shared" si="106"/>
        <v>0</v>
      </c>
      <c r="GE208" s="196">
        <f>COUNTIF($GD$2:$GD$92, GD208)/(COUNTIF($GD$2:$GD$92, "&lt;&gt;""") - COUNTIF($GD$2:$GD$92, ""))</f>
        <v>1.1111111111111112E-2</v>
      </c>
      <c r="GF208" s="207"/>
      <c r="GG208" s="36"/>
      <c r="GH208" s="209" t="e">
        <f t="shared" ca="1" si="107"/>
        <v>#NAME?</v>
      </c>
      <c r="GI208" s="212" t="e">
        <f t="shared" ca="1" si="348"/>
        <v>#NAME?</v>
      </c>
    </row>
    <row r="209" spans="1:191" ht="15.75" customHeight="1">
      <c r="A209" s="171"/>
      <c r="B209" s="171" t="s">
        <v>501</v>
      </c>
      <c r="C209" s="16">
        <v>1654300</v>
      </c>
      <c r="D209" s="233" t="s">
        <v>1591</v>
      </c>
      <c r="E209" s="270">
        <v>43784.392361111109</v>
      </c>
      <c r="F209" s="16" t="s">
        <v>348</v>
      </c>
      <c r="G209" s="235" t="s">
        <v>1592</v>
      </c>
      <c r="H209" s="235" t="s">
        <v>1593</v>
      </c>
      <c r="I209" s="271">
        <v>43886</v>
      </c>
      <c r="J209" s="233" t="s">
        <v>1594</v>
      </c>
      <c r="K209" s="233" t="s">
        <v>1591</v>
      </c>
      <c r="M209" s="231" t="s">
        <v>286</v>
      </c>
      <c r="N209" s="16" t="s">
        <v>278</v>
      </c>
      <c r="O209" s="16" t="s">
        <v>173</v>
      </c>
      <c r="P209" s="16" t="s">
        <v>197</v>
      </c>
      <c r="Q209" s="16" t="s">
        <v>35</v>
      </c>
      <c r="S209" s="16" t="s">
        <v>216</v>
      </c>
      <c r="T209" s="237"/>
      <c r="U209" s="213"/>
      <c r="V209" s="54">
        <v>31535500</v>
      </c>
      <c r="W209" s="54"/>
      <c r="X209" s="226"/>
      <c r="Y209" s="55" t="str">
        <f t="shared" si="158"/>
        <v/>
      </c>
      <c r="Z209" s="274">
        <f t="shared" si="159"/>
        <v>31535500</v>
      </c>
      <c r="AA209" s="183" t="e">
        <f t="shared" ca="1" si="160"/>
        <v>#NAME?</v>
      </c>
      <c r="AB209" s="16" t="s">
        <v>36</v>
      </c>
      <c r="AC209" s="16" t="s">
        <v>179</v>
      </c>
      <c r="AD209" s="16" t="s">
        <v>180</v>
      </c>
      <c r="AE209" s="16" t="s">
        <v>227</v>
      </c>
      <c r="AF209" s="16" t="s">
        <v>39</v>
      </c>
      <c r="AG209" s="16" t="s">
        <v>181</v>
      </c>
      <c r="AH209" s="16" t="s">
        <v>190</v>
      </c>
      <c r="AI209" s="54"/>
      <c r="AJ209" s="278">
        <v>13060000000</v>
      </c>
      <c r="AK209" s="224" t="e">
        <f t="shared" ca="1" si="161"/>
        <v>#NAME?</v>
      </c>
      <c r="AL209" s="278">
        <v>13060000000</v>
      </c>
      <c r="AM209" s="224" t="e">
        <f t="shared" ca="1" si="162"/>
        <v>#NAME?</v>
      </c>
      <c r="AN209" s="278">
        <v>0.05</v>
      </c>
      <c r="AO209" s="185" t="e">
        <f t="shared" ca="1" si="63"/>
        <v>#NAME?</v>
      </c>
      <c r="AP209" s="185" t="s">
        <v>211</v>
      </c>
      <c r="AQ209" s="16" t="s">
        <v>181</v>
      </c>
      <c r="AR209" s="16" t="s">
        <v>181</v>
      </c>
      <c r="AS209" s="16" t="s">
        <v>42</v>
      </c>
      <c r="AT209" s="159"/>
      <c r="AU209" s="159"/>
      <c r="AV209" s="16" t="s">
        <v>190</v>
      </c>
      <c r="AW209" s="16" t="s">
        <v>190</v>
      </c>
      <c r="AX209" s="16" t="s">
        <v>227</v>
      </c>
      <c r="AY209" s="16" t="s">
        <v>227</v>
      </c>
      <c r="AZ209" s="54">
        <v>927143</v>
      </c>
      <c r="BA209" s="55" t="e">
        <f t="shared" ca="1" si="163"/>
        <v>#NAME?</v>
      </c>
      <c r="BB209" s="278">
        <v>7645</v>
      </c>
      <c r="BC209" s="278">
        <v>1476214</v>
      </c>
      <c r="BD209" s="62" t="e">
        <f t="shared" ca="1" si="164"/>
        <v>#NAME?</v>
      </c>
      <c r="BE209" s="277">
        <f t="shared" si="165"/>
        <v>5.178788441242259E-3</v>
      </c>
      <c r="BF209" s="62" t="e">
        <f t="shared" ca="1" si="166"/>
        <v>#NAME?</v>
      </c>
      <c r="BG209" s="16" t="s">
        <v>202</v>
      </c>
      <c r="BI209" s="16" t="s">
        <v>190</v>
      </c>
      <c r="BJ209" s="16">
        <v>0</v>
      </c>
      <c r="BK209" s="278">
        <v>2</v>
      </c>
      <c r="BL209" s="16" t="s">
        <v>227</v>
      </c>
      <c r="BM209" s="16" t="s">
        <v>190</v>
      </c>
      <c r="BN209" s="16" t="s">
        <v>190</v>
      </c>
      <c r="BO209" s="16" t="s">
        <v>190</v>
      </c>
      <c r="BP209" s="16">
        <v>0</v>
      </c>
      <c r="BQ209" s="16">
        <v>8</v>
      </c>
      <c r="BR209" s="16">
        <v>0</v>
      </c>
      <c r="BS209" s="16">
        <v>0</v>
      </c>
      <c r="BT209" s="205"/>
      <c r="BU209" s="16">
        <v>20</v>
      </c>
      <c r="BV209" s="16">
        <v>0</v>
      </c>
      <c r="BW209" s="16">
        <v>42</v>
      </c>
      <c r="BX209" s="16" t="s">
        <v>190</v>
      </c>
      <c r="BY209" s="205"/>
      <c r="BZ209" s="16">
        <v>20</v>
      </c>
      <c r="CA209" s="16">
        <v>0</v>
      </c>
      <c r="CC209" s="16" t="s">
        <v>190</v>
      </c>
      <c r="CD209" s="205"/>
      <c r="CI209" s="205"/>
      <c r="CN209" s="205"/>
      <c r="CS209" s="205"/>
      <c r="CX209" s="205"/>
      <c r="DC209" s="205"/>
      <c r="DH209" s="205"/>
      <c r="DM209" s="205"/>
      <c r="DN209" s="205"/>
      <c r="DO209" s="205"/>
      <c r="DQ209" s="206"/>
      <c r="DR209" s="188">
        <f t="shared" si="64"/>
        <v>20</v>
      </c>
      <c r="DS209" s="188"/>
      <c r="DT209" s="189">
        <f t="shared" si="65"/>
        <v>0</v>
      </c>
      <c r="DU209" s="189"/>
      <c r="DV209" s="188">
        <f t="shared" si="66"/>
        <v>42</v>
      </c>
      <c r="DW209" s="183" t="e">
        <f t="shared" ca="1" si="67"/>
        <v>#NAME?</v>
      </c>
      <c r="DX209" s="207"/>
      <c r="DY209" s="190" t="e">
        <f t="shared" ca="1" si="68"/>
        <v>#NAME?</v>
      </c>
      <c r="DZ209" s="191" t="str">
        <f t="shared" si="338"/>
        <v/>
      </c>
      <c r="EA209" s="191" t="str">
        <f t="shared" si="339"/>
        <v/>
      </c>
      <c r="EB209" s="191" t="str">
        <f t="shared" si="340"/>
        <v/>
      </c>
      <c r="EC209" s="208" t="e">
        <f t="shared" ca="1" si="72"/>
        <v>#NAME?</v>
      </c>
      <c r="ED209" s="36" t="str">
        <f t="shared" si="73"/>
        <v>Equity - Common</v>
      </c>
      <c r="EE209" s="193">
        <f>COUNTIF($ED$2:$ED$92, ED209)/(COUNTIF($ED$2:$ED$92, "&lt;&gt;""") - COUNTIF($ED$2:$ED$92, ""))</f>
        <v>0.32222222222222224</v>
      </c>
      <c r="EF209" s="36" t="str">
        <f t="shared" si="74"/>
        <v>Growth</v>
      </c>
      <c r="EG209" s="207"/>
      <c r="EH209" s="194" t="e">
        <f t="shared" ca="1" si="75"/>
        <v>#NAME?</v>
      </c>
      <c r="EI209" s="194" t="e">
        <f t="shared" ca="1" si="76"/>
        <v>#NAME?</v>
      </c>
      <c r="EJ209" s="209" t="e">
        <f t="shared" ca="1" si="77"/>
        <v>#NAME?</v>
      </c>
      <c r="EK209" s="208" t="e">
        <f t="shared" ca="1" si="341"/>
        <v>#NAME?</v>
      </c>
      <c r="EL209" s="36" t="str">
        <f t="shared" si="79"/>
        <v>No</v>
      </c>
      <c r="EM209" s="207"/>
      <c r="EN209" s="192">
        <f t="shared" si="342"/>
        <v>2.9047619047619047</v>
      </c>
      <c r="EO209" s="192">
        <f t="shared" si="343"/>
        <v>1</v>
      </c>
      <c r="EP209" s="209">
        <f t="shared" si="82"/>
        <v>3.9047619047619047</v>
      </c>
      <c r="EQ209" s="210">
        <f t="shared" si="344"/>
        <v>2.4953271028037385</v>
      </c>
      <c r="ER209" s="36" t="e">
        <f t="shared" ca="1" si="84"/>
        <v>#NAME?</v>
      </c>
      <c r="ES209" s="40">
        <f ca="1">COUNTIF($ER$2:$ER$92, ER209)/(COUNTIF($ER$2:$ER$92, "&lt;&gt;""") - COUNTIF($ER$2:$ER$92, ""))</f>
        <v>1</v>
      </c>
      <c r="ET209" s="36">
        <f t="shared" si="85"/>
        <v>2</v>
      </c>
      <c r="EU209" s="40">
        <f>COUNTIF($ET$2:$ET$92, ET209)/(COUNTIF($ET$2:$ET$92, "&lt;&gt;""") - COUNTIF($ET$2:$ET$92, ""))</f>
        <v>0.45555555555555555</v>
      </c>
      <c r="EV209" s="36">
        <f t="shared" si="86"/>
        <v>8</v>
      </c>
      <c r="EW209" s="40">
        <f>COUNTIF($EV$2:$EV$92, EV209)/(COUNTIF($EV$2:$EV$92, "&lt;&gt;""") - COUNTIF($EV$2:$EV$92, ""))</f>
        <v>5.5555555555555552E-2</v>
      </c>
      <c r="EX209" s="36" t="str">
        <f t="shared" si="87"/>
        <v>Yes</v>
      </c>
      <c r="EY209" s="40">
        <f>COUNTIF($EX$2:$EX$92, EX209)/(COUNTIF($EX$2:$EX$92, "&lt;&gt;""") - COUNTIF($EX$2:$EX$92, ""))</f>
        <v>0.27777777777777779</v>
      </c>
      <c r="EZ209" s="36" t="str">
        <f t="shared" ref="EZ209:FB209" si="352">BM209</f>
        <v>No</v>
      </c>
      <c r="FA209" s="36" t="str">
        <f t="shared" si="352"/>
        <v>No</v>
      </c>
      <c r="FB209" s="36" t="str">
        <f t="shared" si="352"/>
        <v>No</v>
      </c>
      <c r="FC209" s="207"/>
      <c r="FD209" s="36" t="str">
        <f t="shared" si="89"/>
        <v>Transactional</v>
      </c>
      <c r="FE209" s="40">
        <f>COUNTIF($FD$2:$FD$92, FD209)/(COUNTIF($FD$2:$FD$92, "&lt;&gt;""") - COUNTIF($FD$2:$FD$92, ""))</f>
        <v>0.6</v>
      </c>
      <c r="FF209" s="36" t="str">
        <f t="shared" si="90"/>
        <v>B2C</v>
      </c>
      <c r="FG209" s="40">
        <f>COUNTIF($FF$2:$FF$92, FF209)/(COUNTIF($FF$2:$FF$92, "&lt;&gt;""") - COUNTIF($FF$2:$FF$92, ""))</f>
        <v>0.41111111111111109</v>
      </c>
      <c r="FH209" s="36" t="str">
        <f t="shared" si="91"/>
        <v>High</v>
      </c>
      <c r="FI209" s="40">
        <f>COUNTIF($FH$2:$FH$92, FH209)/(COUNTIF($FH$2:$FH$92, "&lt;&gt;""") - COUNTIF($FH$2:$FH$92, ""))</f>
        <v>0.53333333333333333</v>
      </c>
      <c r="FJ209" s="36" t="str">
        <f t="shared" si="92"/>
        <v>Low</v>
      </c>
      <c r="FK209" s="40">
        <f>COUNTIF($FJ$2:$FJ$92, FJ209)/(COUNTIF($FJ$2:$FJ$92, "&lt;&gt;""") - COUNTIF($FJ$2:$FJ$92, ""))</f>
        <v>0.41111111111111109</v>
      </c>
      <c r="FL209" s="207"/>
      <c r="FM209" s="192">
        <f t="shared" si="93"/>
        <v>5</v>
      </c>
      <c r="FN209" s="192" t="e">
        <f t="shared" ca="1" si="94"/>
        <v>#NAME?</v>
      </c>
      <c r="FO209" s="192" t="e">
        <f t="shared" ca="1" si="95"/>
        <v>#NAME?</v>
      </c>
      <c r="FP209" s="192" t="e">
        <f t="shared" ca="1" si="96"/>
        <v>#NAME?</v>
      </c>
      <c r="FQ209" s="209" t="e">
        <f t="shared" ca="1" si="97"/>
        <v>#NAME?</v>
      </c>
      <c r="FR209" s="208" t="e">
        <f t="shared" ca="1" si="346"/>
        <v>#NAME?</v>
      </c>
      <c r="FS209" s="36" t="str">
        <f t="shared" si="99"/>
        <v>Pre-Profit</v>
      </c>
      <c r="FT209" s="196">
        <f>COUNTIF($FS$2:$FS$92, FS209)/(COUNTIF($FS$2:$FS$92, "&lt;&gt;""") - COUNTIF($FZ$2:$FZ$92, ""))</f>
        <v>0.51111111111111107</v>
      </c>
      <c r="FU209" s="207"/>
      <c r="FV209" s="192" t="e">
        <f t="shared" ca="1" si="100"/>
        <v>#NAME?</v>
      </c>
      <c r="FW209" s="197" t="e">
        <f t="shared" ca="1" si="101"/>
        <v>#NAME?</v>
      </c>
      <c r="FX209" s="209" t="e">
        <f t="shared" ca="1" si="102"/>
        <v>#NAME?</v>
      </c>
      <c r="FY209" s="211" t="e">
        <f t="shared" ca="1" si="347"/>
        <v>#NAME?</v>
      </c>
      <c r="FZ209" s="36" t="str">
        <f t="shared" si="104"/>
        <v>No</v>
      </c>
      <c r="GA209" s="196">
        <f>COUNTIF($FZ$2:$FZ$92, FZ209)/(COUNTIF($FZ$2:$FZ$92, "&lt;&gt;""") - COUNTIF($FZ$2:$FZ$92, ""))</f>
        <v>0.76666666666666672</v>
      </c>
      <c r="GB209" s="196">
        <f t="shared" si="105"/>
        <v>0</v>
      </c>
      <c r="GC209" s="196">
        <f>COUNTIF($GB$2:$GB$92, GB209)/(COUNTIF($GB$2:$GB$92, "&lt;&gt;""") - COUNTIF($GB$2:$GB$92, ""))</f>
        <v>1.1111111111111112E-2</v>
      </c>
      <c r="GD209" s="196">
        <f t="shared" si="106"/>
        <v>0</v>
      </c>
      <c r="GE209" s="196">
        <f>COUNTIF($GD$2:$GD$92, GD209)/(COUNTIF($GD$2:$GD$92, "&lt;&gt;""") - COUNTIF($GD$2:$GD$92, ""))</f>
        <v>1.1111111111111112E-2</v>
      </c>
      <c r="GF209" s="207"/>
      <c r="GG209" s="36"/>
      <c r="GH209" s="209" t="e">
        <f t="shared" ca="1" si="107"/>
        <v>#NAME?</v>
      </c>
      <c r="GI209" s="212" t="e">
        <f t="shared" ca="1" si="348"/>
        <v>#NAME?</v>
      </c>
    </row>
    <row r="210" spans="1:191" ht="15.75" customHeight="1">
      <c r="A210" s="171"/>
      <c r="B210" s="171" t="s">
        <v>501</v>
      </c>
      <c r="C210" s="16">
        <v>1794263</v>
      </c>
      <c r="D210" s="233" t="s">
        <v>1595</v>
      </c>
      <c r="E210" s="270">
        <v>43784.561805555553</v>
      </c>
      <c r="F210" s="16" t="s">
        <v>325</v>
      </c>
      <c r="G210" s="235" t="s">
        <v>1596</v>
      </c>
      <c r="H210" s="235" t="s">
        <v>1597</v>
      </c>
      <c r="I210" s="241">
        <v>43784</v>
      </c>
      <c r="J210" s="233" t="s">
        <v>1598</v>
      </c>
      <c r="K210" s="233" t="s">
        <v>1595</v>
      </c>
      <c r="M210" s="29" t="s">
        <v>747</v>
      </c>
      <c r="N210" s="16" t="s">
        <v>300</v>
      </c>
      <c r="O210" s="16" t="s">
        <v>30</v>
      </c>
      <c r="P210" s="16" t="s">
        <v>31</v>
      </c>
      <c r="Q210" s="16" t="s">
        <v>35</v>
      </c>
      <c r="S210" s="16" t="s">
        <v>34</v>
      </c>
      <c r="T210" s="237"/>
      <c r="U210" s="213"/>
      <c r="V210" s="54"/>
      <c r="W210" s="54">
        <v>3666666</v>
      </c>
      <c r="X210" s="226">
        <v>0</v>
      </c>
      <c r="Y210" s="55">
        <f t="shared" si="158"/>
        <v>3666666</v>
      </c>
      <c r="Z210" s="274">
        <f t="shared" si="159"/>
        <v>3666666</v>
      </c>
      <c r="AA210" s="183" t="e">
        <f t="shared" ca="1" si="160"/>
        <v>#NAME?</v>
      </c>
      <c r="AB210" s="16" t="s">
        <v>36</v>
      </c>
      <c r="AC210" s="16" t="s">
        <v>218</v>
      </c>
      <c r="AD210" s="16" t="s">
        <v>38</v>
      </c>
      <c r="AE210" s="16" t="s">
        <v>227</v>
      </c>
      <c r="AF210" s="16" t="s">
        <v>39</v>
      </c>
      <c r="AG210" s="16" t="s">
        <v>181</v>
      </c>
      <c r="AH210" s="16" t="s">
        <v>190</v>
      </c>
      <c r="AI210" s="54"/>
      <c r="AJ210" s="278">
        <v>57200000000</v>
      </c>
      <c r="AK210" s="224" t="e">
        <f t="shared" ca="1" si="161"/>
        <v>#NAME?</v>
      </c>
      <c r="AL210" s="278">
        <v>11390000000</v>
      </c>
      <c r="AM210" s="224" t="e">
        <f t="shared" ca="1" si="162"/>
        <v>#NAME?</v>
      </c>
      <c r="AN210" s="278">
        <v>0.08</v>
      </c>
      <c r="AO210" s="185" t="e">
        <f t="shared" ca="1" si="63"/>
        <v>#NAME?</v>
      </c>
      <c r="AP210" s="185" t="s">
        <v>228</v>
      </c>
      <c r="AQ210" s="16" t="s">
        <v>181</v>
      </c>
      <c r="AR210" s="16" t="s">
        <v>181</v>
      </c>
      <c r="AS210" s="16" t="s">
        <v>42</v>
      </c>
      <c r="AT210" s="159"/>
      <c r="AU210" s="159"/>
      <c r="AV210" s="16" t="s">
        <v>227</v>
      </c>
      <c r="AW210" s="16" t="s">
        <v>190</v>
      </c>
      <c r="AX210" s="16" t="s">
        <v>227</v>
      </c>
      <c r="AY210" s="16" t="s">
        <v>190</v>
      </c>
      <c r="AZ210" s="54">
        <v>0</v>
      </c>
      <c r="BA210" s="55" t="e">
        <f t="shared" ca="1" si="163"/>
        <v>#NAME?</v>
      </c>
      <c r="BB210" s="278">
        <v>0</v>
      </c>
      <c r="BC210" s="278">
        <v>0</v>
      </c>
      <c r="BD210" s="62" t="e">
        <f t="shared" ca="1" si="164"/>
        <v>#NAME?</v>
      </c>
      <c r="BE210" s="277">
        <f t="shared" si="165"/>
        <v>1</v>
      </c>
      <c r="BF210" s="62" t="e">
        <f t="shared" ca="1" si="166"/>
        <v>#NAME?</v>
      </c>
      <c r="BG210" s="16" t="s">
        <v>183</v>
      </c>
      <c r="BI210" s="16" t="s">
        <v>227</v>
      </c>
      <c r="BJ210" s="16">
        <v>2</v>
      </c>
      <c r="BK210" s="278">
        <v>2</v>
      </c>
      <c r="BL210" s="16" t="s">
        <v>190</v>
      </c>
      <c r="BM210" s="16" t="s">
        <v>227</v>
      </c>
      <c r="BN210" s="16" t="s">
        <v>190</v>
      </c>
      <c r="BO210" s="16" t="s">
        <v>190</v>
      </c>
      <c r="BP210" s="16">
        <v>6</v>
      </c>
      <c r="BQ210" s="16">
        <v>2</v>
      </c>
      <c r="BR210" s="16">
        <v>1</v>
      </c>
      <c r="BS210" s="16">
        <v>0</v>
      </c>
      <c r="BT210" s="205"/>
      <c r="BU210" s="16">
        <v>0</v>
      </c>
      <c r="BV210" s="16">
        <v>0</v>
      </c>
      <c r="BW210" s="16">
        <v>34</v>
      </c>
      <c r="BX210" s="16" t="s">
        <v>227</v>
      </c>
      <c r="BY210" s="205"/>
      <c r="BZ210" s="16">
        <v>0</v>
      </c>
      <c r="CA210" s="16">
        <v>0</v>
      </c>
      <c r="CB210" s="16">
        <v>32</v>
      </c>
      <c r="CC210" s="16" t="s">
        <v>227</v>
      </c>
      <c r="CD210" s="205"/>
      <c r="CI210" s="205"/>
      <c r="CN210" s="205"/>
      <c r="CS210" s="205"/>
      <c r="CX210" s="205"/>
      <c r="DC210" s="205"/>
      <c r="DH210" s="205"/>
      <c r="DM210" s="205"/>
      <c r="DN210" s="205"/>
      <c r="DO210" s="205"/>
      <c r="DQ210" s="206"/>
      <c r="DR210" s="188">
        <f t="shared" si="64"/>
        <v>0</v>
      </c>
      <c r="DS210" s="188"/>
      <c r="DT210" s="189">
        <f t="shared" si="65"/>
        <v>0</v>
      </c>
      <c r="DU210" s="189"/>
      <c r="DV210" s="188">
        <f t="shared" si="66"/>
        <v>33</v>
      </c>
      <c r="DW210" s="183" t="e">
        <f t="shared" ca="1" si="67"/>
        <v>#NAME?</v>
      </c>
      <c r="DX210" s="207"/>
      <c r="DY210" s="190" t="e">
        <f t="shared" ca="1" si="68"/>
        <v>#NAME?</v>
      </c>
      <c r="DZ210" s="191">
        <f t="shared" si="338"/>
        <v>1</v>
      </c>
      <c r="EA210" s="191" t="str">
        <f t="shared" si="339"/>
        <v/>
      </c>
      <c r="EB210" s="191" t="str">
        <f t="shared" si="340"/>
        <v/>
      </c>
      <c r="EC210" s="208" t="e">
        <f t="shared" ca="1" si="72"/>
        <v>#NAME?</v>
      </c>
      <c r="ED210" s="36" t="str">
        <f t="shared" si="73"/>
        <v>CAFES</v>
      </c>
      <c r="EE210" s="193">
        <f>COUNTIF($ED$2:$ED$92, ED210)/(COUNTIF($ED$2:$ED$92, "&lt;&gt;""") - COUNTIF($ED$2:$ED$92, ""))</f>
        <v>0.1</v>
      </c>
      <c r="EF210" s="36" t="str">
        <f t="shared" si="74"/>
        <v>Early</v>
      </c>
      <c r="EG210" s="207"/>
      <c r="EH210" s="194" t="e">
        <f t="shared" ca="1" si="75"/>
        <v>#NAME?</v>
      </c>
      <c r="EI210" s="194" t="e">
        <f t="shared" ca="1" si="76"/>
        <v>#NAME?</v>
      </c>
      <c r="EJ210" s="209" t="e">
        <f t="shared" ca="1" si="77"/>
        <v>#NAME?</v>
      </c>
      <c r="EK210" s="208" t="e">
        <f t="shared" ca="1" si="341"/>
        <v>#NAME?</v>
      </c>
      <c r="EL210" s="36" t="str">
        <f t="shared" si="79"/>
        <v>Yes</v>
      </c>
      <c r="EM210" s="207"/>
      <c r="EN210" s="192">
        <f t="shared" si="342"/>
        <v>1</v>
      </c>
      <c r="EO210" s="192">
        <f t="shared" si="343"/>
        <v>1</v>
      </c>
      <c r="EP210" s="209">
        <f t="shared" si="82"/>
        <v>2</v>
      </c>
      <c r="EQ210" s="210">
        <f t="shared" si="344"/>
        <v>1</v>
      </c>
      <c r="ER210" s="36" t="e">
        <f t="shared" ca="1" si="84"/>
        <v>#NAME?</v>
      </c>
      <c r="ES210" s="40">
        <f ca="1">COUNTIF($ER$2:$ER$92, ER210)/(COUNTIF($ER$2:$ER$92, "&lt;&gt;""") - COUNTIF($ER$2:$ER$92, ""))</f>
        <v>1</v>
      </c>
      <c r="ET210" s="36">
        <f t="shared" si="85"/>
        <v>2</v>
      </c>
      <c r="EU210" s="40">
        <f>COUNTIF($ET$2:$ET$92, ET210)/(COUNTIF($ET$2:$ET$92, "&lt;&gt;""") - COUNTIF($ET$2:$ET$92, ""))</f>
        <v>0.45555555555555555</v>
      </c>
      <c r="EV210" s="36">
        <f t="shared" si="86"/>
        <v>2</v>
      </c>
      <c r="EW210" s="40">
        <f>COUNTIF($EV$2:$EV$92, EV210)/(COUNTIF($EV$2:$EV$92, "&lt;&gt;""") - COUNTIF($EV$2:$EV$92, ""))</f>
        <v>0.15555555555555556</v>
      </c>
      <c r="EX210" s="36" t="str">
        <f t="shared" si="87"/>
        <v>No</v>
      </c>
      <c r="EY210" s="40">
        <f>COUNTIF($EX$2:$EX$92, EX210)/(COUNTIF($EX$2:$EX$92, "&lt;&gt;""") - COUNTIF($EX$2:$EX$92, ""))</f>
        <v>0.72222222222222221</v>
      </c>
      <c r="EZ210" s="36" t="str">
        <f t="shared" ref="EZ210:FB210" si="353">BM210</f>
        <v>Yes</v>
      </c>
      <c r="FA210" s="36" t="str">
        <f t="shared" si="353"/>
        <v>No</v>
      </c>
      <c r="FB210" s="36" t="str">
        <f t="shared" si="353"/>
        <v>No</v>
      </c>
      <c r="FC210" s="207"/>
      <c r="FD210" s="36" t="str">
        <f t="shared" si="89"/>
        <v>Transactional</v>
      </c>
      <c r="FE210" s="40">
        <f>COUNTIF($FD$2:$FD$92, FD210)/(COUNTIF($FD$2:$FD$92, "&lt;&gt;""") - COUNTIF($FD$2:$FD$92, ""))</f>
        <v>0.6</v>
      </c>
      <c r="FF210" s="36" t="str">
        <f t="shared" si="90"/>
        <v>B2B/B2C</v>
      </c>
      <c r="FG210" s="40">
        <f>COUNTIF($FF$2:$FF$92, FF210)/(COUNTIF($FF$2:$FF$92, "&lt;&gt;""") - COUNTIF($FF$2:$FF$92, ""))</f>
        <v>0.27777777777777779</v>
      </c>
      <c r="FH210" s="36" t="str">
        <f t="shared" si="91"/>
        <v>High</v>
      </c>
      <c r="FI210" s="40">
        <f>COUNTIF($FH$2:$FH$92, FH210)/(COUNTIF($FH$2:$FH$92, "&lt;&gt;""") - COUNTIF($FH$2:$FH$92, ""))</f>
        <v>0.53333333333333333</v>
      </c>
      <c r="FJ210" s="36" t="str">
        <f t="shared" si="92"/>
        <v>Low</v>
      </c>
      <c r="FK210" s="40">
        <f>COUNTIF($FJ$2:$FJ$92, FJ210)/(COUNTIF($FJ$2:$FJ$92, "&lt;&gt;""") - COUNTIF($FJ$2:$FJ$92, ""))</f>
        <v>0.41111111111111109</v>
      </c>
      <c r="FL210" s="207"/>
      <c r="FM210" s="192">
        <f t="shared" si="93"/>
        <v>3</v>
      </c>
      <c r="FN210" s="192" t="e">
        <f t="shared" ca="1" si="94"/>
        <v>#NAME?</v>
      </c>
      <c r="FO210" s="192" t="e">
        <f t="shared" ca="1" si="95"/>
        <v>#NAME?</v>
      </c>
      <c r="FP210" s="192" t="e">
        <f t="shared" ca="1" si="96"/>
        <v>#NAME?</v>
      </c>
      <c r="FQ210" s="209" t="e">
        <f t="shared" ca="1" si="97"/>
        <v>#NAME?</v>
      </c>
      <c r="FR210" s="208" t="e">
        <f t="shared" ca="1" si="346"/>
        <v>#NAME?</v>
      </c>
      <c r="FS210" s="36" t="str">
        <f t="shared" si="99"/>
        <v>Pre-Revenue</v>
      </c>
      <c r="FT210" s="196">
        <f>COUNTIF($FS$2:$FS$92, FS210)/(COUNTIF($FS$2:$FS$92, "&lt;&gt;""") - COUNTIF($FZ$2:$FZ$92, ""))</f>
        <v>0.2</v>
      </c>
      <c r="FU210" s="207"/>
      <c r="FV210" s="192" t="e">
        <f t="shared" ca="1" si="100"/>
        <v>#NAME?</v>
      </c>
      <c r="FW210" s="197" t="e">
        <f t="shared" ca="1" si="101"/>
        <v>#NAME?</v>
      </c>
      <c r="FX210" s="209" t="e">
        <f t="shared" ca="1" si="102"/>
        <v>#NAME?</v>
      </c>
      <c r="FY210" s="211" t="e">
        <f t="shared" ca="1" si="347"/>
        <v>#NAME?</v>
      </c>
      <c r="FZ210" s="36" t="str">
        <f t="shared" si="104"/>
        <v>No</v>
      </c>
      <c r="GA210" s="196">
        <f>COUNTIF($FZ$2:$FZ$92, FZ210)/(COUNTIF($FZ$2:$FZ$92, "&lt;&gt;""") - COUNTIF($FZ$2:$FZ$92, ""))</f>
        <v>0.76666666666666672</v>
      </c>
      <c r="GB210" s="196">
        <f t="shared" si="105"/>
        <v>0</v>
      </c>
      <c r="GC210" s="196">
        <f>COUNTIF($GB$2:$GB$92, GB210)/(COUNTIF($GB$2:$GB$92, "&lt;&gt;""") - COUNTIF($GB$2:$GB$92, ""))</f>
        <v>1.1111111111111112E-2</v>
      </c>
      <c r="GD210" s="196">
        <f t="shared" si="106"/>
        <v>0</v>
      </c>
      <c r="GE210" s="196">
        <f>COUNTIF($GD$2:$GD$92, GD210)/(COUNTIF($GD$2:$GD$92, "&lt;&gt;""") - COUNTIF($GD$2:$GD$92, ""))</f>
        <v>1.1111111111111112E-2</v>
      </c>
      <c r="GF210" s="207"/>
      <c r="GG210" s="36"/>
      <c r="GH210" s="209" t="e">
        <f t="shared" ca="1" si="107"/>
        <v>#NAME?</v>
      </c>
      <c r="GI210" s="212" t="e">
        <f t="shared" ca="1" si="348"/>
        <v>#NAME?</v>
      </c>
    </row>
    <row r="211" spans="1:191" ht="15.75" customHeight="1">
      <c r="A211" s="171"/>
      <c r="B211" s="171" t="s">
        <v>501</v>
      </c>
      <c r="C211" s="16">
        <v>1398488</v>
      </c>
      <c r="D211" s="233" t="s">
        <v>1599</v>
      </c>
      <c r="E211" s="270">
        <v>43787.428472222222</v>
      </c>
      <c r="F211" s="16" t="s">
        <v>316</v>
      </c>
      <c r="G211" s="235" t="s">
        <v>1600</v>
      </c>
      <c r="H211" s="235" t="s">
        <v>1601</v>
      </c>
      <c r="I211" s="241">
        <v>43892</v>
      </c>
      <c r="J211" s="233" t="s">
        <v>1602</v>
      </c>
      <c r="K211" s="233" t="s">
        <v>1603</v>
      </c>
      <c r="M211" s="29" t="s">
        <v>747</v>
      </c>
      <c r="N211" s="16" t="s">
        <v>168</v>
      </c>
      <c r="O211" s="16" t="s">
        <v>30</v>
      </c>
      <c r="P211" s="16" t="s">
        <v>174</v>
      </c>
      <c r="Q211" s="16" t="s">
        <v>35</v>
      </c>
      <c r="S211" s="16" t="s">
        <v>216</v>
      </c>
      <c r="T211" s="237"/>
      <c r="U211" s="213"/>
      <c r="V211" s="54">
        <v>9497442</v>
      </c>
      <c r="W211" s="54"/>
      <c r="X211" s="226"/>
      <c r="Y211" s="55" t="str">
        <f t="shared" si="158"/>
        <v/>
      </c>
      <c r="Z211" s="274">
        <f t="shared" si="159"/>
        <v>9497442</v>
      </c>
      <c r="AA211" s="183" t="e">
        <f t="shared" ca="1" si="160"/>
        <v>#NAME?</v>
      </c>
      <c r="AB211" s="16" t="s">
        <v>36</v>
      </c>
      <c r="AC211" s="16" t="s">
        <v>218</v>
      </c>
      <c r="AD211" s="16" t="s">
        <v>38</v>
      </c>
      <c r="AE211" s="16" t="s">
        <v>227</v>
      </c>
      <c r="AF211" s="16" t="s">
        <v>181</v>
      </c>
      <c r="AG211" s="16" t="s">
        <v>181</v>
      </c>
      <c r="AH211" s="16" t="s">
        <v>190</v>
      </c>
      <c r="AI211" s="54"/>
      <c r="AJ211" s="278">
        <v>186100000000</v>
      </c>
      <c r="AK211" s="224" t="e">
        <f t="shared" ca="1" si="161"/>
        <v>#NAME?</v>
      </c>
      <c r="AL211" s="278">
        <v>186100000000</v>
      </c>
      <c r="AM211" s="224" t="e">
        <f t="shared" ca="1" si="162"/>
        <v>#NAME?</v>
      </c>
      <c r="AN211" s="278">
        <v>0.09</v>
      </c>
      <c r="AO211" s="185" t="e">
        <f t="shared" ca="1" si="63"/>
        <v>#NAME?</v>
      </c>
      <c r="AP211" s="185" t="s">
        <v>264</v>
      </c>
      <c r="AQ211" s="16" t="s">
        <v>181</v>
      </c>
      <c r="AR211" s="16" t="s">
        <v>181</v>
      </c>
      <c r="AS211" s="16" t="s">
        <v>42</v>
      </c>
      <c r="AT211" s="159"/>
      <c r="AU211" s="159"/>
      <c r="AV211" s="16" t="s">
        <v>190</v>
      </c>
      <c r="AW211" s="16" t="s">
        <v>190</v>
      </c>
      <c r="AX211" s="16" t="s">
        <v>227</v>
      </c>
      <c r="AY211" s="16" t="s">
        <v>227</v>
      </c>
      <c r="AZ211" s="54">
        <v>0</v>
      </c>
      <c r="BA211" s="55" t="e">
        <f t="shared" ca="1" si="163"/>
        <v>#NAME?</v>
      </c>
      <c r="BB211" s="278">
        <v>2465</v>
      </c>
      <c r="BC211" s="278">
        <v>953579</v>
      </c>
      <c r="BD211" s="62" t="e">
        <f t="shared" ca="1" si="164"/>
        <v>#NAME?</v>
      </c>
      <c r="BE211" s="277">
        <f t="shared" si="165"/>
        <v>2.5849982015124073E-3</v>
      </c>
      <c r="BF211" s="62" t="e">
        <f t="shared" ca="1" si="166"/>
        <v>#NAME?</v>
      </c>
      <c r="BG211" s="16" t="s">
        <v>183</v>
      </c>
      <c r="BI211" s="16" t="s">
        <v>190</v>
      </c>
      <c r="BJ211" s="16">
        <v>0</v>
      </c>
      <c r="BK211" s="278">
        <v>1</v>
      </c>
      <c r="BL211" s="16" t="s">
        <v>227</v>
      </c>
      <c r="BM211" s="16" t="s">
        <v>190</v>
      </c>
      <c r="BN211" s="16" t="s">
        <v>190</v>
      </c>
      <c r="BO211" s="16" t="s">
        <v>190</v>
      </c>
      <c r="BP211" s="16">
        <v>1</v>
      </c>
      <c r="BQ211" s="16">
        <v>5</v>
      </c>
      <c r="BR211" s="16">
        <v>1</v>
      </c>
      <c r="BS211" s="16">
        <v>0</v>
      </c>
      <c r="BT211" s="205"/>
      <c r="BU211" s="16">
        <v>14</v>
      </c>
      <c r="BV211" s="16">
        <v>0</v>
      </c>
      <c r="BW211" s="16">
        <v>52</v>
      </c>
      <c r="BX211" s="16" t="s">
        <v>190</v>
      </c>
      <c r="BY211" s="205"/>
      <c r="CD211" s="205"/>
      <c r="CI211" s="205"/>
      <c r="CN211" s="205"/>
      <c r="CS211" s="205"/>
      <c r="CX211" s="205"/>
      <c r="DC211" s="205"/>
      <c r="DH211" s="205"/>
      <c r="DM211" s="205"/>
      <c r="DN211" s="205"/>
      <c r="DO211" s="205"/>
      <c r="DQ211" s="206"/>
      <c r="DR211" s="188">
        <f t="shared" si="64"/>
        <v>14</v>
      </c>
      <c r="DS211" s="188"/>
      <c r="DT211" s="189">
        <f t="shared" si="65"/>
        <v>0</v>
      </c>
      <c r="DU211" s="189"/>
      <c r="DV211" s="188">
        <f t="shared" si="66"/>
        <v>52</v>
      </c>
      <c r="DW211" s="183" t="e">
        <f t="shared" ca="1" si="67"/>
        <v>#NAME?</v>
      </c>
      <c r="DX211" s="207"/>
      <c r="DY211" s="190" t="e">
        <f t="shared" ca="1" si="68"/>
        <v>#NAME?</v>
      </c>
      <c r="DZ211" s="191" t="str">
        <f t="shared" si="338"/>
        <v/>
      </c>
      <c r="EA211" s="191" t="str">
        <f t="shared" si="339"/>
        <v/>
      </c>
      <c r="EB211" s="191" t="str">
        <f t="shared" si="340"/>
        <v/>
      </c>
      <c r="EC211" s="208" t="e">
        <f t="shared" ca="1" si="72"/>
        <v>#NAME?</v>
      </c>
      <c r="ED211" s="36" t="str">
        <f t="shared" si="73"/>
        <v>Equity - Common</v>
      </c>
      <c r="EE211" s="193">
        <f>COUNTIF($ED$2:$ED$92, ED211)/(COUNTIF($ED$2:$ED$92, "&lt;&gt;""") - COUNTIF($ED$2:$ED$92, ""))</f>
        <v>0.32222222222222224</v>
      </c>
      <c r="EF211" s="36" t="str">
        <f t="shared" si="74"/>
        <v>Early</v>
      </c>
      <c r="EG211" s="207"/>
      <c r="EH211" s="194" t="e">
        <f t="shared" ca="1" si="75"/>
        <v>#NAME?</v>
      </c>
      <c r="EI211" s="194" t="e">
        <f t="shared" ca="1" si="76"/>
        <v>#NAME?</v>
      </c>
      <c r="EJ211" s="209" t="e">
        <f t="shared" ca="1" si="77"/>
        <v>#NAME?</v>
      </c>
      <c r="EK211" s="208" t="e">
        <f t="shared" ca="1" si="341"/>
        <v>#NAME?</v>
      </c>
      <c r="EL211" s="36" t="str">
        <f t="shared" si="79"/>
        <v>No</v>
      </c>
      <c r="EM211" s="207"/>
      <c r="EN211" s="192">
        <f t="shared" si="342"/>
        <v>2.333333333333333</v>
      </c>
      <c r="EO211" s="192">
        <f t="shared" si="343"/>
        <v>1</v>
      </c>
      <c r="EP211" s="209">
        <f t="shared" si="82"/>
        <v>3.333333333333333</v>
      </c>
      <c r="EQ211" s="210">
        <f t="shared" si="344"/>
        <v>2.0467289719626169</v>
      </c>
      <c r="ER211" s="36" t="e">
        <f t="shared" ca="1" si="84"/>
        <v>#NAME?</v>
      </c>
      <c r="ES211" s="40">
        <f ca="1">COUNTIF($ER$2:$ER$92, ER211)/(COUNTIF($ER$2:$ER$92, "&lt;&gt;""") - COUNTIF($ER$2:$ER$92, ""))</f>
        <v>1</v>
      </c>
      <c r="ET211" s="36">
        <f t="shared" si="85"/>
        <v>1</v>
      </c>
      <c r="EU211" s="40">
        <f>COUNTIF($ET$2:$ET$92, ET211)/(COUNTIF($ET$2:$ET$92, "&lt;&gt;""") - COUNTIF($ET$2:$ET$92, ""))</f>
        <v>0.45555555555555555</v>
      </c>
      <c r="EV211" s="36">
        <f t="shared" si="86"/>
        <v>5</v>
      </c>
      <c r="EW211" s="40">
        <f>COUNTIF($EV$2:$EV$92, EV211)/(COUNTIF($EV$2:$EV$92, "&lt;&gt;""") - COUNTIF($EV$2:$EV$92, ""))</f>
        <v>0.13333333333333333</v>
      </c>
      <c r="EX211" s="36" t="str">
        <f t="shared" si="87"/>
        <v>Yes</v>
      </c>
      <c r="EY211" s="40">
        <f>COUNTIF($EX$2:$EX$92, EX211)/(COUNTIF($EX$2:$EX$92, "&lt;&gt;""") - COUNTIF($EX$2:$EX$92, ""))</f>
        <v>0.27777777777777779</v>
      </c>
      <c r="EZ211" s="36" t="str">
        <f t="shared" ref="EZ211:FB211" si="354">BM211</f>
        <v>No</v>
      </c>
      <c r="FA211" s="36" t="str">
        <f t="shared" si="354"/>
        <v>No</v>
      </c>
      <c r="FB211" s="36" t="str">
        <f t="shared" si="354"/>
        <v>No</v>
      </c>
      <c r="FC211" s="207"/>
      <c r="FD211" s="36" t="str">
        <f t="shared" si="89"/>
        <v>Transactional</v>
      </c>
      <c r="FE211" s="40">
        <f>COUNTIF($FD$2:$FD$92, FD211)/(COUNTIF($FD$2:$FD$92, "&lt;&gt;""") - COUNTIF($FD$2:$FD$92, ""))</f>
        <v>0.6</v>
      </c>
      <c r="FF211" s="36" t="str">
        <f t="shared" si="90"/>
        <v>B2B/B2C</v>
      </c>
      <c r="FG211" s="40">
        <f>COUNTIF($FF$2:$FF$92, FF211)/(COUNTIF($FF$2:$FF$92, "&lt;&gt;""") - COUNTIF($FF$2:$FF$92, ""))</f>
        <v>0.27777777777777779</v>
      </c>
      <c r="FH211" s="36" t="str">
        <f t="shared" si="91"/>
        <v>Low</v>
      </c>
      <c r="FI211" s="40">
        <f>COUNTIF($FH$2:$FH$92, FH211)/(COUNTIF($FH$2:$FH$92, "&lt;&gt;""") - COUNTIF($FH$2:$FH$92, ""))</f>
        <v>0.46666666666666667</v>
      </c>
      <c r="FJ211" s="36" t="str">
        <f t="shared" si="92"/>
        <v>Low</v>
      </c>
      <c r="FK211" s="40">
        <f>COUNTIF($FJ$2:$FJ$92, FJ211)/(COUNTIF($FJ$2:$FJ$92, "&lt;&gt;""") - COUNTIF($FJ$2:$FJ$92, ""))</f>
        <v>0.41111111111111109</v>
      </c>
      <c r="FL211" s="207"/>
      <c r="FM211" s="192">
        <f t="shared" si="93"/>
        <v>5</v>
      </c>
      <c r="FN211" s="192" t="e">
        <f t="shared" ca="1" si="94"/>
        <v>#NAME?</v>
      </c>
      <c r="FO211" s="192" t="e">
        <f t="shared" ca="1" si="95"/>
        <v>#NAME?</v>
      </c>
      <c r="FP211" s="192" t="e">
        <f t="shared" ca="1" si="96"/>
        <v>#NAME?</v>
      </c>
      <c r="FQ211" s="209" t="e">
        <f t="shared" ca="1" si="97"/>
        <v>#NAME?</v>
      </c>
      <c r="FR211" s="208" t="e">
        <f t="shared" ca="1" si="346"/>
        <v>#NAME?</v>
      </c>
      <c r="FS211" s="36" t="str">
        <f t="shared" si="99"/>
        <v>Pre-Revenue</v>
      </c>
      <c r="FT211" s="196">
        <f>COUNTIF($FS$2:$FS$92, FS211)/(COUNTIF($FS$2:$FS$92, "&lt;&gt;""") - COUNTIF($FZ$2:$FZ$92, ""))</f>
        <v>0.2</v>
      </c>
      <c r="FU211" s="207"/>
      <c r="FV211" s="192" t="e">
        <f t="shared" ca="1" si="100"/>
        <v>#NAME?</v>
      </c>
      <c r="FW211" s="197" t="e">
        <f t="shared" ca="1" si="101"/>
        <v>#NAME?</v>
      </c>
      <c r="FX211" s="209" t="e">
        <f t="shared" ca="1" si="102"/>
        <v>#NAME?</v>
      </c>
      <c r="FY211" s="211" t="e">
        <f t="shared" ca="1" si="347"/>
        <v>#NAME?</v>
      </c>
      <c r="FZ211" s="36" t="str">
        <f t="shared" si="104"/>
        <v>No</v>
      </c>
      <c r="GA211" s="196">
        <f>COUNTIF($FZ$2:$FZ$92, FZ211)/(COUNTIF($FZ$2:$FZ$92, "&lt;&gt;""") - COUNTIF($FZ$2:$FZ$92, ""))</f>
        <v>0.76666666666666672</v>
      </c>
      <c r="GB211" s="196">
        <f t="shared" si="105"/>
        <v>0</v>
      </c>
      <c r="GC211" s="196">
        <f>COUNTIF($GB$2:$GB$92, GB211)/(COUNTIF($GB$2:$GB$92, "&lt;&gt;""") - COUNTIF($GB$2:$GB$92, ""))</f>
        <v>1.1111111111111112E-2</v>
      </c>
      <c r="GD211" s="196">
        <f t="shared" si="106"/>
        <v>0</v>
      </c>
      <c r="GE211" s="196">
        <f>COUNTIF($GD$2:$GD$92, GD211)/(COUNTIF($GD$2:$GD$92, "&lt;&gt;""") - COUNTIF($GD$2:$GD$92, ""))</f>
        <v>1.1111111111111112E-2</v>
      </c>
      <c r="GF211" s="207"/>
      <c r="GG211" s="36"/>
      <c r="GH211" s="209" t="e">
        <f t="shared" ca="1" si="107"/>
        <v>#NAME?</v>
      </c>
      <c r="GI211" s="212" t="e">
        <f t="shared" ca="1" si="348"/>
        <v>#NAME?</v>
      </c>
    </row>
    <row r="212" spans="1:191" ht="15.75" customHeight="1">
      <c r="A212" s="171"/>
      <c r="B212" s="171" t="s">
        <v>501</v>
      </c>
      <c r="C212" s="16">
        <v>1787611</v>
      </c>
      <c r="D212" s="233" t="s">
        <v>1604</v>
      </c>
      <c r="E212" s="270">
        <v>43787.436111111114</v>
      </c>
      <c r="F212" s="16" t="s">
        <v>316</v>
      </c>
      <c r="G212" s="235" t="s">
        <v>1605</v>
      </c>
      <c r="H212" s="235" t="s">
        <v>1606</v>
      </c>
      <c r="I212" s="241">
        <v>43871</v>
      </c>
      <c r="J212" s="233" t="s">
        <v>1607</v>
      </c>
      <c r="K212" s="233" t="s">
        <v>1604</v>
      </c>
      <c r="M212" s="16" t="s">
        <v>1608</v>
      </c>
      <c r="N212" s="16" t="s">
        <v>311</v>
      </c>
      <c r="O212" s="16" t="s">
        <v>30</v>
      </c>
      <c r="P212" s="16" t="s">
        <v>31</v>
      </c>
      <c r="Q212" s="16" t="s">
        <v>35</v>
      </c>
      <c r="S212" s="16" t="s">
        <v>216</v>
      </c>
      <c r="T212" s="237"/>
      <c r="U212" s="213"/>
      <c r="V212" s="54">
        <v>10000000</v>
      </c>
      <c r="W212" s="54"/>
      <c r="X212" s="226"/>
      <c r="Y212" s="55" t="str">
        <f t="shared" si="158"/>
        <v/>
      </c>
      <c r="Z212" s="274">
        <f t="shared" si="159"/>
        <v>10000000</v>
      </c>
      <c r="AA212" s="183" t="e">
        <f t="shared" ca="1" si="160"/>
        <v>#NAME?</v>
      </c>
      <c r="AB212" s="16" t="s">
        <v>36</v>
      </c>
      <c r="AC212" s="16" t="s">
        <v>37</v>
      </c>
      <c r="AD212" s="16" t="s">
        <v>180</v>
      </c>
      <c r="AE212" s="16" t="s">
        <v>227</v>
      </c>
      <c r="AF212" s="16" t="s">
        <v>39</v>
      </c>
      <c r="AG212" s="16" t="s">
        <v>181</v>
      </c>
      <c r="AH212" s="16" t="s">
        <v>190</v>
      </c>
      <c r="AI212" s="54"/>
      <c r="AJ212" s="278">
        <v>1224000000</v>
      </c>
      <c r="AK212" s="224" t="e">
        <f t="shared" ca="1" si="161"/>
        <v>#NAME?</v>
      </c>
      <c r="AL212" s="278">
        <v>1224000000</v>
      </c>
      <c r="AM212" s="224" t="e">
        <f t="shared" ca="1" si="162"/>
        <v>#NAME?</v>
      </c>
      <c r="AN212" s="278">
        <v>7.0000000000000007E-2</v>
      </c>
      <c r="AO212" s="185" t="e">
        <f t="shared" ca="1" si="63"/>
        <v>#NAME?</v>
      </c>
      <c r="AP212" s="185" t="s">
        <v>242</v>
      </c>
      <c r="AQ212" s="16" t="s">
        <v>181</v>
      </c>
      <c r="AR212" s="16" t="s">
        <v>181</v>
      </c>
      <c r="AS212" s="16" t="s">
        <v>42</v>
      </c>
      <c r="AT212" s="159"/>
      <c r="AU212" s="159"/>
      <c r="AV212" s="16" t="s">
        <v>190</v>
      </c>
      <c r="AW212" s="16" t="s">
        <v>190</v>
      </c>
      <c r="AX212" s="16" t="s">
        <v>227</v>
      </c>
      <c r="AY212" s="16" t="s">
        <v>190</v>
      </c>
      <c r="AZ212" s="54">
        <v>0</v>
      </c>
      <c r="BA212" s="55" t="e">
        <f t="shared" ca="1" si="163"/>
        <v>#NAME?</v>
      </c>
      <c r="BB212" s="278">
        <v>833</v>
      </c>
      <c r="BC212" s="278">
        <v>10000</v>
      </c>
      <c r="BD212" s="62" t="e">
        <f t="shared" ca="1" si="164"/>
        <v>#NAME?</v>
      </c>
      <c r="BE212" s="277">
        <f t="shared" si="165"/>
        <v>8.3299999999999999E-2</v>
      </c>
      <c r="BF212" s="62" t="e">
        <f t="shared" ca="1" si="166"/>
        <v>#NAME?</v>
      </c>
      <c r="BG212" s="16" t="s">
        <v>183</v>
      </c>
      <c r="BI212" s="16" t="s">
        <v>190</v>
      </c>
      <c r="BJ212" s="16">
        <v>0</v>
      </c>
      <c r="BK212" s="278">
        <v>1</v>
      </c>
      <c r="BL212" s="16" t="s">
        <v>227</v>
      </c>
      <c r="BM212" s="16" t="s">
        <v>190</v>
      </c>
      <c r="BN212" s="16" t="s">
        <v>190</v>
      </c>
      <c r="BO212" s="16" t="s">
        <v>190</v>
      </c>
      <c r="BP212" s="16">
        <v>5</v>
      </c>
      <c r="BQ212" s="16">
        <v>5</v>
      </c>
      <c r="BR212" s="16">
        <v>0</v>
      </c>
      <c r="BS212" s="16">
        <v>0</v>
      </c>
      <c r="BT212" s="205"/>
      <c r="BU212" s="16">
        <v>41</v>
      </c>
      <c r="BV212" s="16">
        <v>0</v>
      </c>
      <c r="BW212" s="16">
        <v>67</v>
      </c>
      <c r="BX212" s="16" t="s">
        <v>190</v>
      </c>
      <c r="BY212" s="205"/>
      <c r="CD212" s="205"/>
      <c r="CI212" s="205"/>
      <c r="CN212" s="205"/>
      <c r="CS212" s="205"/>
      <c r="CX212" s="205"/>
      <c r="DC212" s="205"/>
      <c r="DH212" s="205"/>
      <c r="DM212" s="205"/>
      <c r="DN212" s="205"/>
      <c r="DO212" s="205"/>
      <c r="DQ212" s="206"/>
      <c r="DR212" s="188">
        <f t="shared" si="64"/>
        <v>41</v>
      </c>
      <c r="DS212" s="188"/>
      <c r="DT212" s="189">
        <f t="shared" si="65"/>
        <v>0</v>
      </c>
      <c r="DU212" s="189"/>
      <c r="DV212" s="188">
        <f t="shared" si="66"/>
        <v>67</v>
      </c>
      <c r="DW212" s="183" t="e">
        <f t="shared" ca="1" si="67"/>
        <v>#NAME?</v>
      </c>
      <c r="DX212" s="207"/>
      <c r="DY212" s="190" t="e">
        <f t="shared" ca="1" si="68"/>
        <v>#NAME?</v>
      </c>
      <c r="DZ212" s="191" t="str">
        <f t="shared" si="338"/>
        <v/>
      </c>
      <c r="EA212" s="191" t="str">
        <f t="shared" si="339"/>
        <v/>
      </c>
      <c r="EB212" s="191" t="str">
        <f t="shared" si="340"/>
        <v/>
      </c>
      <c r="EC212" s="208" t="e">
        <f t="shared" ca="1" si="72"/>
        <v>#NAME?</v>
      </c>
      <c r="ED212" s="36" t="str">
        <f t="shared" si="73"/>
        <v>Equity - Common</v>
      </c>
      <c r="EE212" s="193">
        <f>COUNTIF($ED$2:$ED$92, ED212)/(COUNTIF($ED$2:$ED$92, "&lt;&gt;""") - COUNTIF($ED$2:$ED$92, ""))</f>
        <v>0.32222222222222224</v>
      </c>
      <c r="EF212" s="36" t="str">
        <f t="shared" si="74"/>
        <v>Early</v>
      </c>
      <c r="EG212" s="207"/>
      <c r="EH212" s="194" t="e">
        <f t="shared" ca="1" si="75"/>
        <v>#NAME?</v>
      </c>
      <c r="EI212" s="194" t="e">
        <f t="shared" ca="1" si="76"/>
        <v>#NAME?</v>
      </c>
      <c r="EJ212" s="209" t="e">
        <f t="shared" ca="1" si="77"/>
        <v>#NAME?</v>
      </c>
      <c r="EK212" s="208" t="e">
        <f t="shared" ca="1" si="341"/>
        <v>#NAME?</v>
      </c>
      <c r="EL212" s="36" t="str">
        <f t="shared" si="79"/>
        <v>No</v>
      </c>
      <c r="EM212" s="207"/>
      <c r="EN212" s="192">
        <f t="shared" si="342"/>
        <v>4.9047619047619051</v>
      </c>
      <c r="EO212" s="192">
        <f t="shared" si="343"/>
        <v>1</v>
      </c>
      <c r="EP212" s="209">
        <f t="shared" si="82"/>
        <v>5.9047619047619051</v>
      </c>
      <c r="EQ212" s="210">
        <f t="shared" si="344"/>
        <v>4.0654205607476639</v>
      </c>
      <c r="ER212" s="36" t="e">
        <f t="shared" ca="1" si="84"/>
        <v>#NAME?</v>
      </c>
      <c r="ES212" s="40">
        <f ca="1">COUNTIF($ER$2:$ER$92, ER212)/(COUNTIF($ER$2:$ER$92, "&lt;&gt;""") - COUNTIF($ER$2:$ER$92, ""))</f>
        <v>1</v>
      </c>
      <c r="ET212" s="36">
        <f t="shared" si="85"/>
        <v>1</v>
      </c>
      <c r="EU212" s="40">
        <f>COUNTIF($ET$2:$ET$92, ET212)/(COUNTIF($ET$2:$ET$92, "&lt;&gt;""") - COUNTIF($ET$2:$ET$92, ""))</f>
        <v>0.45555555555555555</v>
      </c>
      <c r="EV212" s="36">
        <f t="shared" si="86"/>
        <v>5</v>
      </c>
      <c r="EW212" s="40">
        <f>COUNTIF($EV$2:$EV$92, EV212)/(COUNTIF($EV$2:$EV$92, "&lt;&gt;""") - COUNTIF($EV$2:$EV$92, ""))</f>
        <v>0.13333333333333333</v>
      </c>
      <c r="EX212" s="36" t="str">
        <f t="shared" si="87"/>
        <v>Yes</v>
      </c>
      <c r="EY212" s="40">
        <f>COUNTIF($EX$2:$EX$92, EX212)/(COUNTIF($EX$2:$EX$92, "&lt;&gt;""") - COUNTIF($EX$2:$EX$92, ""))</f>
        <v>0.27777777777777779</v>
      </c>
      <c r="EZ212" s="36" t="str">
        <f t="shared" ref="EZ212:FB212" si="355">BM212</f>
        <v>No</v>
      </c>
      <c r="FA212" s="36" t="str">
        <f t="shared" si="355"/>
        <v>No</v>
      </c>
      <c r="FB212" s="36" t="str">
        <f t="shared" si="355"/>
        <v>No</v>
      </c>
      <c r="FC212" s="207"/>
      <c r="FD212" s="36" t="str">
        <f t="shared" si="89"/>
        <v>Transactional</v>
      </c>
      <c r="FE212" s="40">
        <f>COUNTIF($FD$2:$FD$92, FD212)/(COUNTIF($FD$2:$FD$92, "&lt;&gt;""") - COUNTIF($FD$2:$FD$92, ""))</f>
        <v>0.6</v>
      </c>
      <c r="FF212" s="36" t="str">
        <f t="shared" si="90"/>
        <v>B2B</v>
      </c>
      <c r="FG212" s="40">
        <f>COUNTIF($FF$2:$FF$92, FF212)/(COUNTIF($FF$2:$FF$92, "&lt;&gt;""") - COUNTIF($FF$2:$FF$92, ""))</f>
        <v>0.24444444444444444</v>
      </c>
      <c r="FH212" s="36" t="str">
        <f t="shared" si="91"/>
        <v>High</v>
      </c>
      <c r="FI212" s="40">
        <f>COUNTIF($FH$2:$FH$92, FH212)/(COUNTIF($FH$2:$FH$92, "&lt;&gt;""") - COUNTIF($FH$2:$FH$92, ""))</f>
        <v>0.53333333333333333</v>
      </c>
      <c r="FJ212" s="36" t="str">
        <f t="shared" si="92"/>
        <v>Low</v>
      </c>
      <c r="FK212" s="40">
        <f>COUNTIF($FJ$2:$FJ$92, FJ212)/(COUNTIF($FJ$2:$FJ$92, "&lt;&gt;""") - COUNTIF($FJ$2:$FJ$92, ""))</f>
        <v>0.41111111111111109</v>
      </c>
      <c r="FL212" s="207"/>
      <c r="FM212" s="192">
        <f t="shared" si="93"/>
        <v>3</v>
      </c>
      <c r="FN212" s="192" t="e">
        <f t="shared" ca="1" si="94"/>
        <v>#NAME?</v>
      </c>
      <c r="FO212" s="192" t="e">
        <f t="shared" ca="1" si="95"/>
        <v>#NAME?</v>
      </c>
      <c r="FP212" s="192" t="e">
        <f t="shared" ca="1" si="96"/>
        <v>#NAME?</v>
      </c>
      <c r="FQ212" s="209" t="e">
        <f t="shared" ca="1" si="97"/>
        <v>#NAME?</v>
      </c>
      <c r="FR212" s="208" t="e">
        <f t="shared" ca="1" si="346"/>
        <v>#NAME?</v>
      </c>
      <c r="FS212" s="36" t="str">
        <f t="shared" si="99"/>
        <v>Pre-Revenue</v>
      </c>
      <c r="FT212" s="196">
        <f>COUNTIF($FS$2:$FS$92, FS212)/(COUNTIF($FS$2:$FS$92, "&lt;&gt;""") - COUNTIF($FZ$2:$FZ$92, ""))</f>
        <v>0.2</v>
      </c>
      <c r="FU212" s="207"/>
      <c r="FV212" s="192" t="e">
        <f t="shared" ca="1" si="100"/>
        <v>#NAME?</v>
      </c>
      <c r="FW212" s="197" t="e">
        <f t="shared" ca="1" si="101"/>
        <v>#NAME?</v>
      </c>
      <c r="FX212" s="209" t="e">
        <f t="shared" ca="1" si="102"/>
        <v>#NAME?</v>
      </c>
      <c r="FY212" s="211" t="e">
        <f t="shared" ca="1" si="347"/>
        <v>#NAME?</v>
      </c>
      <c r="FZ212" s="36" t="str">
        <f t="shared" si="104"/>
        <v>No</v>
      </c>
      <c r="GA212" s="196">
        <f>COUNTIF($FZ$2:$FZ$92, FZ212)/(COUNTIF($FZ$2:$FZ$92, "&lt;&gt;""") - COUNTIF($FZ$2:$FZ$92, ""))</f>
        <v>0.76666666666666672</v>
      </c>
      <c r="GB212" s="196">
        <f t="shared" si="105"/>
        <v>0</v>
      </c>
      <c r="GC212" s="196">
        <f>COUNTIF($GB$2:$GB$92, GB212)/(COUNTIF($GB$2:$GB$92, "&lt;&gt;""") - COUNTIF($GB$2:$GB$92, ""))</f>
        <v>1.1111111111111112E-2</v>
      </c>
      <c r="GD212" s="196">
        <f t="shared" si="106"/>
        <v>0</v>
      </c>
      <c r="GE212" s="196">
        <f>COUNTIF($GD$2:$GD$92, GD212)/(COUNTIF($GD$2:$GD$92, "&lt;&gt;""") - COUNTIF($GD$2:$GD$92, ""))</f>
        <v>1.1111111111111112E-2</v>
      </c>
      <c r="GF212" s="207"/>
      <c r="GG212" s="36"/>
      <c r="GH212" s="209" t="e">
        <f t="shared" ca="1" si="107"/>
        <v>#NAME?</v>
      </c>
      <c r="GI212" s="212" t="e">
        <f t="shared" ca="1" si="348"/>
        <v>#NAME?</v>
      </c>
    </row>
    <row r="213" spans="1:191" ht="15.75" customHeight="1">
      <c r="A213" s="171"/>
      <c r="B213" s="171" t="s">
        <v>501</v>
      </c>
      <c r="C213" s="16">
        <v>1793384</v>
      </c>
      <c r="D213" s="233" t="s">
        <v>1609</v>
      </c>
      <c r="E213" s="270">
        <v>43787.47152777778</v>
      </c>
      <c r="F213" s="16" t="s">
        <v>281</v>
      </c>
      <c r="G213" s="235" t="s">
        <v>1610</v>
      </c>
      <c r="H213" s="235" t="s">
        <v>1611</v>
      </c>
      <c r="I213" s="271">
        <v>43788</v>
      </c>
      <c r="J213" s="233" t="s">
        <v>1612</v>
      </c>
      <c r="K213" s="233"/>
      <c r="M213" s="29" t="s">
        <v>331</v>
      </c>
      <c r="N213" s="16" t="s">
        <v>278</v>
      </c>
      <c r="O213" s="16" t="s">
        <v>30</v>
      </c>
      <c r="P213" s="16" t="s">
        <v>31</v>
      </c>
      <c r="Q213" s="16" t="s">
        <v>35</v>
      </c>
      <c r="S213" s="16" t="s">
        <v>216</v>
      </c>
      <c r="T213" s="237"/>
      <c r="U213" s="213"/>
      <c r="V213" s="54">
        <v>5000000</v>
      </c>
      <c r="W213" s="54"/>
      <c r="X213" s="226"/>
      <c r="Y213" s="55" t="str">
        <f t="shared" si="158"/>
        <v/>
      </c>
      <c r="Z213" s="274">
        <f t="shared" si="159"/>
        <v>5000000</v>
      </c>
      <c r="AA213" s="183" t="e">
        <f t="shared" ca="1" si="160"/>
        <v>#NAME?</v>
      </c>
      <c r="AB213" s="16" t="s">
        <v>36</v>
      </c>
      <c r="AC213" s="16" t="s">
        <v>218</v>
      </c>
      <c r="AD213" s="16" t="s">
        <v>38</v>
      </c>
      <c r="AE213" s="16" t="s">
        <v>227</v>
      </c>
      <c r="AF213" s="16" t="s">
        <v>181</v>
      </c>
      <c r="AG213" s="16" t="s">
        <v>181</v>
      </c>
      <c r="AH213" s="16" t="s">
        <v>190</v>
      </c>
      <c r="AI213" s="54"/>
      <c r="AJ213" s="278">
        <v>9200000000000</v>
      </c>
      <c r="AK213" s="224" t="e">
        <f t="shared" ca="1" si="161"/>
        <v>#NAME?</v>
      </c>
      <c r="AL213" s="278">
        <v>53940000000</v>
      </c>
      <c r="AM213" s="224" t="e">
        <f t="shared" ca="1" si="162"/>
        <v>#NAME?</v>
      </c>
      <c r="AN213" s="278">
        <v>0.17</v>
      </c>
      <c r="AO213" s="185" t="e">
        <f t="shared" ca="1" si="63"/>
        <v>#NAME?</v>
      </c>
      <c r="AP213" s="185" t="s">
        <v>228</v>
      </c>
      <c r="AQ213" s="16" t="s">
        <v>181</v>
      </c>
      <c r="AR213" s="16" t="s">
        <v>181</v>
      </c>
      <c r="AS213" s="16" t="s">
        <v>182</v>
      </c>
      <c r="AT213" s="159"/>
      <c r="AU213" s="159"/>
      <c r="AV213" s="16" t="s">
        <v>190</v>
      </c>
      <c r="AW213" s="16" t="s">
        <v>227</v>
      </c>
      <c r="AX213" s="16" t="s">
        <v>190</v>
      </c>
      <c r="AY213" s="16" t="s">
        <v>190</v>
      </c>
      <c r="AZ213" s="54">
        <v>0</v>
      </c>
      <c r="BA213" s="55" t="e">
        <f t="shared" ca="1" si="163"/>
        <v>#NAME?</v>
      </c>
      <c r="BB213" s="278">
        <v>0</v>
      </c>
      <c r="BC213" s="278">
        <v>87700</v>
      </c>
      <c r="BD213" s="62" t="e">
        <f t="shared" ca="1" si="164"/>
        <v>#NAME?</v>
      </c>
      <c r="BE213" s="277">
        <f t="shared" si="165"/>
        <v>1</v>
      </c>
      <c r="BF213" s="62" t="e">
        <f t="shared" ca="1" si="166"/>
        <v>#NAME?</v>
      </c>
      <c r="BG213" s="16" t="s">
        <v>43</v>
      </c>
      <c r="BI213" s="16" t="s">
        <v>190</v>
      </c>
      <c r="BJ213" s="16">
        <v>0</v>
      </c>
      <c r="BK213" s="278">
        <v>9</v>
      </c>
      <c r="BL213" s="16" t="s">
        <v>227</v>
      </c>
      <c r="BM213" s="16" t="s">
        <v>227</v>
      </c>
      <c r="BN213" s="16" t="s">
        <v>227</v>
      </c>
      <c r="BO213" s="16" t="s">
        <v>190</v>
      </c>
      <c r="BP213" s="16">
        <v>12</v>
      </c>
      <c r="BQ213" s="16">
        <v>10</v>
      </c>
      <c r="BR213" s="16">
        <v>1</v>
      </c>
      <c r="BS213" s="16">
        <v>0</v>
      </c>
      <c r="BT213" s="205"/>
      <c r="BU213" s="16">
        <v>3</v>
      </c>
      <c r="BV213" s="16">
        <v>0</v>
      </c>
      <c r="BW213" s="16">
        <v>42</v>
      </c>
      <c r="BX213" s="16" t="s">
        <v>190</v>
      </c>
      <c r="BY213" s="205"/>
      <c r="BZ213" s="16">
        <v>0</v>
      </c>
      <c r="CA213" s="16">
        <v>0</v>
      </c>
      <c r="CB213" s="16">
        <v>34</v>
      </c>
      <c r="CC213" s="16" t="s">
        <v>190</v>
      </c>
      <c r="CD213" s="205"/>
      <c r="CE213" s="16">
        <v>0</v>
      </c>
      <c r="CF213" s="16">
        <v>0</v>
      </c>
      <c r="CG213" s="16">
        <v>39</v>
      </c>
      <c r="CH213" s="16" t="s">
        <v>190</v>
      </c>
      <c r="CI213" s="205"/>
      <c r="CJ213" s="16">
        <v>0</v>
      </c>
      <c r="CK213" s="16">
        <v>0</v>
      </c>
      <c r="CL213" s="16">
        <v>40</v>
      </c>
      <c r="CM213" s="16" t="s">
        <v>190</v>
      </c>
      <c r="CN213" s="205"/>
      <c r="CO213" s="16">
        <v>0</v>
      </c>
      <c r="CP213" s="16">
        <v>0</v>
      </c>
      <c r="CQ213" s="16">
        <v>39</v>
      </c>
      <c r="CR213" s="16" t="s">
        <v>190</v>
      </c>
      <c r="CS213" s="205"/>
      <c r="CU213" s="16">
        <v>0</v>
      </c>
      <c r="CV213" s="16">
        <v>0</v>
      </c>
      <c r="CW213" s="16">
        <v>31</v>
      </c>
      <c r="CX213" s="205" t="s">
        <v>190</v>
      </c>
      <c r="CZ213" s="16">
        <v>0</v>
      </c>
      <c r="DA213" s="16">
        <v>0</v>
      </c>
      <c r="DB213" s="16">
        <v>0</v>
      </c>
      <c r="DC213" s="205"/>
      <c r="DD213" s="16" t="s">
        <v>190</v>
      </c>
      <c r="DF213" s="16">
        <v>0</v>
      </c>
      <c r="DG213" s="16">
        <v>0</v>
      </c>
      <c r="DH213" s="205">
        <v>0</v>
      </c>
      <c r="DI213" s="16">
        <v>49</v>
      </c>
      <c r="DL213" s="16">
        <v>13</v>
      </c>
      <c r="DM213" s="205">
        <v>0</v>
      </c>
      <c r="DN213" s="205">
        <v>0</v>
      </c>
      <c r="DO213" s="205">
        <v>39</v>
      </c>
      <c r="DP213" s="16" t="s">
        <v>190</v>
      </c>
      <c r="DQ213" s="206"/>
      <c r="DR213" s="188">
        <f t="shared" si="64"/>
        <v>8.6666666666666661</v>
      </c>
      <c r="DS213" s="188"/>
      <c r="DT213" s="189">
        <f t="shared" si="65"/>
        <v>0</v>
      </c>
      <c r="DU213" s="189"/>
      <c r="DV213" s="188">
        <f t="shared" si="66"/>
        <v>24.25</v>
      </c>
      <c r="DW213" s="183" t="e">
        <f t="shared" ca="1" si="67"/>
        <v>#NAME?</v>
      </c>
      <c r="DX213" s="207"/>
      <c r="DY213" s="190" t="e">
        <f t="shared" ca="1" si="68"/>
        <v>#NAME?</v>
      </c>
      <c r="DZ213" s="191" t="str">
        <f t="shared" si="338"/>
        <v/>
      </c>
      <c r="EA213" s="191" t="str">
        <f t="shared" si="339"/>
        <v/>
      </c>
      <c r="EB213" s="191" t="str">
        <f t="shared" si="340"/>
        <v/>
      </c>
      <c r="EC213" s="208" t="e">
        <f t="shared" ca="1" si="72"/>
        <v>#NAME?</v>
      </c>
      <c r="ED213" s="36" t="str">
        <f t="shared" si="73"/>
        <v>Equity - Common</v>
      </c>
      <c r="EE213" s="193">
        <f>COUNTIF($ED$2:$ED$92, ED213)/(COUNTIF($ED$2:$ED$92, "&lt;&gt;""") - COUNTIF($ED$2:$ED$92, ""))</f>
        <v>0.32222222222222224</v>
      </c>
      <c r="EF213" s="36" t="str">
        <f t="shared" si="74"/>
        <v>Early</v>
      </c>
      <c r="EG213" s="207"/>
      <c r="EH213" s="194" t="e">
        <f t="shared" ca="1" si="75"/>
        <v>#NAME?</v>
      </c>
      <c r="EI213" s="194" t="e">
        <f t="shared" ca="1" si="76"/>
        <v>#NAME?</v>
      </c>
      <c r="EJ213" s="209" t="e">
        <f t="shared" ca="1" si="77"/>
        <v>#NAME?</v>
      </c>
      <c r="EK213" s="208" t="e">
        <f t="shared" ca="1" si="341"/>
        <v>#NAME?</v>
      </c>
      <c r="EL213" s="36" t="str">
        <f t="shared" si="79"/>
        <v>No</v>
      </c>
      <c r="EM213" s="207"/>
      <c r="EN213" s="192">
        <f t="shared" si="342"/>
        <v>1.8253968253968254</v>
      </c>
      <c r="EO213" s="192">
        <f t="shared" si="343"/>
        <v>1</v>
      </c>
      <c r="EP213" s="209">
        <f t="shared" si="82"/>
        <v>2.8253968253968251</v>
      </c>
      <c r="EQ213" s="210">
        <f t="shared" si="344"/>
        <v>1.6479750778816198</v>
      </c>
      <c r="ER213" s="36" t="e">
        <f t="shared" ca="1" si="84"/>
        <v>#NAME?</v>
      </c>
      <c r="ES213" s="40">
        <f ca="1">COUNTIF($ER$2:$ER$92, ER213)/(COUNTIF($ER$2:$ER$92, "&lt;&gt;""") - COUNTIF($ER$2:$ER$92, ""))</f>
        <v>1</v>
      </c>
      <c r="ET213" s="36">
        <f t="shared" si="85"/>
        <v>9</v>
      </c>
      <c r="EU213" s="40">
        <f>COUNTIF($ET$2:$ET$92, ET213)/(COUNTIF($ET$2:$ET$92, "&lt;&gt;""") - COUNTIF($ET$2:$ET$92, ""))</f>
        <v>0</v>
      </c>
      <c r="EV213" s="36">
        <f t="shared" si="86"/>
        <v>10</v>
      </c>
      <c r="EW213" s="40">
        <f>COUNTIF($EV$2:$EV$92, EV213)/(COUNTIF($EV$2:$EV$92, "&lt;&gt;""") - COUNTIF($EV$2:$EV$92, ""))</f>
        <v>2.2222222222222223E-2</v>
      </c>
      <c r="EX213" s="36" t="str">
        <f t="shared" si="87"/>
        <v>Yes</v>
      </c>
      <c r="EY213" s="40">
        <f>COUNTIF($EX$2:$EX$92, EX213)/(COUNTIF($EX$2:$EX$92, "&lt;&gt;""") - COUNTIF($EX$2:$EX$92, ""))</f>
        <v>0.27777777777777779</v>
      </c>
      <c r="EZ213" s="36" t="str">
        <f t="shared" ref="EZ213:FB213" si="356">BM213</f>
        <v>Yes</v>
      </c>
      <c r="FA213" s="36" t="str">
        <f t="shared" si="356"/>
        <v>Yes</v>
      </c>
      <c r="FB213" s="36" t="str">
        <f t="shared" si="356"/>
        <v>No</v>
      </c>
      <c r="FC213" s="207"/>
      <c r="FD213" s="36" t="str">
        <f t="shared" si="89"/>
        <v>Transactional</v>
      </c>
      <c r="FE213" s="40">
        <f>COUNTIF($FD$2:$FD$92, FD213)/(COUNTIF($FD$2:$FD$92, "&lt;&gt;""") - COUNTIF($FD$2:$FD$92, ""))</f>
        <v>0.6</v>
      </c>
      <c r="FF213" s="36" t="str">
        <f t="shared" si="90"/>
        <v>B2B/B2C</v>
      </c>
      <c r="FG213" s="40">
        <f>COUNTIF($FF$2:$FF$92, FF213)/(COUNTIF($FF$2:$FF$92, "&lt;&gt;""") - COUNTIF($FF$2:$FF$92, ""))</f>
        <v>0.27777777777777779</v>
      </c>
      <c r="FH213" s="36" t="str">
        <f t="shared" si="91"/>
        <v>Low</v>
      </c>
      <c r="FI213" s="40">
        <f>COUNTIF($FH$2:$FH$92, FH213)/(COUNTIF($FH$2:$FH$92, "&lt;&gt;""") - COUNTIF($FH$2:$FH$92, ""))</f>
        <v>0.46666666666666667</v>
      </c>
      <c r="FJ213" s="36" t="str">
        <f t="shared" si="92"/>
        <v>Low</v>
      </c>
      <c r="FK213" s="40">
        <f>COUNTIF($FJ$2:$FJ$92, FJ213)/(COUNTIF($FJ$2:$FJ$92, "&lt;&gt;""") - COUNTIF($FJ$2:$FJ$92, ""))</f>
        <v>0.41111111111111109</v>
      </c>
      <c r="FL213" s="207"/>
      <c r="FM213" s="192">
        <f t="shared" si="93"/>
        <v>1</v>
      </c>
      <c r="FN213" s="192" t="e">
        <f t="shared" ca="1" si="94"/>
        <v>#NAME?</v>
      </c>
      <c r="FO213" s="192" t="e">
        <f t="shared" ca="1" si="95"/>
        <v>#NAME?</v>
      </c>
      <c r="FP213" s="192" t="e">
        <f t="shared" ca="1" si="96"/>
        <v>#NAME?</v>
      </c>
      <c r="FQ213" s="209" t="e">
        <f t="shared" ca="1" si="97"/>
        <v>#NAME?</v>
      </c>
      <c r="FR213" s="208" t="e">
        <f t="shared" ca="1" si="346"/>
        <v>#NAME?</v>
      </c>
      <c r="FS213" s="36" t="str">
        <f t="shared" si="99"/>
        <v>Pre-Product</v>
      </c>
      <c r="FT213" s="196">
        <f>COUNTIF($FS$2:$FS$92, FS213)/(COUNTIF($FS$2:$FS$92, "&lt;&gt;""") - COUNTIF($FZ$2:$FZ$92, ""))</f>
        <v>0.22222222222222221</v>
      </c>
      <c r="FU213" s="207"/>
      <c r="FV213" s="192" t="e">
        <f t="shared" ca="1" si="100"/>
        <v>#NAME?</v>
      </c>
      <c r="FW213" s="197" t="e">
        <f t="shared" ca="1" si="101"/>
        <v>#NAME?</v>
      </c>
      <c r="FX213" s="209" t="e">
        <f t="shared" ca="1" si="102"/>
        <v>#NAME?</v>
      </c>
      <c r="FY213" s="211" t="e">
        <f t="shared" ca="1" si="347"/>
        <v>#NAME?</v>
      </c>
      <c r="FZ213" s="36" t="str">
        <f t="shared" si="104"/>
        <v>Yes</v>
      </c>
      <c r="GA213" s="196">
        <f>COUNTIF($FZ$2:$FZ$92, FZ213)/(COUNTIF($FZ$2:$FZ$92, "&lt;&gt;""") - COUNTIF($FZ$2:$FZ$92, ""))</f>
        <v>0.23333333333333334</v>
      </c>
      <c r="GB213" s="196">
        <f t="shared" si="105"/>
        <v>0</v>
      </c>
      <c r="GC213" s="196">
        <f>COUNTIF($GB$2:$GB$92, GB213)/(COUNTIF($GB$2:$GB$92, "&lt;&gt;""") - COUNTIF($GB$2:$GB$92, ""))</f>
        <v>1.1111111111111112E-2</v>
      </c>
      <c r="GD213" s="196">
        <f t="shared" si="106"/>
        <v>0</v>
      </c>
      <c r="GE213" s="196">
        <f>COUNTIF($GD$2:$GD$92, GD213)/(COUNTIF($GD$2:$GD$92, "&lt;&gt;""") - COUNTIF($GD$2:$GD$92, ""))</f>
        <v>1.1111111111111112E-2</v>
      </c>
      <c r="GF213" s="207"/>
      <c r="GG213" s="36"/>
      <c r="GH213" s="209" t="e">
        <f t="shared" ca="1" si="107"/>
        <v>#NAME?</v>
      </c>
      <c r="GI213" s="212" t="e">
        <f t="shared" ca="1" si="348"/>
        <v>#NAME?</v>
      </c>
    </row>
    <row r="214" spans="1:191" ht="15.75" customHeight="1">
      <c r="A214" s="171"/>
      <c r="B214" s="171" t="s">
        <v>501</v>
      </c>
      <c r="C214" s="16">
        <v>1794562</v>
      </c>
      <c r="D214" s="233" t="s">
        <v>1613</v>
      </c>
      <c r="E214" s="270">
        <v>43788.467361111114</v>
      </c>
      <c r="F214" s="16" t="s">
        <v>281</v>
      </c>
      <c r="G214" s="235" t="s">
        <v>1614</v>
      </c>
      <c r="H214" s="235" t="s">
        <v>1615</v>
      </c>
      <c r="I214" s="271">
        <v>43889</v>
      </c>
      <c r="J214" s="233" t="s">
        <v>1616</v>
      </c>
      <c r="K214" s="233"/>
      <c r="M214" s="29" t="s">
        <v>253</v>
      </c>
      <c r="N214" s="16" t="s">
        <v>244</v>
      </c>
      <c r="O214" s="16" t="s">
        <v>30</v>
      </c>
      <c r="P214" s="16" t="s">
        <v>174</v>
      </c>
      <c r="Q214" s="16" t="s">
        <v>35</v>
      </c>
      <c r="S214" s="16" t="s">
        <v>216</v>
      </c>
      <c r="T214" s="237"/>
      <c r="U214" s="213"/>
      <c r="V214" s="54">
        <v>3900000</v>
      </c>
      <c r="W214" s="54"/>
      <c r="X214" s="226"/>
      <c r="Y214" s="55" t="str">
        <f t="shared" si="158"/>
        <v/>
      </c>
      <c r="Z214" s="274">
        <f t="shared" si="159"/>
        <v>3900000</v>
      </c>
      <c r="AA214" s="183" t="e">
        <f t="shared" ca="1" si="160"/>
        <v>#NAME?</v>
      </c>
      <c r="AB214" s="16" t="s">
        <v>36</v>
      </c>
      <c r="AC214" s="16" t="s">
        <v>179</v>
      </c>
      <c r="AD214" s="16" t="s">
        <v>180</v>
      </c>
      <c r="AE214" s="16" t="s">
        <v>227</v>
      </c>
      <c r="AF214" s="16" t="s">
        <v>39</v>
      </c>
      <c r="AG214" s="16" t="s">
        <v>181</v>
      </c>
      <c r="AH214" s="16" t="s">
        <v>190</v>
      </c>
      <c r="AI214" s="54"/>
      <c r="AJ214" s="278">
        <v>190000000000</v>
      </c>
      <c r="AK214" s="224" t="e">
        <f t="shared" ca="1" si="161"/>
        <v>#NAME?</v>
      </c>
      <c r="AL214" s="278">
        <v>76000000000</v>
      </c>
      <c r="AM214" s="224" t="e">
        <f t="shared" ca="1" si="162"/>
        <v>#NAME?</v>
      </c>
      <c r="AN214" s="278">
        <v>7.0000000000000007E-2</v>
      </c>
      <c r="AO214" s="185" t="e">
        <f t="shared" ca="1" si="63"/>
        <v>#NAME?</v>
      </c>
      <c r="AP214" s="185" t="s">
        <v>169</v>
      </c>
      <c r="AQ214" s="16" t="s">
        <v>39</v>
      </c>
      <c r="AR214" s="16" t="s">
        <v>39</v>
      </c>
      <c r="AS214" s="16" t="s">
        <v>182</v>
      </c>
      <c r="AT214" s="159"/>
      <c r="AU214" s="159"/>
      <c r="AV214" s="16" t="s">
        <v>190</v>
      </c>
      <c r="AW214" s="16" t="s">
        <v>190</v>
      </c>
      <c r="AX214" s="16" t="s">
        <v>227</v>
      </c>
      <c r="AY214" s="16" t="s">
        <v>227</v>
      </c>
      <c r="AZ214" s="54">
        <v>17130</v>
      </c>
      <c r="BA214" s="55" t="e">
        <f t="shared" ca="1" si="163"/>
        <v>#NAME?</v>
      </c>
      <c r="BB214" s="278">
        <v>1627</v>
      </c>
      <c r="BC214" s="278">
        <v>63078</v>
      </c>
      <c r="BD214" s="62" t="e">
        <f t="shared" ca="1" si="164"/>
        <v>#NAME?</v>
      </c>
      <c r="BE214" s="277">
        <f t="shared" si="165"/>
        <v>2.5793462062842828E-2</v>
      </c>
      <c r="BF214" s="62" t="e">
        <f t="shared" ca="1" si="166"/>
        <v>#NAME?</v>
      </c>
      <c r="BG214" s="16" t="s">
        <v>202</v>
      </c>
      <c r="BI214" s="16" t="s">
        <v>190</v>
      </c>
      <c r="BJ214" s="16">
        <v>0</v>
      </c>
      <c r="BK214" s="278">
        <v>2</v>
      </c>
      <c r="BL214" s="16" t="s">
        <v>190</v>
      </c>
      <c r="BM214" s="16" t="s">
        <v>190</v>
      </c>
      <c r="BN214" s="16" t="s">
        <v>227</v>
      </c>
      <c r="BO214" s="16" t="s">
        <v>190</v>
      </c>
      <c r="BP214" s="16">
        <v>1</v>
      </c>
      <c r="BQ214" s="16">
        <v>10</v>
      </c>
      <c r="BR214" s="16">
        <v>0</v>
      </c>
      <c r="BS214" s="16">
        <v>0</v>
      </c>
      <c r="BT214" s="205"/>
      <c r="BU214" s="16">
        <v>0</v>
      </c>
      <c r="BV214" s="16">
        <v>0</v>
      </c>
      <c r="BW214" s="16">
        <v>27</v>
      </c>
      <c r="BX214" s="16" t="s">
        <v>190</v>
      </c>
      <c r="BY214" s="205"/>
      <c r="BZ214" s="16">
        <v>0</v>
      </c>
      <c r="CA214" s="16">
        <v>0</v>
      </c>
      <c r="CB214" s="16">
        <v>27</v>
      </c>
      <c r="CC214" s="16" t="s">
        <v>190</v>
      </c>
      <c r="CD214" s="205"/>
      <c r="CI214" s="205"/>
      <c r="CN214" s="205"/>
      <c r="CS214" s="205"/>
      <c r="CX214" s="205"/>
      <c r="DC214" s="205"/>
      <c r="DH214" s="205"/>
      <c r="DM214" s="205"/>
      <c r="DN214" s="205"/>
      <c r="DO214" s="205"/>
      <c r="DQ214" s="206"/>
      <c r="DR214" s="188">
        <f t="shared" si="64"/>
        <v>0</v>
      </c>
      <c r="DS214" s="188"/>
      <c r="DT214" s="189">
        <f t="shared" si="65"/>
        <v>0</v>
      </c>
      <c r="DU214" s="189"/>
      <c r="DV214" s="188">
        <f t="shared" si="66"/>
        <v>27</v>
      </c>
      <c r="DW214" s="183" t="e">
        <f t="shared" ca="1" si="67"/>
        <v>#NAME?</v>
      </c>
      <c r="DX214" s="207"/>
      <c r="DY214" s="190" t="e">
        <f t="shared" ca="1" si="68"/>
        <v>#NAME?</v>
      </c>
      <c r="DZ214" s="191" t="str">
        <f t="shared" si="338"/>
        <v/>
      </c>
      <c r="EA214" s="191" t="str">
        <f t="shared" si="339"/>
        <v/>
      </c>
      <c r="EB214" s="191" t="str">
        <f t="shared" si="340"/>
        <v/>
      </c>
      <c r="EC214" s="208" t="e">
        <f t="shared" ca="1" si="72"/>
        <v>#NAME?</v>
      </c>
      <c r="ED214" s="36" t="str">
        <f t="shared" si="73"/>
        <v>Equity - Common</v>
      </c>
      <c r="EE214" s="193">
        <f>COUNTIF($ED$2:$ED$92, ED214)/(COUNTIF($ED$2:$ED$92, "&lt;&gt;""") - COUNTIF($ED$2:$ED$92, ""))</f>
        <v>0.32222222222222224</v>
      </c>
      <c r="EF214" s="36" t="str">
        <f t="shared" si="74"/>
        <v>Early</v>
      </c>
      <c r="EG214" s="207"/>
      <c r="EH214" s="194" t="e">
        <f t="shared" ca="1" si="75"/>
        <v>#NAME?</v>
      </c>
      <c r="EI214" s="194" t="e">
        <f t="shared" ca="1" si="76"/>
        <v>#NAME?</v>
      </c>
      <c r="EJ214" s="209" t="e">
        <f t="shared" ca="1" si="77"/>
        <v>#NAME?</v>
      </c>
      <c r="EK214" s="208" t="e">
        <f t="shared" ca="1" si="341"/>
        <v>#NAME?</v>
      </c>
      <c r="EL214" s="36" t="str">
        <f t="shared" si="79"/>
        <v>No</v>
      </c>
      <c r="EM214" s="207"/>
      <c r="EN214" s="192">
        <f t="shared" si="342"/>
        <v>1</v>
      </c>
      <c r="EO214" s="192">
        <f t="shared" si="343"/>
        <v>1</v>
      </c>
      <c r="EP214" s="209">
        <f t="shared" si="82"/>
        <v>2</v>
      </c>
      <c r="EQ214" s="210">
        <f t="shared" si="344"/>
        <v>1</v>
      </c>
      <c r="ER214" s="36" t="e">
        <f t="shared" ca="1" si="84"/>
        <v>#NAME?</v>
      </c>
      <c r="ES214" s="40">
        <f ca="1">COUNTIF($ER$2:$ER$92, ER214)/(COUNTIF($ER$2:$ER$92, "&lt;&gt;""") - COUNTIF($ER$2:$ER$92, ""))</f>
        <v>1</v>
      </c>
      <c r="ET214" s="36">
        <f t="shared" si="85"/>
        <v>2</v>
      </c>
      <c r="EU214" s="40">
        <f>COUNTIF($ET$2:$ET$92, ET214)/(COUNTIF($ET$2:$ET$92, "&lt;&gt;""") - COUNTIF($ET$2:$ET$92, ""))</f>
        <v>0.45555555555555555</v>
      </c>
      <c r="EV214" s="36">
        <f t="shared" si="86"/>
        <v>10</v>
      </c>
      <c r="EW214" s="40">
        <f>COUNTIF($EV$2:$EV$92, EV214)/(COUNTIF($EV$2:$EV$92, "&lt;&gt;""") - COUNTIF($EV$2:$EV$92, ""))</f>
        <v>2.2222222222222223E-2</v>
      </c>
      <c r="EX214" s="36" t="str">
        <f t="shared" si="87"/>
        <v>No</v>
      </c>
      <c r="EY214" s="40">
        <f>COUNTIF($EX$2:$EX$92, EX214)/(COUNTIF($EX$2:$EX$92, "&lt;&gt;""") - COUNTIF($EX$2:$EX$92, ""))</f>
        <v>0.72222222222222221</v>
      </c>
      <c r="EZ214" s="36" t="str">
        <f t="shared" ref="EZ214:FB214" si="357">BM214</f>
        <v>No</v>
      </c>
      <c r="FA214" s="36" t="str">
        <f t="shared" si="357"/>
        <v>Yes</v>
      </c>
      <c r="FB214" s="36" t="str">
        <f t="shared" si="357"/>
        <v>No</v>
      </c>
      <c r="FC214" s="207"/>
      <c r="FD214" s="36" t="str">
        <f t="shared" si="89"/>
        <v>Transactional</v>
      </c>
      <c r="FE214" s="40">
        <f>COUNTIF($FD$2:$FD$92, FD214)/(COUNTIF($FD$2:$FD$92, "&lt;&gt;""") - COUNTIF($FD$2:$FD$92, ""))</f>
        <v>0.6</v>
      </c>
      <c r="FF214" s="36" t="str">
        <f t="shared" si="90"/>
        <v>B2C</v>
      </c>
      <c r="FG214" s="40">
        <f>COUNTIF($FF$2:$FF$92, FF214)/(COUNTIF($FF$2:$FF$92, "&lt;&gt;""") - COUNTIF($FF$2:$FF$92, ""))</f>
        <v>0.41111111111111109</v>
      </c>
      <c r="FH214" s="36" t="str">
        <f t="shared" si="91"/>
        <v>High</v>
      </c>
      <c r="FI214" s="40">
        <f>COUNTIF($FH$2:$FH$92, FH214)/(COUNTIF($FH$2:$FH$92, "&lt;&gt;""") - COUNTIF($FH$2:$FH$92, ""))</f>
        <v>0.53333333333333333</v>
      </c>
      <c r="FJ214" s="36" t="str">
        <f t="shared" si="92"/>
        <v>Low</v>
      </c>
      <c r="FK214" s="40">
        <f>COUNTIF($FJ$2:$FJ$92, FJ214)/(COUNTIF($FJ$2:$FJ$92, "&lt;&gt;""") - COUNTIF($FJ$2:$FJ$92, ""))</f>
        <v>0.41111111111111109</v>
      </c>
      <c r="FL214" s="207"/>
      <c r="FM214" s="192">
        <f t="shared" si="93"/>
        <v>5</v>
      </c>
      <c r="FN214" s="192" t="e">
        <f t="shared" ca="1" si="94"/>
        <v>#NAME?</v>
      </c>
      <c r="FO214" s="192" t="e">
        <f t="shared" ca="1" si="95"/>
        <v>#NAME?</v>
      </c>
      <c r="FP214" s="192" t="e">
        <f t="shared" ca="1" si="96"/>
        <v>#NAME?</v>
      </c>
      <c r="FQ214" s="209" t="e">
        <f t="shared" ca="1" si="97"/>
        <v>#NAME?</v>
      </c>
      <c r="FR214" s="208" t="e">
        <f t="shared" ca="1" si="346"/>
        <v>#NAME?</v>
      </c>
      <c r="FS214" s="36" t="str">
        <f t="shared" si="99"/>
        <v>Pre-Profit</v>
      </c>
      <c r="FT214" s="196">
        <f>COUNTIF($FS$2:$FS$92, FS214)/(COUNTIF($FS$2:$FS$92, "&lt;&gt;""") - COUNTIF($FZ$2:$FZ$92, ""))</f>
        <v>0.51111111111111107</v>
      </c>
      <c r="FU214" s="207"/>
      <c r="FV214" s="192" t="e">
        <f t="shared" ca="1" si="100"/>
        <v>#NAME?</v>
      </c>
      <c r="FW214" s="197" t="e">
        <f t="shared" ca="1" si="101"/>
        <v>#NAME?</v>
      </c>
      <c r="FX214" s="209" t="e">
        <f t="shared" ca="1" si="102"/>
        <v>#NAME?</v>
      </c>
      <c r="FY214" s="211" t="e">
        <f t="shared" ca="1" si="347"/>
        <v>#NAME?</v>
      </c>
      <c r="FZ214" s="36" t="str">
        <f t="shared" si="104"/>
        <v>No</v>
      </c>
      <c r="GA214" s="196">
        <f>COUNTIF($FZ$2:$FZ$92, FZ214)/(COUNTIF($FZ$2:$FZ$92, "&lt;&gt;""") - COUNTIF($FZ$2:$FZ$92, ""))</f>
        <v>0.76666666666666672</v>
      </c>
      <c r="GB214" s="196">
        <f t="shared" si="105"/>
        <v>0</v>
      </c>
      <c r="GC214" s="196">
        <f>COUNTIF($GB$2:$GB$92, GB214)/(COUNTIF($GB$2:$GB$92, "&lt;&gt;""") - COUNTIF($GB$2:$GB$92, ""))</f>
        <v>1.1111111111111112E-2</v>
      </c>
      <c r="GD214" s="196">
        <f t="shared" si="106"/>
        <v>0</v>
      </c>
      <c r="GE214" s="196">
        <f>COUNTIF($GD$2:$GD$92, GD214)/(COUNTIF($GD$2:$GD$92, "&lt;&gt;""") - COUNTIF($GD$2:$GD$92, ""))</f>
        <v>1.1111111111111112E-2</v>
      </c>
      <c r="GF214" s="207"/>
      <c r="GG214" s="36"/>
      <c r="GH214" s="209" t="e">
        <f t="shared" ca="1" si="107"/>
        <v>#NAME?</v>
      </c>
      <c r="GI214" s="212" t="e">
        <f t="shared" ca="1" si="348"/>
        <v>#NAME?</v>
      </c>
    </row>
    <row r="215" spans="1:191" ht="15.75" customHeight="1">
      <c r="A215" s="171"/>
      <c r="B215" s="171" t="s">
        <v>501</v>
      </c>
      <c r="C215" s="16">
        <v>1787976</v>
      </c>
      <c r="D215" s="233" t="s">
        <v>1617</v>
      </c>
      <c r="E215" s="270">
        <v>43788.493055555555</v>
      </c>
      <c r="F215" s="16" t="s">
        <v>321</v>
      </c>
      <c r="G215" s="235" t="s">
        <v>1618</v>
      </c>
      <c r="H215" s="235" t="s">
        <v>1619</v>
      </c>
      <c r="I215" s="241">
        <v>43787</v>
      </c>
      <c r="J215" s="233" t="s">
        <v>1620</v>
      </c>
      <c r="K215" s="233" t="s">
        <v>1617</v>
      </c>
      <c r="M215" s="35" t="s">
        <v>293</v>
      </c>
      <c r="N215" s="16" t="s">
        <v>168</v>
      </c>
      <c r="O215" s="16" t="s">
        <v>173</v>
      </c>
      <c r="P215" s="16" t="s">
        <v>197</v>
      </c>
      <c r="Q215" s="16" t="s">
        <v>35</v>
      </c>
      <c r="R215" s="16" t="s">
        <v>199</v>
      </c>
      <c r="S215" s="16" t="s">
        <v>232</v>
      </c>
      <c r="T215" s="237"/>
      <c r="U215" s="213"/>
      <c r="V215" s="54">
        <v>9985000</v>
      </c>
      <c r="W215" s="54"/>
      <c r="X215" s="226"/>
      <c r="Y215" s="55" t="str">
        <f t="shared" si="158"/>
        <v/>
      </c>
      <c r="Z215" s="274">
        <f t="shared" si="159"/>
        <v>9985000</v>
      </c>
      <c r="AA215" s="183" t="e">
        <f t="shared" ca="1" si="160"/>
        <v>#NAME?</v>
      </c>
      <c r="AB215" s="16" t="s">
        <v>36</v>
      </c>
      <c r="AC215" s="16" t="s">
        <v>218</v>
      </c>
      <c r="AD215" s="16" t="s">
        <v>38</v>
      </c>
      <c r="AE215" s="16" t="s">
        <v>227</v>
      </c>
      <c r="AF215" s="16" t="s">
        <v>181</v>
      </c>
      <c r="AG215" s="16" t="s">
        <v>181</v>
      </c>
      <c r="AH215" s="16" t="s">
        <v>190</v>
      </c>
      <c r="AI215" s="54"/>
      <c r="AJ215" s="278">
        <v>2290000000</v>
      </c>
      <c r="AK215" s="224" t="e">
        <f t="shared" ca="1" si="161"/>
        <v>#NAME?</v>
      </c>
      <c r="AL215" s="278">
        <v>1500000000</v>
      </c>
      <c r="AM215" s="224" t="e">
        <f t="shared" ca="1" si="162"/>
        <v>#NAME?</v>
      </c>
      <c r="AN215" s="278">
        <v>0.04</v>
      </c>
      <c r="AO215" s="185" t="e">
        <f t="shared" ca="1" si="63"/>
        <v>#NAME?</v>
      </c>
      <c r="AP215" s="185" t="s">
        <v>264</v>
      </c>
      <c r="AQ215" s="16" t="s">
        <v>181</v>
      </c>
      <c r="AR215" s="16" t="s">
        <v>181</v>
      </c>
      <c r="AS215" s="16" t="s">
        <v>42</v>
      </c>
      <c r="AT215" s="159"/>
      <c r="AU215" s="159"/>
      <c r="AV215" s="16" t="s">
        <v>190</v>
      </c>
      <c r="AW215" s="16" t="s">
        <v>190</v>
      </c>
      <c r="AX215" s="16" t="s">
        <v>227</v>
      </c>
      <c r="AY215" s="16" t="s">
        <v>227</v>
      </c>
      <c r="AZ215" s="54">
        <v>1057318</v>
      </c>
      <c r="BA215" s="55" t="e">
        <f t="shared" ca="1" si="163"/>
        <v>#NAME?</v>
      </c>
      <c r="BB215" s="278">
        <v>53254</v>
      </c>
      <c r="BC215" s="278">
        <v>0</v>
      </c>
      <c r="BD215" s="62" t="e">
        <f t="shared" ca="1" si="164"/>
        <v>#NAME?</v>
      </c>
      <c r="BE215" s="277">
        <f t="shared" si="165"/>
        <v>1</v>
      </c>
      <c r="BF215" s="62" t="e">
        <f t="shared" ca="1" si="166"/>
        <v>#NAME?</v>
      </c>
      <c r="BG215" s="16" t="s">
        <v>202</v>
      </c>
      <c r="BI215" s="16" t="s">
        <v>190</v>
      </c>
      <c r="BJ215" s="16">
        <v>0</v>
      </c>
      <c r="BK215" s="278">
        <v>1</v>
      </c>
      <c r="BL215" s="16" t="s">
        <v>227</v>
      </c>
      <c r="BM215" s="16" t="s">
        <v>190</v>
      </c>
      <c r="BN215" s="16" t="s">
        <v>190</v>
      </c>
      <c r="BO215" s="16" t="s">
        <v>190</v>
      </c>
      <c r="BP215" s="16">
        <v>0</v>
      </c>
      <c r="BQ215" s="16">
        <v>10</v>
      </c>
      <c r="BR215" s="16">
        <v>1</v>
      </c>
      <c r="BS215" s="16">
        <v>0</v>
      </c>
      <c r="BT215" s="205"/>
      <c r="BU215" s="16">
        <v>29</v>
      </c>
      <c r="BV215" s="16">
        <v>0</v>
      </c>
      <c r="BW215" s="16">
        <v>42</v>
      </c>
      <c r="BX215" s="16" t="s">
        <v>190</v>
      </c>
      <c r="BY215" s="205"/>
      <c r="CD215" s="205"/>
      <c r="CI215" s="205"/>
      <c r="CN215" s="205"/>
      <c r="CS215" s="205"/>
      <c r="CX215" s="205"/>
      <c r="DC215" s="205"/>
      <c r="DH215" s="205"/>
      <c r="DM215" s="205"/>
      <c r="DN215" s="205"/>
      <c r="DO215" s="205"/>
      <c r="DQ215" s="206"/>
      <c r="DR215" s="188">
        <f t="shared" si="64"/>
        <v>29</v>
      </c>
      <c r="DS215" s="188"/>
      <c r="DT215" s="189">
        <f t="shared" si="65"/>
        <v>0</v>
      </c>
      <c r="DU215" s="189"/>
      <c r="DV215" s="188">
        <f t="shared" si="66"/>
        <v>42</v>
      </c>
      <c r="DW215" s="183" t="e">
        <f t="shared" ca="1" si="67"/>
        <v>#NAME?</v>
      </c>
      <c r="DX215" s="207"/>
      <c r="DY215" s="190" t="e">
        <f t="shared" ca="1" si="68"/>
        <v>#NAME?</v>
      </c>
      <c r="DZ215" s="191" t="str">
        <f t="shared" si="338"/>
        <v/>
      </c>
      <c r="EA215" s="191" t="str">
        <f t="shared" si="339"/>
        <v/>
      </c>
      <c r="EB215" s="191" t="str">
        <f t="shared" si="340"/>
        <v/>
      </c>
      <c r="EC215" s="208" t="e">
        <f t="shared" ca="1" si="72"/>
        <v>#NAME?</v>
      </c>
      <c r="ED215" s="36" t="str">
        <f t="shared" si="73"/>
        <v>Equity - Preferred</v>
      </c>
      <c r="EE215" s="193">
        <f>COUNTIF($ED$2:$ED$92, ED215)/(COUNTIF($ED$2:$ED$92, "&lt;&gt;""") - COUNTIF($ED$2:$ED$92, ""))</f>
        <v>6.6666666666666666E-2</v>
      </c>
      <c r="EF215" s="36" t="str">
        <f t="shared" si="74"/>
        <v>Growth</v>
      </c>
      <c r="EG215" s="207"/>
      <c r="EH215" s="194" t="e">
        <f t="shared" ca="1" si="75"/>
        <v>#NAME?</v>
      </c>
      <c r="EI215" s="194" t="e">
        <f t="shared" ca="1" si="76"/>
        <v>#NAME?</v>
      </c>
      <c r="EJ215" s="209" t="e">
        <f t="shared" ca="1" si="77"/>
        <v>#NAME?</v>
      </c>
      <c r="EK215" s="208" t="e">
        <f t="shared" ca="1" si="341"/>
        <v>#NAME?</v>
      </c>
      <c r="EL215" s="36" t="str">
        <f t="shared" si="79"/>
        <v>No</v>
      </c>
      <c r="EM215" s="207"/>
      <c r="EN215" s="192">
        <f t="shared" si="342"/>
        <v>3.7619047619047619</v>
      </c>
      <c r="EO215" s="192">
        <f t="shared" si="343"/>
        <v>1</v>
      </c>
      <c r="EP215" s="209">
        <f t="shared" si="82"/>
        <v>4.7619047619047619</v>
      </c>
      <c r="EQ215" s="210">
        <f t="shared" si="344"/>
        <v>3.1682242990654208</v>
      </c>
      <c r="ER215" s="36" t="e">
        <f t="shared" ca="1" si="84"/>
        <v>#NAME?</v>
      </c>
      <c r="ES215" s="40">
        <f ca="1">COUNTIF($ER$2:$ER$92, ER215)/(COUNTIF($ER$2:$ER$92, "&lt;&gt;""") - COUNTIF($ER$2:$ER$92, ""))</f>
        <v>1</v>
      </c>
      <c r="ET215" s="36">
        <f t="shared" si="85"/>
        <v>1</v>
      </c>
      <c r="EU215" s="40">
        <f>COUNTIF($ET$2:$ET$92, ET215)/(COUNTIF($ET$2:$ET$92, "&lt;&gt;""") - COUNTIF($ET$2:$ET$92, ""))</f>
        <v>0.45555555555555555</v>
      </c>
      <c r="EV215" s="36">
        <f t="shared" si="86"/>
        <v>10</v>
      </c>
      <c r="EW215" s="40">
        <f>COUNTIF($EV$2:$EV$92, EV215)/(COUNTIF($EV$2:$EV$92, "&lt;&gt;""") - COUNTIF($EV$2:$EV$92, ""))</f>
        <v>2.2222222222222223E-2</v>
      </c>
      <c r="EX215" s="36" t="str">
        <f t="shared" si="87"/>
        <v>Yes</v>
      </c>
      <c r="EY215" s="40">
        <f>COUNTIF($EX$2:$EX$92, EX215)/(COUNTIF($EX$2:$EX$92, "&lt;&gt;""") - COUNTIF($EX$2:$EX$92, ""))</f>
        <v>0.27777777777777779</v>
      </c>
      <c r="EZ215" s="36" t="str">
        <f t="shared" ref="EZ215:FB215" si="358">BM215</f>
        <v>No</v>
      </c>
      <c r="FA215" s="36" t="str">
        <f t="shared" si="358"/>
        <v>No</v>
      </c>
      <c r="FB215" s="36" t="str">
        <f t="shared" si="358"/>
        <v>No</v>
      </c>
      <c r="FC215" s="207"/>
      <c r="FD215" s="36" t="str">
        <f t="shared" si="89"/>
        <v>Transactional</v>
      </c>
      <c r="FE215" s="40">
        <f>COUNTIF($FD$2:$FD$92, FD215)/(COUNTIF($FD$2:$FD$92, "&lt;&gt;""") - COUNTIF($FD$2:$FD$92, ""))</f>
        <v>0.6</v>
      </c>
      <c r="FF215" s="36" t="str">
        <f t="shared" si="90"/>
        <v>B2B/B2C</v>
      </c>
      <c r="FG215" s="40">
        <f>COUNTIF($FF$2:$FF$92, FF215)/(COUNTIF($FF$2:$FF$92, "&lt;&gt;""") - COUNTIF($FF$2:$FF$92, ""))</f>
        <v>0.27777777777777779</v>
      </c>
      <c r="FH215" s="36" t="str">
        <f t="shared" si="91"/>
        <v>Low</v>
      </c>
      <c r="FI215" s="40">
        <f>COUNTIF($FH$2:$FH$92, FH215)/(COUNTIF($FH$2:$FH$92, "&lt;&gt;""") - COUNTIF($FH$2:$FH$92, ""))</f>
        <v>0.46666666666666667</v>
      </c>
      <c r="FJ215" s="36" t="str">
        <f t="shared" si="92"/>
        <v>Low</v>
      </c>
      <c r="FK215" s="40">
        <f>COUNTIF($FJ$2:$FJ$92, FJ215)/(COUNTIF($FJ$2:$FJ$92, "&lt;&gt;""") - COUNTIF($FJ$2:$FJ$92, ""))</f>
        <v>0.41111111111111109</v>
      </c>
      <c r="FL215" s="207"/>
      <c r="FM215" s="192">
        <f t="shared" si="93"/>
        <v>5</v>
      </c>
      <c r="FN215" s="192" t="e">
        <f t="shared" ca="1" si="94"/>
        <v>#NAME?</v>
      </c>
      <c r="FO215" s="192" t="e">
        <f t="shared" ca="1" si="95"/>
        <v>#NAME?</v>
      </c>
      <c r="FP215" s="192" t="e">
        <f t="shared" ca="1" si="96"/>
        <v>#NAME?</v>
      </c>
      <c r="FQ215" s="209" t="e">
        <f t="shared" ca="1" si="97"/>
        <v>#NAME?</v>
      </c>
      <c r="FR215" s="208" t="e">
        <f t="shared" ca="1" si="346"/>
        <v>#NAME?</v>
      </c>
      <c r="FS215" s="36" t="str">
        <f t="shared" si="99"/>
        <v>Pre-Profit</v>
      </c>
      <c r="FT215" s="196">
        <f>COUNTIF($FS$2:$FS$92, FS215)/(COUNTIF($FS$2:$FS$92, "&lt;&gt;""") - COUNTIF($FZ$2:$FZ$92, ""))</f>
        <v>0.51111111111111107</v>
      </c>
      <c r="FU215" s="207"/>
      <c r="FV215" s="192" t="e">
        <f t="shared" ca="1" si="100"/>
        <v>#NAME?</v>
      </c>
      <c r="FW215" s="197" t="e">
        <f t="shared" ca="1" si="101"/>
        <v>#NAME?</v>
      </c>
      <c r="FX215" s="209" t="e">
        <f t="shared" ca="1" si="102"/>
        <v>#NAME?</v>
      </c>
      <c r="FY215" s="211" t="e">
        <f t="shared" ca="1" si="347"/>
        <v>#NAME?</v>
      </c>
      <c r="FZ215" s="36" t="str">
        <f t="shared" si="104"/>
        <v>No</v>
      </c>
      <c r="GA215" s="196">
        <f>COUNTIF($FZ$2:$FZ$92, FZ215)/(COUNTIF($FZ$2:$FZ$92, "&lt;&gt;""") - COUNTIF($FZ$2:$FZ$92, ""))</f>
        <v>0.76666666666666672</v>
      </c>
      <c r="GB215" s="196">
        <f t="shared" si="105"/>
        <v>0</v>
      </c>
      <c r="GC215" s="196">
        <f>COUNTIF($GB$2:$GB$92, GB215)/(COUNTIF($GB$2:$GB$92, "&lt;&gt;""") - COUNTIF($GB$2:$GB$92, ""))</f>
        <v>1.1111111111111112E-2</v>
      </c>
      <c r="GD215" s="196">
        <f t="shared" si="106"/>
        <v>0</v>
      </c>
      <c r="GE215" s="196">
        <f>COUNTIF($GD$2:$GD$92, GD215)/(COUNTIF($GD$2:$GD$92, "&lt;&gt;""") - COUNTIF($GD$2:$GD$92, ""))</f>
        <v>1.1111111111111112E-2</v>
      </c>
      <c r="GF215" s="207"/>
      <c r="GG215" s="36"/>
      <c r="GH215" s="209" t="e">
        <f t="shared" ca="1" si="107"/>
        <v>#NAME?</v>
      </c>
      <c r="GI215" s="212" t="e">
        <f t="shared" ca="1" si="348"/>
        <v>#NAME?</v>
      </c>
    </row>
    <row r="216" spans="1:191" ht="15.75" customHeight="1">
      <c r="A216" s="171"/>
      <c r="B216" s="171" t="s">
        <v>501</v>
      </c>
      <c r="C216" s="16">
        <v>1791378</v>
      </c>
      <c r="D216" s="233" t="s">
        <v>1621</v>
      </c>
      <c r="E216" s="270">
        <v>43789.425694444442</v>
      </c>
      <c r="F216" s="16" t="s">
        <v>344</v>
      </c>
      <c r="G216" s="235" t="s">
        <v>1622</v>
      </c>
      <c r="H216" s="235" t="s">
        <v>1623</v>
      </c>
      <c r="I216" s="241">
        <v>43763</v>
      </c>
      <c r="J216" s="233" t="s">
        <v>1624</v>
      </c>
      <c r="K216" s="233" t="s">
        <v>1621</v>
      </c>
      <c r="M216" s="16" t="s">
        <v>459</v>
      </c>
      <c r="N216" s="16" t="s">
        <v>230</v>
      </c>
      <c r="O216" s="16" t="s">
        <v>30</v>
      </c>
      <c r="P216" s="16" t="s">
        <v>174</v>
      </c>
      <c r="Q216" s="16" t="s">
        <v>35</v>
      </c>
      <c r="S216" s="16" t="s">
        <v>269</v>
      </c>
      <c r="T216" s="237"/>
      <c r="U216" s="213"/>
      <c r="V216" s="54"/>
      <c r="W216" s="215">
        <v>6750000</v>
      </c>
      <c r="X216" s="226">
        <v>0</v>
      </c>
      <c r="Y216" s="55">
        <f t="shared" si="158"/>
        <v>6750000</v>
      </c>
      <c r="Z216" s="274">
        <f t="shared" si="159"/>
        <v>6750000</v>
      </c>
      <c r="AA216" s="183" t="e">
        <f t="shared" ca="1" si="160"/>
        <v>#NAME?</v>
      </c>
      <c r="AB216" s="16" t="s">
        <v>36</v>
      </c>
      <c r="AC216" s="16" t="s">
        <v>218</v>
      </c>
      <c r="AD216" s="16" t="s">
        <v>180</v>
      </c>
      <c r="AE216" s="16" t="s">
        <v>227</v>
      </c>
      <c r="AF216" s="16" t="s">
        <v>39</v>
      </c>
      <c r="AG216" s="16" t="s">
        <v>181</v>
      </c>
      <c r="AH216" s="16" t="s">
        <v>190</v>
      </c>
      <c r="AI216" s="54"/>
      <c r="AJ216" s="278">
        <v>1338300000000</v>
      </c>
      <c r="AK216" s="224" t="e">
        <f t="shared" ca="1" si="161"/>
        <v>#NAME?</v>
      </c>
      <c r="AL216" s="278">
        <v>1338300000000</v>
      </c>
      <c r="AM216" s="224" t="e">
        <f t="shared" ca="1" si="162"/>
        <v>#NAME?</v>
      </c>
      <c r="AN216" s="278">
        <v>0.1</v>
      </c>
      <c r="AO216" s="185" t="e">
        <f t="shared" ca="1" si="63"/>
        <v>#NAME?</v>
      </c>
      <c r="AP216" s="185" t="s">
        <v>242</v>
      </c>
      <c r="AQ216" s="16" t="s">
        <v>181</v>
      </c>
      <c r="AR216" s="16" t="s">
        <v>181</v>
      </c>
      <c r="AS216" s="16" t="s">
        <v>42</v>
      </c>
      <c r="AT216" s="159"/>
      <c r="AU216" s="159"/>
      <c r="AV216" s="16" t="s">
        <v>190</v>
      </c>
      <c r="AW216" s="16" t="s">
        <v>190</v>
      </c>
      <c r="AX216" s="16" t="s">
        <v>227</v>
      </c>
      <c r="AY216" s="16" t="s">
        <v>190</v>
      </c>
      <c r="AZ216" s="54">
        <v>0</v>
      </c>
      <c r="BA216" s="55" t="e">
        <f t="shared" ca="1" si="163"/>
        <v>#NAME?</v>
      </c>
      <c r="BB216" s="278">
        <v>2934</v>
      </c>
      <c r="BC216" s="278">
        <v>50000</v>
      </c>
      <c r="BD216" s="62" t="e">
        <f t="shared" ca="1" si="164"/>
        <v>#NAME?</v>
      </c>
      <c r="BE216" s="277">
        <f t="shared" si="165"/>
        <v>5.8680000000000003E-2</v>
      </c>
      <c r="BF216" s="62" t="e">
        <f t="shared" ca="1" si="166"/>
        <v>#NAME?</v>
      </c>
      <c r="BG216" s="16" t="s">
        <v>183</v>
      </c>
      <c r="BI216" s="16" t="s">
        <v>190</v>
      </c>
      <c r="BJ216" s="16">
        <v>0</v>
      </c>
      <c r="BK216" s="278">
        <v>1</v>
      </c>
      <c r="BL216" s="16" t="s">
        <v>190</v>
      </c>
      <c r="BM216" s="16" t="s">
        <v>227</v>
      </c>
      <c r="BN216" s="16" t="s">
        <v>190</v>
      </c>
      <c r="BO216" s="16" t="s">
        <v>190</v>
      </c>
      <c r="BP216" s="16">
        <v>0</v>
      </c>
      <c r="BQ216" s="16">
        <v>2</v>
      </c>
      <c r="BR216" s="16">
        <v>0</v>
      </c>
      <c r="BS216" s="16">
        <v>0</v>
      </c>
      <c r="BT216" s="205"/>
      <c r="BU216" s="16">
        <v>0</v>
      </c>
      <c r="BV216" s="16">
        <v>0</v>
      </c>
      <c r="BW216" s="16">
        <v>42</v>
      </c>
      <c r="BX216" s="16" t="s">
        <v>190</v>
      </c>
      <c r="BY216" s="205"/>
      <c r="CD216" s="205"/>
      <c r="CI216" s="205"/>
      <c r="CN216" s="205"/>
      <c r="CS216" s="205"/>
      <c r="CX216" s="205"/>
      <c r="DC216" s="205"/>
      <c r="DH216" s="205"/>
      <c r="DM216" s="205"/>
      <c r="DN216" s="205"/>
      <c r="DO216" s="205"/>
      <c r="DQ216" s="206"/>
      <c r="DR216" s="188">
        <f t="shared" si="64"/>
        <v>0</v>
      </c>
      <c r="DS216" s="188"/>
      <c r="DT216" s="189">
        <f t="shared" si="65"/>
        <v>0</v>
      </c>
      <c r="DU216" s="189"/>
      <c r="DV216" s="188">
        <f t="shared" si="66"/>
        <v>42</v>
      </c>
      <c r="DW216" s="183" t="e">
        <f t="shared" ca="1" si="67"/>
        <v>#NAME?</v>
      </c>
      <c r="DX216" s="207"/>
      <c r="DY216" s="190" t="e">
        <f t="shared" ca="1" si="68"/>
        <v>#NAME?</v>
      </c>
      <c r="DZ216" s="191">
        <f t="shared" si="338"/>
        <v>1</v>
      </c>
      <c r="EA216" s="191" t="str">
        <f t="shared" si="339"/>
        <v/>
      </c>
      <c r="EB216" s="191" t="str">
        <f t="shared" si="340"/>
        <v/>
      </c>
      <c r="EC216" s="208" t="e">
        <f t="shared" ca="1" si="72"/>
        <v>#NAME?</v>
      </c>
      <c r="ED216" s="36" t="str">
        <f t="shared" si="73"/>
        <v>SAFE</v>
      </c>
      <c r="EE216" s="193">
        <f>COUNTIF($ED$2:$ED$92, ED216)/(COUNTIF($ED$2:$ED$92, "&lt;&gt;""") - COUNTIF($ED$2:$ED$92, ""))</f>
        <v>0.37777777777777777</v>
      </c>
      <c r="EF216" s="36" t="str">
        <f t="shared" si="74"/>
        <v>Early</v>
      </c>
      <c r="EG216" s="207"/>
      <c r="EH216" s="194" t="e">
        <f t="shared" ca="1" si="75"/>
        <v>#NAME?</v>
      </c>
      <c r="EI216" s="194" t="e">
        <f t="shared" ca="1" si="76"/>
        <v>#NAME?</v>
      </c>
      <c r="EJ216" s="209" t="e">
        <f t="shared" ca="1" si="77"/>
        <v>#NAME?</v>
      </c>
      <c r="EK216" s="208" t="e">
        <f t="shared" ca="1" si="341"/>
        <v>#NAME?</v>
      </c>
      <c r="EL216" s="36" t="str">
        <f t="shared" si="79"/>
        <v>No</v>
      </c>
      <c r="EM216" s="207"/>
      <c r="EN216" s="192">
        <f t="shared" si="342"/>
        <v>1</v>
      </c>
      <c r="EO216" s="192">
        <f t="shared" si="343"/>
        <v>1</v>
      </c>
      <c r="EP216" s="209">
        <f t="shared" si="82"/>
        <v>2</v>
      </c>
      <c r="EQ216" s="210">
        <f t="shared" si="344"/>
        <v>1</v>
      </c>
      <c r="ER216" s="36" t="e">
        <f t="shared" ca="1" si="84"/>
        <v>#NAME?</v>
      </c>
      <c r="ES216" s="40">
        <f ca="1">COUNTIF($ER$2:$ER$92, ER216)/(COUNTIF($ER$2:$ER$92, "&lt;&gt;""") - COUNTIF($ER$2:$ER$92, ""))</f>
        <v>1</v>
      </c>
      <c r="ET216" s="36">
        <f t="shared" si="85"/>
        <v>1</v>
      </c>
      <c r="EU216" s="40">
        <f>COUNTIF($ET$2:$ET$92, ET216)/(COUNTIF($ET$2:$ET$92, "&lt;&gt;""") - COUNTIF($ET$2:$ET$92, ""))</f>
        <v>0.45555555555555555</v>
      </c>
      <c r="EV216" s="36">
        <f t="shared" si="86"/>
        <v>2</v>
      </c>
      <c r="EW216" s="40">
        <f>COUNTIF($EV$2:$EV$92, EV216)/(COUNTIF($EV$2:$EV$92, "&lt;&gt;""") - COUNTIF($EV$2:$EV$92, ""))</f>
        <v>0.15555555555555556</v>
      </c>
      <c r="EX216" s="36" t="str">
        <f t="shared" si="87"/>
        <v>No</v>
      </c>
      <c r="EY216" s="40">
        <f>COUNTIF($EX$2:$EX$92, EX216)/(COUNTIF($EX$2:$EX$92, "&lt;&gt;""") - COUNTIF($EX$2:$EX$92, ""))</f>
        <v>0.72222222222222221</v>
      </c>
      <c r="EZ216" s="36" t="str">
        <f t="shared" ref="EZ216:FB216" si="359">BM216</f>
        <v>Yes</v>
      </c>
      <c r="FA216" s="36" t="str">
        <f t="shared" si="359"/>
        <v>No</v>
      </c>
      <c r="FB216" s="36" t="str">
        <f t="shared" si="359"/>
        <v>No</v>
      </c>
      <c r="FC216" s="207"/>
      <c r="FD216" s="36" t="str">
        <f t="shared" si="89"/>
        <v>Transactional</v>
      </c>
      <c r="FE216" s="40">
        <f>COUNTIF($FD$2:$FD$92, FD216)/(COUNTIF($FD$2:$FD$92, "&lt;&gt;""") - COUNTIF($FD$2:$FD$92, ""))</f>
        <v>0.6</v>
      </c>
      <c r="FF216" s="36" t="str">
        <f t="shared" si="90"/>
        <v>B2B/B2C</v>
      </c>
      <c r="FG216" s="40">
        <f>COUNTIF($FF$2:$FF$92, FF216)/(COUNTIF($FF$2:$FF$92, "&lt;&gt;""") - COUNTIF($FF$2:$FF$92, ""))</f>
        <v>0.27777777777777779</v>
      </c>
      <c r="FH216" s="36" t="str">
        <f t="shared" si="91"/>
        <v>High</v>
      </c>
      <c r="FI216" s="40">
        <f>COUNTIF($FH$2:$FH$92, FH216)/(COUNTIF($FH$2:$FH$92, "&lt;&gt;""") - COUNTIF($FH$2:$FH$92, ""))</f>
        <v>0.53333333333333333</v>
      </c>
      <c r="FJ216" s="36" t="str">
        <f t="shared" si="92"/>
        <v>Low</v>
      </c>
      <c r="FK216" s="40">
        <f>COUNTIF($FJ$2:$FJ$92, FJ216)/(COUNTIF($FJ$2:$FJ$92, "&lt;&gt;""") - COUNTIF($FJ$2:$FJ$92, ""))</f>
        <v>0.41111111111111109</v>
      </c>
      <c r="FL216" s="207"/>
      <c r="FM216" s="192">
        <f t="shared" si="93"/>
        <v>3</v>
      </c>
      <c r="FN216" s="192" t="e">
        <f t="shared" ca="1" si="94"/>
        <v>#NAME?</v>
      </c>
      <c r="FO216" s="192" t="e">
        <f t="shared" ca="1" si="95"/>
        <v>#NAME?</v>
      </c>
      <c r="FP216" s="192" t="e">
        <f t="shared" ca="1" si="96"/>
        <v>#NAME?</v>
      </c>
      <c r="FQ216" s="209" t="e">
        <f t="shared" ca="1" si="97"/>
        <v>#NAME?</v>
      </c>
      <c r="FR216" s="208" t="e">
        <f t="shared" ca="1" si="346"/>
        <v>#NAME?</v>
      </c>
      <c r="FS216" s="36" t="str">
        <f t="shared" si="99"/>
        <v>Pre-Revenue</v>
      </c>
      <c r="FT216" s="196">
        <f>COUNTIF($FS$2:$FS$92, FS216)/(COUNTIF($FS$2:$FS$92, "&lt;&gt;""") - COUNTIF($FZ$2:$FZ$92, ""))</f>
        <v>0.2</v>
      </c>
      <c r="FU216" s="207"/>
      <c r="FV216" s="192" t="e">
        <f t="shared" ca="1" si="100"/>
        <v>#NAME?</v>
      </c>
      <c r="FW216" s="197" t="e">
        <f t="shared" ca="1" si="101"/>
        <v>#NAME?</v>
      </c>
      <c r="FX216" s="209" t="e">
        <f t="shared" ca="1" si="102"/>
        <v>#NAME?</v>
      </c>
      <c r="FY216" s="211" t="e">
        <f t="shared" ca="1" si="347"/>
        <v>#NAME?</v>
      </c>
      <c r="FZ216" s="36" t="str">
        <f t="shared" si="104"/>
        <v>No</v>
      </c>
      <c r="GA216" s="196">
        <f>COUNTIF($FZ$2:$FZ$92, FZ216)/(COUNTIF($FZ$2:$FZ$92, "&lt;&gt;""") - COUNTIF($FZ$2:$FZ$92, ""))</f>
        <v>0.76666666666666672</v>
      </c>
      <c r="GB216" s="196">
        <f t="shared" si="105"/>
        <v>0</v>
      </c>
      <c r="GC216" s="196">
        <f>COUNTIF($GB$2:$GB$92, GB216)/(COUNTIF($GB$2:$GB$92, "&lt;&gt;""") - COUNTIF($GB$2:$GB$92, ""))</f>
        <v>1.1111111111111112E-2</v>
      </c>
      <c r="GD216" s="196">
        <f t="shared" si="106"/>
        <v>0</v>
      </c>
      <c r="GE216" s="196">
        <f>COUNTIF($GD$2:$GD$92, GD216)/(COUNTIF($GD$2:$GD$92, "&lt;&gt;""") - COUNTIF($GD$2:$GD$92, ""))</f>
        <v>1.1111111111111112E-2</v>
      </c>
      <c r="GF216" s="207"/>
      <c r="GG216" s="36"/>
      <c r="GH216" s="209" t="e">
        <f t="shared" ca="1" si="107"/>
        <v>#NAME?</v>
      </c>
      <c r="GI216" s="212" t="e">
        <f t="shared" ca="1" si="348"/>
        <v>#NAME?</v>
      </c>
    </row>
    <row r="217" spans="1:191" ht="15.75" customHeight="1">
      <c r="A217" s="171"/>
      <c r="B217" s="171" t="s">
        <v>501</v>
      </c>
      <c r="C217" s="16">
        <v>1794484</v>
      </c>
      <c r="D217" s="233" t="s">
        <v>1625</v>
      </c>
      <c r="E217" s="270">
        <v>43815.454861111109</v>
      </c>
      <c r="F217" s="16" t="s">
        <v>329</v>
      </c>
      <c r="G217" s="235" t="s">
        <v>1626</v>
      </c>
      <c r="H217" s="235" t="s">
        <v>1627</v>
      </c>
      <c r="I217" s="271">
        <v>43871</v>
      </c>
      <c r="J217" s="233" t="s">
        <v>1628</v>
      </c>
      <c r="K217" s="233" t="s">
        <v>1625</v>
      </c>
      <c r="M217" s="16" t="s">
        <v>1629</v>
      </c>
      <c r="N217" s="16" t="s">
        <v>267</v>
      </c>
      <c r="O217" s="16" t="s">
        <v>30</v>
      </c>
      <c r="P217" s="16" t="s">
        <v>174</v>
      </c>
      <c r="Q217" s="16" t="s">
        <v>35</v>
      </c>
      <c r="S217" s="16" t="s">
        <v>269</v>
      </c>
      <c r="T217" s="237"/>
      <c r="U217" s="213"/>
      <c r="V217" s="54"/>
      <c r="W217" s="54">
        <v>8000000</v>
      </c>
      <c r="X217" s="226">
        <v>0</v>
      </c>
      <c r="Y217" s="55">
        <f t="shared" si="158"/>
        <v>8000000</v>
      </c>
      <c r="Z217" s="274">
        <f t="shared" si="159"/>
        <v>8000000</v>
      </c>
      <c r="AA217" s="183" t="e">
        <f t="shared" ca="1" si="160"/>
        <v>#NAME?</v>
      </c>
      <c r="AB217" s="16" t="s">
        <v>36</v>
      </c>
      <c r="AC217" s="16" t="s">
        <v>218</v>
      </c>
      <c r="AD217" s="16" t="s">
        <v>38</v>
      </c>
      <c r="AE217" s="16" t="s">
        <v>227</v>
      </c>
      <c r="AF217" s="16" t="s">
        <v>39</v>
      </c>
      <c r="AG217" s="16" t="s">
        <v>181</v>
      </c>
      <c r="AH217" s="16" t="s">
        <v>190</v>
      </c>
      <c r="AI217" s="54"/>
      <c r="AJ217" s="278">
        <v>55220000000</v>
      </c>
      <c r="AK217" s="224" t="e">
        <f t="shared" ca="1" si="161"/>
        <v>#NAME?</v>
      </c>
      <c r="AL217" s="278">
        <v>13600000000</v>
      </c>
      <c r="AM217" s="224" t="e">
        <f t="shared" ca="1" si="162"/>
        <v>#NAME?</v>
      </c>
      <c r="AN217" s="278">
        <v>0.05</v>
      </c>
      <c r="AO217" s="185" t="e">
        <f t="shared" ca="1" si="63"/>
        <v>#NAME?</v>
      </c>
      <c r="AP217" s="185" t="s">
        <v>211</v>
      </c>
      <c r="AQ217" s="16" t="s">
        <v>181</v>
      </c>
      <c r="AR217" s="16" t="s">
        <v>181</v>
      </c>
      <c r="AS217" s="16" t="s">
        <v>42</v>
      </c>
      <c r="AT217" s="159"/>
      <c r="AU217" s="159"/>
      <c r="AV217" s="16" t="s">
        <v>190</v>
      </c>
      <c r="AW217" s="16" t="s">
        <v>190</v>
      </c>
      <c r="AX217" s="16" t="s">
        <v>227</v>
      </c>
      <c r="AY217" s="16" t="s">
        <v>227</v>
      </c>
      <c r="AZ217" s="54">
        <v>105758</v>
      </c>
      <c r="BA217" s="55" t="e">
        <f t="shared" ca="1" si="163"/>
        <v>#NAME?</v>
      </c>
      <c r="BB217" s="278">
        <v>1978</v>
      </c>
      <c r="BC217" s="278">
        <v>600000</v>
      </c>
      <c r="BD217" s="62" t="e">
        <f t="shared" ca="1" si="164"/>
        <v>#NAME?</v>
      </c>
      <c r="BE217" s="277">
        <f t="shared" si="165"/>
        <v>3.2966666666666665E-3</v>
      </c>
      <c r="BF217" s="62" t="e">
        <f t="shared" ca="1" si="166"/>
        <v>#NAME?</v>
      </c>
      <c r="BG217" s="16" t="s">
        <v>202</v>
      </c>
      <c r="BI217" s="16" t="s">
        <v>227</v>
      </c>
      <c r="BJ217" s="16">
        <v>4</v>
      </c>
      <c r="BK217" s="278">
        <v>3</v>
      </c>
      <c r="BL217" s="16" t="s">
        <v>227</v>
      </c>
      <c r="BM217" s="16" t="s">
        <v>227</v>
      </c>
      <c r="BN217" s="16" t="s">
        <v>227</v>
      </c>
      <c r="BO217" s="16" t="s">
        <v>190</v>
      </c>
      <c r="BP217" s="16">
        <v>5</v>
      </c>
      <c r="BQ217" s="16">
        <v>3</v>
      </c>
      <c r="BR217" s="16">
        <v>0</v>
      </c>
      <c r="BS217" s="16">
        <v>0</v>
      </c>
      <c r="BT217" s="205"/>
      <c r="BU217" s="16">
        <v>7</v>
      </c>
      <c r="BV217" s="16">
        <v>0</v>
      </c>
      <c r="BW217" s="16">
        <v>30</v>
      </c>
      <c r="BX217" s="16" t="s">
        <v>190</v>
      </c>
      <c r="BY217" s="205"/>
      <c r="BZ217" s="16">
        <v>7</v>
      </c>
      <c r="CA217" s="16">
        <v>0</v>
      </c>
      <c r="CB217" s="16">
        <v>31</v>
      </c>
      <c r="CC217" s="16" t="s">
        <v>190</v>
      </c>
      <c r="CD217" s="205"/>
      <c r="CE217" s="16">
        <v>0</v>
      </c>
      <c r="CF217" s="16">
        <v>0</v>
      </c>
      <c r="CG217" s="16">
        <v>38</v>
      </c>
      <c r="CH217" s="16" t="s">
        <v>190</v>
      </c>
      <c r="CI217" s="205"/>
      <c r="CN217" s="205"/>
      <c r="CS217" s="205"/>
      <c r="CX217" s="205"/>
      <c r="DC217" s="205"/>
      <c r="DH217" s="205"/>
      <c r="DM217" s="205"/>
      <c r="DN217" s="205"/>
      <c r="DO217" s="205"/>
      <c r="DQ217" s="206"/>
      <c r="DR217" s="188">
        <f t="shared" si="64"/>
        <v>4.666666666666667</v>
      </c>
      <c r="DS217" s="188"/>
      <c r="DT217" s="189">
        <f t="shared" si="65"/>
        <v>0</v>
      </c>
      <c r="DU217" s="189"/>
      <c r="DV217" s="188">
        <f t="shared" si="66"/>
        <v>33</v>
      </c>
      <c r="DW217" s="183" t="e">
        <f t="shared" ca="1" si="67"/>
        <v>#NAME?</v>
      </c>
      <c r="DX217" s="207"/>
      <c r="DY217" s="190" t="e">
        <f t="shared" ca="1" si="68"/>
        <v>#NAME?</v>
      </c>
      <c r="DZ217" s="191">
        <f t="shared" si="338"/>
        <v>1</v>
      </c>
      <c r="EA217" s="191" t="str">
        <f t="shared" si="339"/>
        <v/>
      </c>
      <c r="EB217" s="191" t="str">
        <f t="shared" si="340"/>
        <v/>
      </c>
      <c r="EC217" s="208" t="e">
        <f t="shared" ca="1" si="72"/>
        <v>#NAME?</v>
      </c>
      <c r="ED217" s="36" t="str">
        <f t="shared" si="73"/>
        <v>SAFE</v>
      </c>
      <c r="EE217" s="193">
        <f>COUNTIF($ED$2:$ED$92, ED217)/(COUNTIF($ED$2:$ED$92, "&lt;&gt;""") - COUNTIF($ED$2:$ED$92, ""))</f>
        <v>0.37777777777777777</v>
      </c>
      <c r="EF217" s="36" t="str">
        <f t="shared" si="74"/>
        <v>Early</v>
      </c>
      <c r="EG217" s="207"/>
      <c r="EH217" s="194" t="e">
        <f t="shared" ca="1" si="75"/>
        <v>#NAME?</v>
      </c>
      <c r="EI217" s="194" t="e">
        <f t="shared" ca="1" si="76"/>
        <v>#NAME?</v>
      </c>
      <c r="EJ217" s="209" t="e">
        <f t="shared" ca="1" si="77"/>
        <v>#NAME?</v>
      </c>
      <c r="EK217" s="208" t="e">
        <f t="shared" ca="1" si="341"/>
        <v>#NAME?</v>
      </c>
      <c r="EL217" s="36" t="str">
        <f t="shared" si="79"/>
        <v>No</v>
      </c>
      <c r="EM217" s="207"/>
      <c r="EN217" s="192">
        <f t="shared" si="342"/>
        <v>1.4444444444444444</v>
      </c>
      <c r="EO217" s="192">
        <f t="shared" si="343"/>
        <v>1</v>
      </c>
      <c r="EP217" s="209">
        <f t="shared" si="82"/>
        <v>2.4444444444444446</v>
      </c>
      <c r="EQ217" s="210">
        <f t="shared" si="344"/>
        <v>1.3489096573208725</v>
      </c>
      <c r="ER217" s="36" t="e">
        <f t="shared" ca="1" si="84"/>
        <v>#NAME?</v>
      </c>
      <c r="ES217" s="40">
        <f ca="1">COUNTIF($ER$2:$ER$92, ER217)/(COUNTIF($ER$2:$ER$92, "&lt;&gt;""") - COUNTIF($ER$2:$ER$92, ""))</f>
        <v>1</v>
      </c>
      <c r="ET217" s="36">
        <f t="shared" si="85"/>
        <v>3</v>
      </c>
      <c r="EU217" s="40">
        <f>COUNTIF($ET$2:$ET$92, ET217)/(COUNTIF($ET$2:$ET$92, "&lt;&gt;""") - COUNTIF($ET$2:$ET$92, ""))</f>
        <v>4.4444444444444446E-2</v>
      </c>
      <c r="EV217" s="36">
        <f t="shared" si="86"/>
        <v>3</v>
      </c>
      <c r="EW217" s="40">
        <f>COUNTIF($EV$2:$EV$92, EV217)/(COUNTIF($EV$2:$EV$92, "&lt;&gt;""") - COUNTIF($EV$2:$EV$92, ""))</f>
        <v>8.8888888888888892E-2</v>
      </c>
      <c r="EX217" s="36" t="str">
        <f t="shared" si="87"/>
        <v>Yes</v>
      </c>
      <c r="EY217" s="40">
        <f>COUNTIF($EX$2:$EX$92, EX217)/(COUNTIF($EX$2:$EX$92, "&lt;&gt;""") - COUNTIF($EX$2:$EX$92, ""))</f>
        <v>0.27777777777777779</v>
      </c>
      <c r="EZ217" s="36" t="str">
        <f t="shared" ref="EZ217:FB217" si="360">BM217</f>
        <v>Yes</v>
      </c>
      <c r="FA217" s="36" t="str">
        <f t="shared" si="360"/>
        <v>Yes</v>
      </c>
      <c r="FB217" s="36" t="str">
        <f t="shared" si="360"/>
        <v>No</v>
      </c>
      <c r="FC217" s="207"/>
      <c r="FD217" s="36" t="str">
        <f t="shared" si="89"/>
        <v>Transactional</v>
      </c>
      <c r="FE217" s="40">
        <f>COUNTIF($FD$2:$FD$92, FD217)/(COUNTIF($FD$2:$FD$92, "&lt;&gt;""") - COUNTIF($FD$2:$FD$92, ""))</f>
        <v>0.6</v>
      </c>
      <c r="FF217" s="36" t="str">
        <f t="shared" si="90"/>
        <v>B2B/B2C</v>
      </c>
      <c r="FG217" s="40">
        <f>COUNTIF($FF$2:$FF$92, FF217)/(COUNTIF($FF$2:$FF$92, "&lt;&gt;""") - COUNTIF($FF$2:$FF$92, ""))</f>
        <v>0.27777777777777779</v>
      </c>
      <c r="FH217" s="36" t="str">
        <f t="shared" si="91"/>
        <v>High</v>
      </c>
      <c r="FI217" s="40">
        <f>COUNTIF($FH$2:$FH$92, FH217)/(COUNTIF($FH$2:$FH$92, "&lt;&gt;""") - COUNTIF($FH$2:$FH$92, ""))</f>
        <v>0.53333333333333333</v>
      </c>
      <c r="FJ217" s="36" t="str">
        <f t="shared" si="92"/>
        <v>Low</v>
      </c>
      <c r="FK217" s="40">
        <f>COUNTIF($FJ$2:$FJ$92, FJ217)/(COUNTIF($FJ$2:$FJ$92, "&lt;&gt;""") - COUNTIF($FJ$2:$FJ$92, ""))</f>
        <v>0.41111111111111109</v>
      </c>
      <c r="FL217" s="207"/>
      <c r="FM217" s="192">
        <f t="shared" si="93"/>
        <v>5</v>
      </c>
      <c r="FN217" s="192" t="e">
        <f t="shared" ca="1" si="94"/>
        <v>#NAME?</v>
      </c>
      <c r="FO217" s="192" t="e">
        <f t="shared" ca="1" si="95"/>
        <v>#NAME?</v>
      </c>
      <c r="FP217" s="192" t="e">
        <f t="shared" ca="1" si="96"/>
        <v>#NAME?</v>
      </c>
      <c r="FQ217" s="209" t="e">
        <f t="shared" ca="1" si="97"/>
        <v>#NAME?</v>
      </c>
      <c r="FR217" s="208" t="e">
        <f t="shared" ca="1" si="346"/>
        <v>#NAME?</v>
      </c>
      <c r="FS217" s="36" t="str">
        <f t="shared" si="99"/>
        <v>Pre-Profit</v>
      </c>
      <c r="FT217" s="196">
        <f>COUNTIF($FS$2:$FS$92, FS217)/(COUNTIF($FS$2:$FS$92, "&lt;&gt;""") - COUNTIF($FZ$2:$FZ$92, ""))</f>
        <v>0.51111111111111107</v>
      </c>
      <c r="FU217" s="207"/>
      <c r="FV217" s="192" t="e">
        <f t="shared" ca="1" si="100"/>
        <v>#NAME?</v>
      </c>
      <c r="FW217" s="197" t="e">
        <f t="shared" ca="1" si="101"/>
        <v>#NAME?</v>
      </c>
      <c r="FX217" s="209" t="e">
        <f t="shared" ca="1" si="102"/>
        <v>#NAME?</v>
      </c>
      <c r="FY217" s="211" t="e">
        <f t="shared" ca="1" si="347"/>
        <v>#NAME?</v>
      </c>
      <c r="FZ217" s="36" t="str">
        <f t="shared" si="104"/>
        <v>No</v>
      </c>
      <c r="GA217" s="196">
        <f>COUNTIF($FZ$2:$FZ$92, FZ217)/(COUNTIF($FZ$2:$FZ$92, "&lt;&gt;""") - COUNTIF($FZ$2:$FZ$92, ""))</f>
        <v>0.76666666666666672</v>
      </c>
      <c r="GB217" s="196">
        <f t="shared" si="105"/>
        <v>0</v>
      </c>
      <c r="GC217" s="196">
        <f>COUNTIF($GB$2:$GB$92, GB217)/(COUNTIF($GB$2:$GB$92, "&lt;&gt;""") - COUNTIF($GB$2:$GB$92, ""))</f>
        <v>1.1111111111111112E-2</v>
      </c>
      <c r="GD217" s="196">
        <f t="shared" si="106"/>
        <v>0</v>
      </c>
      <c r="GE217" s="196">
        <f>COUNTIF($GD$2:$GD$92, GD217)/(COUNTIF($GD$2:$GD$92, "&lt;&gt;""") - COUNTIF($GD$2:$GD$92, ""))</f>
        <v>1.1111111111111112E-2</v>
      </c>
      <c r="GF217" s="207"/>
      <c r="GG217" s="36"/>
      <c r="GH217" s="209" t="e">
        <f t="shared" ca="1" si="107"/>
        <v>#NAME?</v>
      </c>
      <c r="GI217" s="212" t="e">
        <f t="shared" ca="1" si="348"/>
        <v>#NAME?</v>
      </c>
    </row>
    <row r="218" spans="1:191" ht="15.75" customHeight="1">
      <c r="A218" s="171"/>
      <c r="B218" s="171" t="s">
        <v>501</v>
      </c>
      <c r="C218" s="16">
        <v>1791125</v>
      </c>
      <c r="D218" s="233" t="s">
        <v>1630</v>
      </c>
      <c r="E218" s="270">
        <v>43815.460416666669</v>
      </c>
      <c r="F218" s="16" t="s">
        <v>337</v>
      </c>
      <c r="G218" s="235" t="s">
        <v>1631</v>
      </c>
      <c r="H218" s="235" t="s">
        <v>1632</v>
      </c>
      <c r="I218" s="271">
        <v>43907</v>
      </c>
      <c r="J218" s="233" t="s">
        <v>1633</v>
      </c>
      <c r="K218" s="233" t="s">
        <v>1630</v>
      </c>
      <c r="M218" s="16" t="s">
        <v>1498</v>
      </c>
      <c r="N218" s="16" t="s">
        <v>244</v>
      </c>
      <c r="O218" s="16" t="s">
        <v>30</v>
      </c>
      <c r="P218" s="16" t="s">
        <v>31</v>
      </c>
      <c r="Q218" s="16" t="s">
        <v>35</v>
      </c>
      <c r="S218" s="16" t="s">
        <v>216</v>
      </c>
      <c r="T218" s="237"/>
      <c r="U218" s="213"/>
      <c r="V218" s="54">
        <v>6375000</v>
      </c>
      <c r="W218" s="54"/>
      <c r="X218" s="226"/>
      <c r="Y218" s="55" t="str">
        <f t="shared" si="158"/>
        <v/>
      </c>
      <c r="Z218" s="274">
        <f t="shared" si="159"/>
        <v>6375000</v>
      </c>
      <c r="AA218" s="183" t="e">
        <f t="shared" ca="1" si="160"/>
        <v>#NAME?</v>
      </c>
      <c r="AB218" s="16" t="s">
        <v>36</v>
      </c>
      <c r="AC218" s="16" t="s">
        <v>179</v>
      </c>
      <c r="AD218" s="16" t="s">
        <v>180</v>
      </c>
      <c r="AE218" s="16" t="s">
        <v>227</v>
      </c>
      <c r="AF218" s="16" t="s">
        <v>39</v>
      </c>
      <c r="AG218" s="16" t="s">
        <v>181</v>
      </c>
      <c r="AH218" s="16" t="s">
        <v>190</v>
      </c>
      <c r="AI218" s="54"/>
      <c r="AJ218" s="278">
        <v>1310000000</v>
      </c>
      <c r="AK218" s="224" t="e">
        <f t="shared" ca="1" si="161"/>
        <v>#NAME?</v>
      </c>
      <c r="AL218" s="278">
        <v>1310000000</v>
      </c>
      <c r="AM218" s="224" t="e">
        <f t="shared" ca="1" si="162"/>
        <v>#NAME?</v>
      </c>
      <c r="AN218" s="278">
        <v>0.27</v>
      </c>
      <c r="AO218" s="185" t="e">
        <f t="shared" ca="1" si="63"/>
        <v>#NAME?</v>
      </c>
      <c r="AP218" s="185" t="s">
        <v>211</v>
      </c>
      <c r="AQ218" s="16" t="s">
        <v>181</v>
      </c>
      <c r="AR218" s="16" t="s">
        <v>181</v>
      </c>
      <c r="AS218" s="16" t="s">
        <v>42</v>
      </c>
      <c r="AT218" s="159"/>
      <c r="AU218" s="159"/>
      <c r="AV218" s="16" t="s">
        <v>190</v>
      </c>
      <c r="AW218" s="16" t="s">
        <v>190</v>
      </c>
      <c r="AX218" s="16" t="s">
        <v>227</v>
      </c>
      <c r="AY218" s="16" t="s">
        <v>227</v>
      </c>
      <c r="AZ218" s="54">
        <v>11877</v>
      </c>
      <c r="BA218" s="55" t="e">
        <f t="shared" ca="1" si="163"/>
        <v>#NAME?</v>
      </c>
      <c r="BB218" s="278">
        <v>6842</v>
      </c>
      <c r="BC218" s="278">
        <v>238214</v>
      </c>
      <c r="BD218" s="62" t="e">
        <f t="shared" ca="1" si="164"/>
        <v>#NAME?</v>
      </c>
      <c r="BE218" s="277">
        <f t="shared" si="165"/>
        <v>2.8722073429773228E-2</v>
      </c>
      <c r="BF218" s="62" t="e">
        <f t="shared" ca="1" si="166"/>
        <v>#NAME?</v>
      </c>
      <c r="BG218" s="16" t="s">
        <v>202</v>
      </c>
      <c r="BI218" s="16" t="s">
        <v>190</v>
      </c>
      <c r="BJ218" s="16">
        <v>0</v>
      </c>
      <c r="BK218" s="278">
        <v>1</v>
      </c>
      <c r="BL218" s="16" t="s">
        <v>227</v>
      </c>
      <c r="BM218" s="16" t="s">
        <v>190</v>
      </c>
      <c r="BN218" s="16" t="s">
        <v>190</v>
      </c>
      <c r="BO218" s="16" t="s">
        <v>227</v>
      </c>
      <c r="BP218" s="16">
        <v>1</v>
      </c>
      <c r="BQ218" s="16">
        <v>4</v>
      </c>
      <c r="BR218" s="16">
        <v>0</v>
      </c>
      <c r="BS218" s="16">
        <v>0</v>
      </c>
      <c r="BT218" s="205"/>
      <c r="BU218" s="16">
        <v>42</v>
      </c>
      <c r="BV218" s="16">
        <v>0</v>
      </c>
      <c r="BW218" s="16">
        <v>58</v>
      </c>
      <c r="BX218" s="16" t="s">
        <v>227</v>
      </c>
      <c r="BY218" s="205"/>
      <c r="CD218" s="205"/>
      <c r="CI218" s="205"/>
      <c r="CN218" s="205"/>
      <c r="CS218" s="205"/>
      <c r="CX218" s="205"/>
      <c r="DC218" s="205"/>
      <c r="DH218" s="205"/>
      <c r="DM218" s="205"/>
      <c r="DN218" s="205"/>
      <c r="DO218" s="205"/>
      <c r="DQ218" s="206"/>
      <c r="DR218" s="188">
        <f t="shared" si="64"/>
        <v>42</v>
      </c>
      <c r="DS218" s="188"/>
      <c r="DT218" s="189">
        <f t="shared" si="65"/>
        <v>0</v>
      </c>
      <c r="DU218" s="189"/>
      <c r="DV218" s="188">
        <f t="shared" si="66"/>
        <v>58</v>
      </c>
      <c r="DW218" s="183" t="e">
        <f t="shared" ca="1" si="67"/>
        <v>#NAME?</v>
      </c>
      <c r="DX218" s="207"/>
      <c r="DY218" s="190" t="e">
        <f t="shared" ca="1" si="68"/>
        <v>#NAME?</v>
      </c>
      <c r="DZ218" s="191" t="str">
        <f t="shared" si="338"/>
        <v/>
      </c>
      <c r="EA218" s="191" t="str">
        <f t="shared" si="339"/>
        <v/>
      </c>
      <c r="EB218" s="191" t="str">
        <f t="shared" si="340"/>
        <v/>
      </c>
      <c r="EC218" s="208" t="e">
        <f t="shared" ca="1" si="72"/>
        <v>#NAME?</v>
      </c>
      <c r="ED218" s="36" t="str">
        <f t="shared" si="73"/>
        <v>Equity - Common</v>
      </c>
      <c r="EE218" s="193">
        <f>COUNTIF($ED$2:$ED$92, ED218)/(COUNTIF($ED$2:$ED$92, "&lt;&gt;""") - COUNTIF($ED$2:$ED$92, ""))</f>
        <v>0.32222222222222224</v>
      </c>
      <c r="EF218" s="36" t="str">
        <f t="shared" si="74"/>
        <v>Early</v>
      </c>
      <c r="EG218" s="207"/>
      <c r="EH218" s="194" t="e">
        <f t="shared" ca="1" si="75"/>
        <v>#NAME?</v>
      </c>
      <c r="EI218" s="194" t="e">
        <f t="shared" ca="1" si="76"/>
        <v>#NAME?</v>
      </c>
      <c r="EJ218" s="209" t="e">
        <f t="shared" ca="1" si="77"/>
        <v>#NAME?</v>
      </c>
      <c r="EK218" s="208" t="e">
        <f t="shared" ca="1" si="341"/>
        <v>#NAME?</v>
      </c>
      <c r="EL218" s="36" t="str">
        <f t="shared" si="79"/>
        <v>No</v>
      </c>
      <c r="EM218" s="207"/>
      <c r="EN218" s="192">
        <f t="shared" si="342"/>
        <v>5</v>
      </c>
      <c r="EO218" s="192">
        <f t="shared" si="343"/>
        <v>1</v>
      </c>
      <c r="EP218" s="209">
        <f t="shared" si="82"/>
        <v>6</v>
      </c>
      <c r="EQ218" s="210">
        <f t="shared" si="344"/>
        <v>4.1401869158878508</v>
      </c>
      <c r="ER218" s="36" t="e">
        <f t="shared" ca="1" si="84"/>
        <v>#NAME?</v>
      </c>
      <c r="ES218" s="40">
        <f ca="1">COUNTIF($ER$2:$ER$92, ER218)/(COUNTIF($ER$2:$ER$92, "&lt;&gt;""") - COUNTIF($ER$2:$ER$92, ""))</f>
        <v>1</v>
      </c>
      <c r="ET218" s="36">
        <f t="shared" si="85"/>
        <v>1</v>
      </c>
      <c r="EU218" s="40">
        <f>COUNTIF($ET$2:$ET$92, ET218)/(COUNTIF($ET$2:$ET$92, "&lt;&gt;""") - COUNTIF($ET$2:$ET$92, ""))</f>
        <v>0.45555555555555555</v>
      </c>
      <c r="EV218" s="36">
        <f t="shared" si="86"/>
        <v>4</v>
      </c>
      <c r="EW218" s="40">
        <f>COUNTIF($EV$2:$EV$92, EV218)/(COUNTIF($EV$2:$EV$92, "&lt;&gt;""") - COUNTIF($EV$2:$EV$92, ""))</f>
        <v>0.12222222222222222</v>
      </c>
      <c r="EX218" s="36" t="str">
        <f t="shared" si="87"/>
        <v>Yes</v>
      </c>
      <c r="EY218" s="40">
        <f>COUNTIF($EX$2:$EX$92, EX218)/(COUNTIF($EX$2:$EX$92, "&lt;&gt;""") - COUNTIF($EX$2:$EX$92, ""))</f>
        <v>0.27777777777777779</v>
      </c>
      <c r="EZ218" s="36" t="str">
        <f t="shared" ref="EZ218:FB218" si="361">BM218</f>
        <v>No</v>
      </c>
      <c r="FA218" s="36" t="str">
        <f t="shared" si="361"/>
        <v>No</v>
      </c>
      <c r="FB218" s="36" t="str">
        <f t="shared" si="361"/>
        <v>Yes</v>
      </c>
      <c r="FC218" s="207"/>
      <c r="FD218" s="36" t="str">
        <f t="shared" si="89"/>
        <v>Transactional</v>
      </c>
      <c r="FE218" s="40">
        <f>COUNTIF($FD$2:$FD$92, FD218)/(COUNTIF($FD$2:$FD$92, "&lt;&gt;""") - COUNTIF($FD$2:$FD$92, ""))</f>
        <v>0.6</v>
      </c>
      <c r="FF218" s="36" t="str">
        <f t="shared" si="90"/>
        <v>B2C</v>
      </c>
      <c r="FG218" s="40">
        <f>COUNTIF($FF$2:$FF$92, FF218)/(COUNTIF($FF$2:$FF$92, "&lt;&gt;""") - COUNTIF($FF$2:$FF$92, ""))</f>
        <v>0.41111111111111109</v>
      </c>
      <c r="FH218" s="36" t="str">
        <f t="shared" si="91"/>
        <v>High</v>
      </c>
      <c r="FI218" s="40">
        <f>COUNTIF($FH$2:$FH$92, FH218)/(COUNTIF($FH$2:$FH$92, "&lt;&gt;""") - COUNTIF($FH$2:$FH$92, ""))</f>
        <v>0.53333333333333333</v>
      </c>
      <c r="FJ218" s="36" t="str">
        <f t="shared" si="92"/>
        <v>Low</v>
      </c>
      <c r="FK218" s="40">
        <f>COUNTIF($FJ$2:$FJ$92, FJ218)/(COUNTIF($FJ$2:$FJ$92, "&lt;&gt;""") - COUNTIF($FJ$2:$FJ$92, ""))</f>
        <v>0.41111111111111109</v>
      </c>
      <c r="FL218" s="207"/>
      <c r="FM218" s="192">
        <f t="shared" si="93"/>
        <v>5</v>
      </c>
      <c r="FN218" s="192" t="e">
        <f t="shared" ca="1" si="94"/>
        <v>#NAME?</v>
      </c>
      <c r="FO218" s="192" t="e">
        <f t="shared" ca="1" si="95"/>
        <v>#NAME?</v>
      </c>
      <c r="FP218" s="192" t="e">
        <f t="shared" ca="1" si="96"/>
        <v>#NAME?</v>
      </c>
      <c r="FQ218" s="209" t="e">
        <f t="shared" ca="1" si="97"/>
        <v>#NAME?</v>
      </c>
      <c r="FR218" s="208" t="e">
        <f t="shared" ca="1" si="346"/>
        <v>#NAME?</v>
      </c>
      <c r="FS218" s="36" t="str">
        <f t="shared" si="99"/>
        <v>Pre-Profit</v>
      </c>
      <c r="FT218" s="196">
        <f>COUNTIF($FS$2:$FS$92, FS218)/(COUNTIF($FS$2:$FS$92, "&lt;&gt;""") - COUNTIF($FZ$2:$FZ$92, ""))</f>
        <v>0.51111111111111107</v>
      </c>
      <c r="FU218" s="207"/>
      <c r="FV218" s="192" t="e">
        <f t="shared" ca="1" si="100"/>
        <v>#NAME?</v>
      </c>
      <c r="FW218" s="197" t="e">
        <f t="shared" ca="1" si="101"/>
        <v>#NAME?</v>
      </c>
      <c r="FX218" s="209" t="e">
        <f t="shared" ca="1" si="102"/>
        <v>#NAME?</v>
      </c>
      <c r="FY218" s="211" t="e">
        <f t="shared" ca="1" si="347"/>
        <v>#NAME?</v>
      </c>
      <c r="FZ218" s="36" t="str">
        <f t="shared" si="104"/>
        <v>No</v>
      </c>
      <c r="GA218" s="196">
        <f>COUNTIF($FZ$2:$FZ$92, FZ218)/(COUNTIF($FZ$2:$FZ$92, "&lt;&gt;""") - COUNTIF($FZ$2:$FZ$92, ""))</f>
        <v>0.76666666666666672</v>
      </c>
      <c r="GB218" s="196">
        <f t="shared" si="105"/>
        <v>0</v>
      </c>
      <c r="GC218" s="196">
        <f>COUNTIF($GB$2:$GB$92, GB218)/(COUNTIF($GB$2:$GB$92, "&lt;&gt;""") - COUNTIF($GB$2:$GB$92, ""))</f>
        <v>1.1111111111111112E-2</v>
      </c>
      <c r="GD218" s="196">
        <f t="shared" si="106"/>
        <v>0</v>
      </c>
      <c r="GE218" s="196">
        <f>COUNTIF($GD$2:$GD$92, GD218)/(COUNTIF($GD$2:$GD$92, "&lt;&gt;""") - COUNTIF($GD$2:$GD$92, ""))</f>
        <v>1.1111111111111112E-2</v>
      </c>
      <c r="GF218" s="207"/>
      <c r="GG218" s="36"/>
      <c r="GH218" s="209" t="e">
        <f t="shared" ca="1" si="107"/>
        <v>#NAME?</v>
      </c>
      <c r="GI218" s="212" t="e">
        <f t="shared" ca="1" si="348"/>
        <v>#NAME?</v>
      </c>
    </row>
    <row r="219" spans="1:191" ht="15.75" customHeight="1">
      <c r="A219" s="171"/>
      <c r="B219" s="171" t="s">
        <v>501</v>
      </c>
      <c r="C219" s="16">
        <v>1638850</v>
      </c>
      <c r="D219" s="233" t="s">
        <v>1634</v>
      </c>
      <c r="E219" s="270">
        <v>43816.429861111108</v>
      </c>
      <c r="F219" s="16" t="s">
        <v>337</v>
      </c>
      <c r="G219" s="235" t="s">
        <v>1635</v>
      </c>
      <c r="H219" s="235" t="s">
        <v>1636</v>
      </c>
      <c r="I219" s="241">
        <v>43907</v>
      </c>
      <c r="J219" s="233" t="s">
        <v>1637</v>
      </c>
      <c r="K219" s="233" t="s">
        <v>1634</v>
      </c>
      <c r="M219" s="16" t="s">
        <v>1638</v>
      </c>
      <c r="N219" s="16" t="s">
        <v>294</v>
      </c>
      <c r="O219" s="16" t="s">
        <v>30</v>
      </c>
      <c r="P219" s="16" t="s">
        <v>197</v>
      </c>
      <c r="Q219" s="16" t="s">
        <v>35</v>
      </c>
      <c r="S219" s="16" t="s">
        <v>216</v>
      </c>
      <c r="T219" s="237"/>
      <c r="U219" s="213"/>
      <c r="V219" s="54">
        <v>51470577</v>
      </c>
      <c r="W219" s="54"/>
      <c r="X219" s="226"/>
      <c r="Y219" s="55" t="str">
        <f t="shared" si="158"/>
        <v/>
      </c>
      <c r="Z219" s="274">
        <f t="shared" si="159"/>
        <v>51470577</v>
      </c>
      <c r="AA219" s="183" t="e">
        <f t="shared" ca="1" si="160"/>
        <v>#NAME?</v>
      </c>
      <c r="AB219" s="16" t="s">
        <v>36</v>
      </c>
      <c r="AC219" s="16" t="s">
        <v>218</v>
      </c>
      <c r="AD219" s="16" t="s">
        <v>38</v>
      </c>
      <c r="AE219" s="16" t="s">
        <v>227</v>
      </c>
      <c r="AF219" s="16" t="s">
        <v>181</v>
      </c>
      <c r="AG219" s="16" t="s">
        <v>39</v>
      </c>
      <c r="AH219" s="16" t="s">
        <v>190</v>
      </c>
      <c r="AI219" s="54"/>
      <c r="AJ219" s="278">
        <v>872000000000</v>
      </c>
      <c r="AK219" s="224" t="e">
        <f t="shared" ca="1" si="161"/>
        <v>#NAME?</v>
      </c>
      <c r="AL219" s="278">
        <v>25000000000</v>
      </c>
      <c r="AM219" s="224" t="e">
        <f t="shared" ca="1" si="162"/>
        <v>#NAME?</v>
      </c>
      <c r="AN219" s="278">
        <v>0.03</v>
      </c>
      <c r="AO219" s="185" t="e">
        <f t="shared" ca="1" si="63"/>
        <v>#NAME?</v>
      </c>
      <c r="AP219" s="185" t="s">
        <v>211</v>
      </c>
      <c r="AQ219" s="16" t="s">
        <v>181</v>
      </c>
      <c r="AR219" s="16" t="s">
        <v>181</v>
      </c>
      <c r="AS219" s="16" t="s">
        <v>42</v>
      </c>
      <c r="AT219" s="159"/>
      <c r="AU219" s="159"/>
      <c r="AV219" s="16" t="s">
        <v>190</v>
      </c>
      <c r="AW219" s="16" t="s">
        <v>227</v>
      </c>
      <c r="AX219" s="16" t="s">
        <v>190</v>
      </c>
      <c r="AY219" s="16" t="s">
        <v>190</v>
      </c>
      <c r="AZ219" s="54">
        <v>0</v>
      </c>
      <c r="BA219" s="55" t="e">
        <f t="shared" ca="1" si="163"/>
        <v>#NAME?</v>
      </c>
      <c r="BB219" s="278">
        <v>316563</v>
      </c>
      <c r="BC219" s="278">
        <v>6595370</v>
      </c>
      <c r="BD219" s="62" t="e">
        <f t="shared" ca="1" si="164"/>
        <v>#NAME?</v>
      </c>
      <c r="BE219" s="277">
        <f t="shared" si="165"/>
        <v>4.7997762066419321E-2</v>
      </c>
      <c r="BF219" s="62" t="e">
        <f t="shared" ca="1" si="166"/>
        <v>#NAME?</v>
      </c>
      <c r="BG219" s="16" t="s">
        <v>43</v>
      </c>
      <c r="BI219" s="16" t="s">
        <v>190</v>
      </c>
      <c r="BJ219" s="16">
        <v>0</v>
      </c>
      <c r="BK219" s="278">
        <v>1</v>
      </c>
      <c r="BL219" s="16" t="s">
        <v>227</v>
      </c>
      <c r="BM219" s="16" t="s">
        <v>190</v>
      </c>
      <c r="BN219" s="16" t="s">
        <v>190</v>
      </c>
      <c r="BO219" s="16" t="s">
        <v>190</v>
      </c>
      <c r="BP219" s="16">
        <v>2</v>
      </c>
      <c r="BQ219" s="16">
        <v>1</v>
      </c>
      <c r="BR219" s="16">
        <v>0</v>
      </c>
      <c r="BS219" s="16">
        <v>0</v>
      </c>
      <c r="BT219" s="205"/>
      <c r="BU219" s="16">
        <v>15</v>
      </c>
      <c r="BV219" s="16">
        <v>0</v>
      </c>
      <c r="BW219" s="16">
        <v>71</v>
      </c>
      <c r="BX219" s="16" t="s">
        <v>190</v>
      </c>
      <c r="BY219" s="205"/>
      <c r="CD219" s="205"/>
      <c r="CI219" s="205"/>
      <c r="CN219" s="205"/>
      <c r="CS219" s="205"/>
      <c r="CX219" s="205"/>
      <c r="DC219" s="205"/>
      <c r="DH219" s="205"/>
      <c r="DM219" s="205"/>
      <c r="DN219" s="205"/>
      <c r="DO219" s="205"/>
      <c r="DQ219" s="206"/>
      <c r="DR219" s="188">
        <f t="shared" si="64"/>
        <v>15</v>
      </c>
      <c r="DS219" s="188"/>
      <c r="DT219" s="189">
        <f t="shared" si="65"/>
        <v>0</v>
      </c>
      <c r="DU219" s="189"/>
      <c r="DV219" s="188">
        <f t="shared" si="66"/>
        <v>71</v>
      </c>
      <c r="DW219" s="183" t="e">
        <f t="shared" ca="1" si="67"/>
        <v>#NAME?</v>
      </c>
      <c r="DX219" s="207"/>
      <c r="DY219" s="190" t="e">
        <f t="shared" ca="1" si="68"/>
        <v>#NAME?</v>
      </c>
      <c r="DZ219" s="191" t="str">
        <f t="shared" si="338"/>
        <v/>
      </c>
      <c r="EA219" s="191" t="str">
        <f t="shared" si="339"/>
        <v/>
      </c>
      <c r="EB219" s="191" t="str">
        <f t="shared" si="340"/>
        <v/>
      </c>
      <c r="EC219" s="208" t="e">
        <f t="shared" ca="1" si="72"/>
        <v>#NAME?</v>
      </c>
      <c r="ED219" s="36" t="str">
        <f t="shared" si="73"/>
        <v>Equity - Common</v>
      </c>
      <c r="EE219" s="193">
        <f>COUNTIF($ED$2:$ED$92, ED219)/(COUNTIF($ED$2:$ED$92, "&lt;&gt;""") - COUNTIF($ED$2:$ED$92, ""))</f>
        <v>0.32222222222222224</v>
      </c>
      <c r="EF219" s="36" t="str">
        <f t="shared" si="74"/>
        <v>Early</v>
      </c>
      <c r="EG219" s="207"/>
      <c r="EH219" s="194" t="e">
        <f t="shared" ca="1" si="75"/>
        <v>#NAME?</v>
      </c>
      <c r="EI219" s="194" t="e">
        <f t="shared" ca="1" si="76"/>
        <v>#NAME?</v>
      </c>
      <c r="EJ219" s="209" t="e">
        <f t="shared" ca="1" si="77"/>
        <v>#NAME?</v>
      </c>
      <c r="EK219" s="208" t="e">
        <f t="shared" ca="1" si="341"/>
        <v>#NAME?</v>
      </c>
      <c r="EL219" s="36" t="str">
        <f t="shared" si="79"/>
        <v>No</v>
      </c>
      <c r="EM219" s="207"/>
      <c r="EN219" s="192">
        <f t="shared" si="342"/>
        <v>2.4285714285714288</v>
      </c>
      <c r="EO219" s="192">
        <f t="shared" si="343"/>
        <v>1</v>
      </c>
      <c r="EP219" s="209">
        <f t="shared" si="82"/>
        <v>3.4285714285714288</v>
      </c>
      <c r="EQ219" s="210">
        <f t="shared" si="344"/>
        <v>2.1214953271028039</v>
      </c>
      <c r="ER219" s="36" t="e">
        <f t="shared" ca="1" si="84"/>
        <v>#NAME?</v>
      </c>
      <c r="ES219" s="40">
        <f ca="1">COUNTIF($ER$2:$ER$92, ER219)/(COUNTIF($ER$2:$ER$92, "&lt;&gt;""") - COUNTIF($ER$2:$ER$92, ""))</f>
        <v>1</v>
      </c>
      <c r="ET219" s="36">
        <f t="shared" si="85"/>
        <v>1</v>
      </c>
      <c r="EU219" s="40">
        <f>COUNTIF($ET$2:$ET$92, ET219)/(COUNTIF($ET$2:$ET$92, "&lt;&gt;""") - COUNTIF($ET$2:$ET$92, ""))</f>
        <v>0.45555555555555555</v>
      </c>
      <c r="EV219" s="36">
        <f t="shared" si="86"/>
        <v>1</v>
      </c>
      <c r="EW219" s="40">
        <f>COUNTIF($EV$2:$EV$92, EV219)/(COUNTIF($EV$2:$EV$92, "&lt;&gt;""") - COUNTIF($EV$2:$EV$92, ""))</f>
        <v>7.7777777777777779E-2</v>
      </c>
      <c r="EX219" s="36" t="str">
        <f t="shared" si="87"/>
        <v>Yes</v>
      </c>
      <c r="EY219" s="40">
        <f>COUNTIF($EX$2:$EX$92, EX219)/(COUNTIF($EX$2:$EX$92, "&lt;&gt;""") - COUNTIF($EX$2:$EX$92, ""))</f>
        <v>0.27777777777777779</v>
      </c>
      <c r="EZ219" s="36" t="str">
        <f t="shared" ref="EZ219:FB219" si="362">BM219</f>
        <v>No</v>
      </c>
      <c r="FA219" s="36" t="str">
        <f t="shared" si="362"/>
        <v>No</v>
      </c>
      <c r="FB219" s="36" t="str">
        <f t="shared" si="362"/>
        <v>No</v>
      </c>
      <c r="FC219" s="207"/>
      <c r="FD219" s="36" t="str">
        <f t="shared" si="89"/>
        <v>Transactional</v>
      </c>
      <c r="FE219" s="40">
        <f>COUNTIF($FD$2:$FD$92, FD219)/(COUNTIF($FD$2:$FD$92, "&lt;&gt;""") - COUNTIF($FD$2:$FD$92, ""))</f>
        <v>0.6</v>
      </c>
      <c r="FF219" s="36" t="str">
        <f t="shared" si="90"/>
        <v>B2B/B2C</v>
      </c>
      <c r="FG219" s="40">
        <f>COUNTIF($FF$2:$FF$92, FF219)/(COUNTIF($FF$2:$FF$92, "&lt;&gt;""") - COUNTIF($FF$2:$FF$92, ""))</f>
        <v>0.27777777777777779</v>
      </c>
      <c r="FH219" s="36" t="str">
        <f t="shared" si="91"/>
        <v>Low</v>
      </c>
      <c r="FI219" s="40">
        <f>COUNTIF($FH$2:$FH$92, FH219)/(COUNTIF($FH$2:$FH$92, "&lt;&gt;""") - COUNTIF($FH$2:$FH$92, ""))</f>
        <v>0.46666666666666667</v>
      </c>
      <c r="FJ219" s="36" t="str">
        <f t="shared" si="92"/>
        <v>High</v>
      </c>
      <c r="FK219" s="40">
        <f>COUNTIF($FJ$2:$FJ$92, FJ219)/(COUNTIF($FJ$2:$FJ$92, "&lt;&gt;""") - COUNTIF($FJ$2:$FJ$92, ""))</f>
        <v>0.58888888888888891</v>
      </c>
      <c r="FL219" s="207"/>
      <c r="FM219" s="192">
        <f t="shared" si="93"/>
        <v>1</v>
      </c>
      <c r="FN219" s="192" t="e">
        <f t="shared" ca="1" si="94"/>
        <v>#NAME?</v>
      </c>
      <c r="FO219" s="192" t="e">
        <f t="shared" ca="1" si="95"/>
        <v>#NAME?</v>
      </c>
      <c r="FP219" s="192" t="e">
        <f t="shared" ca="1" si="96"/>
        <v>#NAME?</v>
      </c>
      <c r="FQ219" s="209" t="e">
        <f t="shared" ca="1" si="97"/>
        <v>#NAME?</v>
      </c>
      <c r="FR219" s="208" t="e">
        <f t="shared" ca="1" si="346"/>
        <v>#NAME?</v>
      </c>
      <c r="FS219" s="36" t="str">
        <f t="shared" si="99"/>
        <v>Pre-Product</v>
      </c>
      <c r="FT219" s="196">
        <f>COUNTIF($FS$2:$FS$92, FS219)/(COUNTIF($FS$2:$FS$92, "&lt;&gt;""") - COUNTIF($FZ$2:$FZ$92, ""))</f>
        <v>0.22222222222222221</v>
      </c>
      <c r="FU219" s="207"/>
      <c r="FV219" s="192" t="e">
        <f t="shared" ca="1" si="100"/>
        <v>#NAME?</v>
      </c>
      <c r="FW219" s="197" t="e">
        <f t="shared" ca="1" si="101"/>
        <v>#NAME?</v>
      </c>
      <c r="FX219" s="209" t="e">
        <f t="shared" ca="1" si="102"/>
        <v>#NAME?</v>
      </c>
      <c r="FY219" s="211" t="e">
        <f t="shared" ca="1" si="347"/>
        <v>#NAME?</v>
      </c>
      <c r="FZ219" s="36" t="str">
        <f t="shared" si="104"/>
        <v>Yes</v>
      </c>
      <c r="GA219" s="196">
        <f>COUNTIF($FZ$2:$FZ$92, FZ219)/(COUNTIF($FZ$2:$FZ$92, "&lt;&gt;""") - COUNTIF($FZ$2:$FZ$92, ""))</f>
        <v>0.23333333333333334</v>
      </c>
      <c r="GB219" s="196">
        <f t="shared" si="105"/>
        <v>0</v>
      </c>
      <c r="GC219" s="196">
        <f>COUNTIF($GB$2:$GB$92, GB219)/(COUNTIF($GB$2:$GB$92, "&lt;&gt;""") - COUNTIF($GB$2:$GB$92, ""))</f>
        <v>1.1111111111111112E-2</v>
      </c>
      <c r="GD219" s="196">
        <f t="shared" si="106"/>
        <v>0</v>
      </c>
      <c r="GE219" s="196">
        <f>COUNTIF($GD$2:$GD$92, GD219)/(COUNTIF($GD$2:$GD$92, "&lt;&gt;""") - COUNTIF($GD$2:$GD$92, ""))</f>
        <v>1.1111111111111112E-2</v>
      </c>
      <c r="GF219" s="207"/>
      <c r="GG219" s="36"/>
      <c r="GH219" s="209" t="e">
        <f t="shared" ca="1" si="107"/>
        <v>#NAME?</v>
      </c>
      <c r="GI219" s="212" t="e">
        <f t="shared" ca="1" si="348"/>
        <v>#NAME?</v>
      </c>
    </row>
    <row r="220" spans="1:191" ht="15.75" customHeight="1">
      <c r="A220" s="171"/>
      <c r="B220" s="171" t="s">
        <v>501</v>
      </c>
      <c r="C220" s="16">
        <v>1639681</v>
      </c>
      <c r="D220" s="233" t="s">
        <v>1639</v>
      </c>
      <c r="E220" s="270">
        <v>43816.431944444441</v>
      </c>
      <c r="F220" s="16" t="s">
        <v>337</v>
      </c>
      <c r="G220" s="235" t="s">
        <v>1640</v>
      </c>
      <c r="H220" s="235" t="s">
        <v>1641</v>
      </c>
      <c r="I220" s="241">
        <v>43903</v>
      </c>
      <c r="J220" s="233" t="s">
        <v>1642</v>
      </c>
      <c r="K220" s="233" t="s">
        <v>1639</v>
      </c>
      <c r="M220" s="16" t="s">
        <v>1643</v>
      </c>
      <c r="N220" s="16" t="s">
        <v>168</v>
      </c>
      <c r="O220" s="16" t="s">
        <v>30</v>
      </c>
      <c r="P220" s="16" t="s">
        <v>197</v>
      </c>
      <c r="Q220" s="16" t="s">
        <v>35</v>
      </c>
      <c r="S220" s="16" t="s">
        <v>232</v>
      </c>
      <c r="T220" s="237"/>
      <c r="U220" s="213"/>
      <c r="V220" s="54">
        <v>34019537</v>
      </c>
      <c r="W220" s="54"/>
      <c r="X220" s="226"/>
      <c r="Y220" s="55" t="str">
        <f t="shared" si="158"/>
        <v/>
      </c>
      <c r="Z220" s="274">
        <f t="shared" si="159"/>
        <v>34019537</v>
      </c>
      <c r="AA220" s="183" t="e">
        <f t="shared" ca="1" si="160"/>
        <v>#NAME?</v>
      </c>
      <c r="AB220" s="16" t="s">
        <v>36</v>
      </c>
      <c r="AC220" s="16" t="s">
        <v>37</v>
      </c>
      <c r="AD220" s="16" t="s">
        <v>180</v>
      </c>
      <c r="AE220" s="16" t="s">
        <v>227</v>
      </c>
      <c r="AF220" s="16" t="s">
        <v>39</v>
      </c>
      <c r="AG220" s="16" t="s">
        <v>39</v>
      </c>
      <c r="AH220" s="16" t="s">
        <v>190</v>
      </c>
      <c r="AI220" s="54"/>
      <c r="AJ220" s="278">
        <v>363710000</v>
      </c>
      <c r="AK220" s="224" t="e">
        <f t="shared" ca="1" si="161"/>
        <v>#NAME?</v>
      </c>
      <c r="AL220" s="278">
        <v>82040000</v>
      </c>
      <c r="AM220" s="224" t="e">
        <f t="shared" ca="1" si="162"/>
        <v>#NAME?</v>
      </c>
      <c r="AN220" s="278">
        <v>0.04</v>
      </c>
      <c r="AO220" s="185" t="e">
        <f t="shared" ca="1" si="63"/>
        <v>#NAME?</v>
      </c>
      <c r="AP220" s="185" t="s">
        <v>192</v>
      </c>
      <c r="AQ220" s="16" t="s">
        <v>181</v>
      </c>
      <c r="AR220" s="16" t="s">
        <v>181</v>
      </c>
      <c r="AS220" s="16" t="s">
        <v>42</v>
      </c>
      <c r="AT220" s="159"/>
      <c r="AU220" s="159"/>
      <c r="AV220" s="16" t="s">
        <v>190</v>
      </c>
      <c r="AW220" s="16" t="s">
        <v>227</v>
      </c>
      <c r="AX220" s="16" t="s">
        <v>190</v>
      </c>
      <c r="AY220" s="16" t="s">
        <v>190</v>
      </c>
      <c r="AZ220" s="54">
        <v>0</v>
      </c>
      <c r="BA220" s="55" t="e">
        <f t="shared" ca="1" si="163"/>
        <v>#NAME?</v>
      </c>
      <c r="BB220" s="278">
        <v>171652</v>
      </c>
      <c r="BC220" s="278">
        <v>6991019</v>
      </c>
      <c r="BD220" s="62" t="e">
        <f t="shared" ca="1" si="164"/>
        <v>#NAME?</v>
      </c>
      <c r="BE220" s="277">
        <f t="shared" si="165"/>
        <v>2.4553216061921731E-2</v>
      </c>
      <c r="BF220" s="62" t="e">
        <f t="shared" ca="1" si="166"/>
        <v>#NAME?</v>
      </c>
      <c r="BG220" s="16" t="s">
        <v>43</v>
      </c>
      <c r="BH220" s="16" t="s">
        <v>203</v>
      </c>
      <c r="BI220" s="16" t="s">
        <v>190</v>
      </c>
      <c r="BJ220" s="16">
        <v>0</v>
      </c>
      <c r="BK220" s="278">
        <v>2</v>
      </c>
      <c r="BL220" s="16" t="s">
        <v>227</v>
      </c>
      <c r="BM220" s="16" t="s">
        <v>227</v>
      </c>
      <c r="BN220" s="16" t="s">
        <v>227</v>
      </c>
      <c r="BO220" s="16" t="s">
        <v>190</v>
      </c>
      <c r="BP220" s="16">
        <v>4</v>
      </c>
      <c r="BQ220" s="16">
        <v>2</v>
      </c>
      <c r="BR220" s="16">
        <v>0</v>
      </c>
      <c r="BS220" s="16">
        <v>0</v>
      </c>
      <c r="BT220" s="205"/>
      <c r="BU220" s="16">
        <v>17</v>
      </c>
      <c r="BV220" s="16">
        <v>0</v>
      </c>
      <c r="BW220" s="16">
        <v>48</v>
      </c>
      <c r="BX220" s="16" t="s">
        <v>190</v>
      </c>
      <c r="BY220" s="205"/>
      <c r="BZ220" s="16">
        <v>0</v>
      </c>
      <c r="CA220" s="16">
        <v>0</v>
      </c>
      <c r="CB220" s="16">
        <v>55</v>
      </c>
      <c r="CC220" s="16" t="s">
        <v>190</v>
      </c>
      <c r="CD220" s="205"/>
      <c r="CI220" s="205"/>
      <c r="CN220" s="205"/>
      <c r="CS220" s="205"/>
      <c r="CX220" s="205"/>
      <c r="DC220" s="205"/>
      <c r="DH220" s="205"/>
      <c r="DM220" s="205"/>
      <c r="DN220" s="205"/>
      <c r="DO220" s="205"/>
      <c r="DQ220" s="206"/>
      <c r="DR220" s="188">
        <f t="shared" si="64"/>
        <v>8.5</v>
      </c>
      <c r="DS220" s="188"/>
      <c r="DT220" s="189">
        <f t="shared" si="65"/>
        <v>0</v>
      </c>
      <c r="DU220" s="189"/>
      <c r="DV220" s="188">
        <f t="shared" si="66"/>
        <v>51.5</v>
      </c>
      <c r="DW220" s="183" t="e">
        <f t="shared" ca="1" si="67"/>
        <v>#NAME?</v>
      </c>
      <c r="DX220" s="207"/>
      <c r="DY220" s="190" t="e">
        <f t="shared" ca="1" si="68"/>
        <v>#NAME?</v>
      </c>
      <c r="DZ220" s="191" t="str">
        <f t="shared" si="338"/>
        <v/>
      </c>
      <c r="EA220" s="191" t="str">
        <f t="shared" si="339"/>
        <v/>
      </c>
      <c r="EB220" s="191" t="str">
        <f t="shared" si="340"/>
        <v/>
      </c>
      <c r="EC220" s="208" t="e">
        <f t="shared" ca="1" si="72"/>
        <v>#NAME?</v>
      </c>
      <c r="ED220" s="36" t="str">
        <f t="shared" si="73"/>
        <v>Equity - Preferred</v>
      </c>
      <c r="EE220" s="193">
        <f>COUNTIF($ED$2:$ED$92, ED220)/(COUNTIF($ED$2:$ED$92, "&lt;&gt;""") - COUNTIF($ED$2:$ED$92, ""))</f>
        <v>6.6666666666666666E-2</v>
      </c>
      <c r="EF220" s="36" t="str">
        <f t="shared" si="74"/>
        <v>Early</v>
      </c>
      <c r="EG220" s="207"/>
      <c r="EH220" s="194" t="e">
        <f t="shared" ca="1" si="75"/>
        <v>#NAME?</v>
      </c>
      <c r="EI220" s="194" t="e">
        <f t="shared" ca="1" si="76"/>
        <v>#NAME?</v>
      </c>
      <c r="EJ220" s="209" t="e">
        <f t="shared" ca="1" si="77"/>
        <v>#NAME?</v>
      </c>
      <c r="EK220" s="208" t="e">
        <f t="shared" ca="1" si="341"/>
        <v>#NAME?</v>
      </c>
      <c r="EL220" s="36" t="str">
        <f t="shared" si="79"/>
        <v>No</v>
      </c>
      <c r="EM220" s="207"/>
      <c r="EN220" s="192">
        <f t="shared" si="342"/>
        <v>1.8095238095238095</v>
      </c>
      <c r="EO220" s="192">
        <f t="shared" si="343"/>
        <v>1</v>
      </c>
      <c r="EP220" s="209">
        <f t="shared" si="82"/>
        <v>2.8095238095238093</v>
      </c>
      <c r="EQ220" s="210">
        <f t="shared" si="344"/>
        <v>1.6355140186915886</v>
      </c>
      <c r="ER220" s="36" t="e">
        <f t="shared" ca="1" si="84"/>
        <v>#NAME?</v>
      </c>
      <c r="ES220" s="40">
        <f ca="1">COUNTIF($ER$2:$ER$92, ER220)/(COUNTIF($ER$2:$ER$92, "&lt;&gt;""") - COUNTIF($ER$2:$ER$92, ""))</f>
        <v>1</v>
      </c>
      <c r="ET220" s="36">
        <f t="shared" si="85"/>
        <v>2</v>
      </c>
      <c r="EU220" s="40">
        <f>COUNTIF($ET$2:$ET$92, ET220)/(COUNTIF($ET$2:$ET$92, "&lt;&gt;""") - COUNTIF($ET$2:$ET$92, ""))</f>
        <v>0.45555555555555555</v>
      </c>
      <c r="EV220" s="36">
        <f t="shared" si="86"/>
        <v>2</v>
      </c>
      <c r="EW220" s="40">
        <f>COUNTIF($EV$2:$EV$92, EV220)/(COUNTIF($EV$2:$EV$92, "&lt;&gt;""") - COUNTIF($EV$2:$EV$92, ""))</f>
        <v>0.15555555555555556</v>
      </c>
      <c r="EX220" s="36" t="str">
        <f t="shared" si="87"/>
        <v>Yes</v>
      </c>
      <c r="EY220" s="40">
        <f>COUNTIF($EX$2:$EX$92, EX220)/(COUNTIF($EX$2:$EX$92, "&lt;&gt;""") - COUNTIF($EX$2:$EX$92, ""))</f>
        <v>0.27777777777777779</v>
      </c>
      <c r="EZ220" s="36" t="str">
        <f t="shared" ref="EZ220:FB220" si="363">BM220</f>
        <v>Yes</v>
      </c>
      <c r="FA220" s="36" t="str">
        <f t="shared" si="363"/>
        <v>Yes</v>
      </c>
      <c r="FB220" s="36" t="str">
        <f t="shared" si="363"/>
        <v>No</v>
      </c>
      <c r="FC220" s="207"/>
      <c r="FD220" s="36" t="str">
        <f t="shared" si="89"/>
        <v>Transactional</v>
      </c>
      <c r="FE220" s="40">
        <f>COUNTIF($FD$2:$FD$92, FD220)/(COUNTIF($FD$2:$FD$92, "&lt;&gt;""") - COUNTIF($FD$2:$FD$92, ""))</f>
        <v>0.6</v>
      </c>
      <c r="FF220" s="36" t="str">
        <f t="shared" si="90"/>
        <v>B2B</v>
      </c>
      <c r="FG220" s="40">
        <f>COUNTIF($FF$2:$FF$92, FF220)/(COUNTIF($FF$2:$FF$92, "&lt;&gt;""") - COUNTIF($FF$2:$FF$92, ""))</f>
        <v>0.24444444444444444</v>
      </c>
      <c r="FH220" s="36" t="str">
        <f t="shared" si="91"/>
        <v>High</v>
      </c>
      <c r="FI220" s="40">
        <f>COUNTIF($FH$2:$FH$92, FH220)/(COUNTIF($FH$2:$FH$92, "&lt;&gt;""") - COUNTIF($FH$2:$FH$92, ""))</f>
        <v>0.53333333333333333</v>
      </c>
      <c r="FJ220" s="36" t="str">
        <f t="shared" si="92"/>
        <v>High</v>
      </c>
      <c r="FK220" s="40">
        <f>COUNTIF($FJ$2:$FJ$92, FJ220)/(COUNTIF($FJ$2:$FJ$92, "&lt;&gt;""") - COUNTIF($FJ$2:$FJ$92, ""))</f>
        <v>0.58888888888888891</v>
      </c>
      <c r="FL220" s="207"/>
      <c r="FM220" s="192">
        <f t="shared" si="93"/>
        <v>1</v>
      </c>
      <c r="FN220" s="192" t="e">
        <f t="shared" ca="1" si="94"/>
        <v>#NAME?</v>
      </c>
      <c r="FO220" s="192" t="e">
        <f t="shared" ca="1" si="95"/>
        <v>#NAME?</v>
      </c>
      <c r="FP220" s="192" t="e">
        <f t="shared" ca="1" si="96"/>
        <v>#NAME?</v>
      </c>
      <c r="FQ220" s="209" t="e">
        <f t="shared" ca="1" si="97"/>
        <v>#NAME?</v>
      </c>
      <c r="FR220" s="208" t="e">
        <f t="shared" ca="1" si="346"/>
        <v>#NAME?</v>
      </c>
      <c r="FS220" s="36" t="str">
        <f t="shared" si="99"/>
        <v>Pre-Product</v>
      </c>
      <c r="FT220" s="196">
        <f>COUNTIF($FS$2:$FS$92, FS220)/(COUNTIF($FS$2:$FS$92, "&lt;&gt;""") - COUNTIF($FZ$2:$FZ$92, ""))</f>
        <v>0.22222222222222221</v>
      </c>
      <c r="FU220" s="207"/>
      <c r="FV220" s="192" t="e">
        <f t="shared" ca="1" si="100"/>
        <v>#NAME?</v>
      </c>
      <c r="FW220" s="197" t="e">
        <f t="shared" ca="1" si="101"/>
        <v>#NAME?</v>
      </c>
      <c r="FX220" s="209" t="e">
        <f t="shared" ca="1" si="102"/>
        <v>#NAME?</v>
      </c>
      <c r="FY220" s="211" t="e">
        <f t="shared" ca="1" si="347"/>
        <v>#NAME?</v>
      </c>
      <c r="FZ220" s="36" t="str">
        <f t="shared" si="104"/>
        <v>Yes</v>
      </c>
      <c r="GA220" s="196">
        <f>COUNTIF($FZ$2:$FZ$92, FZ220)/(COUNTIF($FZ$2:$FZ$92, "&lt;&gt;""") - COUNTIF($FZ$2:$FZ$92, ""))</f>
        <v>0.23333333333333334</v>
      </c>
      <c r="GB220" s="196">
        <f t="shared" si="105"/>
        <v>0</v>
      </c>
      <c r="GC220" s="196">
        <f>COUNTIF($GB$2:$GB$92, GB220)/(COUNTIF($GB$2:$GB$92, "&lt;&gt;""") - COUNTIF($GB$2:$GB$92, ""))</f>
        <v>1.1111111111111112E-2</v>
      </c>
      <c r="GD220" s="196">
        <f t="shared" si="106"/>
        <v>0</v>
      </c>
      <c r="GE220" s="196">
        <f>COUNTIF($GD$2:$GD$92, GD220)/(COUNTIF($GD$2:$GD$92, "&lt;&gt;""") - COUNTIF($GD$2:$GD$92, ""))</f>
        <v>1.1111111111111112E-2</v>
      </c>
      <c r="GF220" s="207"/>
      <c r="GG220" s="36"/>
      <c r="GH220" s="209" t="e">
        <f t="shared" ca="1" si="107"/>
        <v>#NAME?</v>
      </c>
      <c r="GI220" s="212" t="e">
        <f t="shared" ca="1" si="348"/>
        <v>#NAME?</v>
      </c>
    </row>
    <row r="221" spans="1:191" ht="15.75" customHeight="1">
      <c r="A221" s="171"/>
      <c r="B221" s="171" t="s">
        <v>501</v>
      </c>
      <c r="C221" s="16">
        <v>1790092</v>
      </c>
      <c r="D221" s="233" t="s">
        <v>1644</v>
      </c>
      <c r="E221" s="270">
        <v>43817.449305555558</v>
      </c>
      <c r="F221" s="16" t="s">
        <v>329</v>
      </c>
      <c r="G221" s="235" t="s">
        <v>1645</v>
      </c>
      <c r="H221" s="235" t="s">
        <v>1646</v>
      </c>
      <c r="I221" s="241">
        <v>43817</v>
      </c>
      <c r="J221" s="233" t="s">
        <v>1647</v>
      </c>
      <c r="K221" s="233" t="s">
        <v>1644</v>
      </c>
      <c r="M221" s="29" t="s">
        <v>747</v>
      </c>
      <c r="N221" s="16" t="s">
        <v>324</v>
      </c>
      <c r="O221" s="16" t="s">
        <v>173</v>
      </c>
      <c r="P221" s="16" t="s">
        <v>197</v>
      </c>
      <c r="Q221" s="16" t="s">
        <v>35</v>
      </c>
      <c r="S221" s="16" t="s">
        <v>269</v>
      </c>
      <c r="T221" s="237"/>
      <c r="U221" s="213"/>
      <c r="V221" s="54"/>
      <c r="W221" s="54">
        <v>12000000</v>
      </c>
      <c r="X221" s="226">
        <v>0.2</v>
      </c>
      <c r="Y221" s="55">
        <f t="shared" si="158"/>
        <v>9600000</v>
      </c>
      <c r="Z221" s="274">
        <f t="shared" si="159"/>
        <v>9600000</v>
      </c>
      <c r="AA221" s="183" t="e">
        <f t="shared" ca="1" si="160"/>
        <v>#NAME?</v>
      </c>
      <c r="AB221" s="16" t="s">
        <v>178</v>
      </c>
      <c r="AC221" s="16" t="s">
        <v>218</v>
      </c>
      <c r="AD221" s="16" t="s">
        <v>38</v>
      </c>
      <c r="AE221" s="16" t="s">
        <v>227</v>
      </c>
      <c r="AF221" s="16" t="s">
        <v>39</v>
      </c>
      <c r="AG221" s="16" t="s">
        <v>181</v>
      </c>
      <c r="AH221" s="16" t="s">
        <v>227</v>
      </c>
      <c r="AI221" s="54"/>
      <c r="AJ221" s="278">
        <v>4410000000</v>
      </c>
      <c r="AK221" s="224" t="e">
        <f t="shared" ca="1" si="161"/>
        <v>#NAME?</v>
      </c>
      <c r="AL221" s="278">
        <v>4410000000</v>
      </c>
      <c r="AM221" s="224" t="e">
        <f t="shared" ca="1" si="162"/>
        <v>#NAME?</v>
      </c>
      <c r="AN221" s="278">
        <v>0.08</v>
      </c>
      <c r="AO221" s="185" t="e">
        <f t="shared" ca="1" si="63"/>
        <v>#NAME?</v>
      </c>
      <c r="AP221" s="185" t="s">
        <v>192</v>
      </c>
      <c r="AQ221" s="16" t="s">
        <v>39</v>
      </c>
      <c r="AR221" s="16" t="s">
        <v>181</v>
      </c>
      <c r="AS221" s="16" t="s">
        <v>182</v>
      </c>
      <c r="AT221" s="159"/>
      <c r="AU221" s="159"/>
      <c r="AV221" s="16" t="s">
        <v>227</v>
      </c>
      <c r="AW221" s="16" t="s">
        <v>227</v>
      </c>
      <c r="AX221" s="16" t="s">
        <v>227</v>
      </c>
      <c r="AY221" s="16" t="s">
        <v>227</v>
      </c>
      <c r="AZ221" s="54">
        <v>321616</v>
      </c>
      <c r="BA221" s="55" t="e">
        <f t="shared" ca="1" si="163"/>
        <v>#NAME?</v>
      </c>
      <c r="BB221" s="278">
        <v>13815</v>
      </c>
      <c r="BC221" s="278">
        <v>870000</v>
      </c>
      <c r="BD221" s="62" t="e">
        <f t="shared" ca="1" si="164"/>
        <v>#NAME?</v>
      </c>
      <c r="BE221" s="277">
        <f t="shared" si="165"/>
        <v>1.5879310344827587E-2</v>
      </c>
      <c r="BF221" s="62" t="e">
        <f t="shared" ca="1" si="166"/>
        <v>#NAME?</v>
      </c>
      <c r="BG221" s="16" t="s">
        <v>202</v>
      </c>
      <c r="BI221" s="16" t="s">
        <v>227</v>
      </c>
      <c r="BJ221" s="16">
        <v>47</v>
      </c>
      <c r="BK221" s="278">
        <v>2</v>
      </c>
      <c r="BL221" s="16" t="s">
        <v>227</v>
      </c>
      <c r="BM221" s="16" t="s">
        <v>190</v>
      </c>
      <c r="BN221" s="16" t="s">
        <v>227</v>
      </c>
      <c r="BO221" s="16" t="s">
        <v>190</v>
      </c>
      <c r="BP221" s="16">
        <v>4</v>
      </c>
      <c r="BQ221" s="16">
        <v>12</v>
      </c>
      <c r="BR221" s="16">
        <v>4</v>
      </c>
      <c r="BS221" s="16">
        <v>0</v>
      </c>
      <c r="BT221" s="205"/>
      <c r="BU221" s="16">
        <v>9</v>
      </c>
      <c r="BV221" s="16">
        <v>0</v>
      </c>
      <c r="BW221" s="16">
        <v>29</v>
      </c>
      <c r="BX221" s="16" t="s">
        <v>190</v>
      </c>
      <c r="BY221" s="205"/>
      <c r="BZ221" s="16">
        <v>6</v>
      </c>
      <c r="CA221" s="16">
        <v>0</v>
      </c>
      <c r="CB221" s="16">
        <v>44</v>
      </c>
      <c r="CC221" s="16" t="s">
        <v>227</v>
      </c>
      <c r="CD221" s="205"/>
      <c r="CI221" s="205"/>
      <c r="CN221" s="205"/>
      <c r="CS221" s="205"/>
      <c r="CX221" s="205"/>
      <c r="DC221" s="205"/>
      <c r="DH221" s="205"/>
      <c r="DM221" s="205"/>
      <c r="DN221" s="205"/>
      <c r="DO221" s="205"/>
      <c r="DQ221" s="206"/>
      <c r="DR221" s="188">
        <f t="shared" si="64"/>
        <v>7.5</v>
      </c>
      <c r="DS221" s="188"/>
      <c r="DT221" s="189">
        <f t="shared" si="65"/>
        <v>0</v>
      </c>
      <c r="DU221" s="189"/>
      <c r="DV221" s="188">
        <f t="shared" si="66"/>
        <v>36.5</v>
      </c>
      <c r="DW221" s="183" t="e">
        <f t="shared" ca="1" si="67"/>
        <v>#NAME?</v>
      </c>
      <c r="DX221" s="207"/>
      <c r="DY221" s="190" t="e">
        <f t="shared" ca="1" si="68"/>
        <v>#NAME?</v>
      </c>
      <c r="DZ221" s="191">
        <f t="shared" si="338"/>
        <v>3.1052631578947367</v>
      </c>
      <c r="EA221" s="191" t="str">
        <f t="shared" si="339"/>
        <v/>
      </c>
      <c r="EB221" s="191" t="str">
        <f t="shared" si="340"/>
        <v/>
      </c>
      <c r="EC221" s="208" t="e">
        <f t="shared" ca="1" si="72"/>
        <v>#NAME?</v>
      </c>
      <c r="ED221" s="36" t="str">
        <f t="shared" si="73"/>
        <v>SAFE</v>
      </c>
      <c r="EE221" s="193">
        <f>COUNTIF($ED$2:$ED$92, ED221)/(COUNTIF($ED$2:$ED$92, "&lt;&gt;""") - COUNTIF($ED$2:$ED$92, ""))</f>
        <v>0.37777777777777777</v>
      </c>
      <c r="EF221" s="36" t="str">
        <f t="shared" si="74"/>
        <v>Growth</v>
      </c>
      <c r="EG221" s="207"/>
      <c r="EH221" s="194" t="e">
        <f t="shared" ca="1" si="75"/>
        <v>#NAME?</v>
      </c>
      <c r="EI221" s="194" t="e">
        <f t="shared" ca="1" si="76"/>
        <v>#NAME?</v>
      </c>
      <c r="EJ221" s="209" t="e">
        <f t="shared" ca="1" si="77"/>
        <v>#NAME?</v>
      </c>
      <c r="EK221" s="208" t="e">
        <f t="shared" ca="1" si="341"/>
        <v>#NAME?</v>
      </c>
      <c r="EL221" s="36" t="str">
        <f t="shared" si="79"/>
        <v>Yes</v>
      </c>
      <c r="EM221" s="207"/>
      <c r="EN221" s="192">
        <f t="shared" si="342"/>
        <v>1.7142857142857144</v>
      </c>
      <c r="EO221" s="192">
        <f t="shared" si="343"/>
        <v>1</v>
      </c>
      <c r="EP221" s="209">
        <f t="shared" si="82"/>
        <v>2.7142857142857144</v>
      </c>
      <c r="EQ221" s="210">
        <f t="shared" si="344"/>
        <v>1.5607476635514019</v>
      </c>
      <c r="ER221" s="36" t="e">
        <f t="shared" ca="1" si="84"/>
        <v>#NAME?</v>
      </c>
      <c r="ES221" s="40">
        <f ca="1">COUNTIF($ER$2:$ER$92, ER221)/(COUNTIF($ER$2:$ER$92, "&lt;&gt;""") - COUNTIF($ER$2:$ER$92, ""))</f>
        <v>1</v>
      </c>
      <c r="ET221" s="36">
        <f t="shared" si="85"/>
        <v>2</v>
      </c>
      <c r="EU221" s="40">
        <f>COUNTIF($ET$2:$ET$92, ET221)/(COUNTIF($ET$2:$ET$92, "&lt;&gt;""") - COUNTIF($ET$2:$ET$92, ""))</f>
        <v>0.45555555555555555</v>
      </c>
      <c r="EV221" s="36">
        <f t="shared" si="86"/>
        <v>12</v>
      </c>
      <c r="EW221" s="40">
        <f>COUNTIF($EV$2:$EV$92, EV221)/(COUNTIF($EV$2:$EV$92, "&lt;&gt;""") - COUNTIF($EV$2:$EV$92, ""))</f>
        <v>1.1111111111111112E-2</v>
      </c>
      <c r="EX221" s="36" t="str">
        <f t="shared" si="87"/>
        <v>Yes</v>
      </c>
      <c r="EY221" s="40">
        <f>COUNTIF($EX$2:$EX$92, EX221)/(COUNTIF($EX$2:$EX$92, "&lt;&gt;""") - COUNTIF($EX$2:$EX$92, ""))</f>
        <v>0.27777777777777779</v>
      </c>
      <c r="EZ221" s="36" t="str">
        <f t="shared" ref="EZ221:FB221" si="364">BM221</f>
        <v>No</v>
      </c>
      <c r="FA221" s="36" t="str">
        <f t="shared" si="364"/>
        <v>Yes</v>
      </c>
      <c r="FB221" s="36" t="str">
        <f t="shared" si="364"/>
        <v>No</v>
      </c>
      <c r="FC221" s="207"/>
      <c r="FD221" s="36" t="str">
        <f t="shared" si="89"/>
        <v>Recurring</v>
      </c>
      <c r="FE221" s="40">
        <f>COUNTIF($FD$2:$FD$92, FD221)/(COUNTIF($FD$2:$FD$92, "&lt;&gt;""") - COUNTIF($FD$2:$FD$92, ""))</f>
        <v>0.4</v>
      </c>
      <c r="FF221" s="36" t="str">
        <f t="shared" si="90"/>
        <v>B2B/B2C</v>
      </c>
      <c r="FG221" s="40">
        <f>COUNTIF($FF$2:$FF$92, FF221)/(COUNTIF($FF$2:$FF$92, "&lt;&gt;""") - COUNTIF($FF$2:$FF$92, ""))</f>
        <v>0.27777777777777779</v>
      </c>
      <c r="FH221" s="36" t="str">
        <f t="shared" si="91"/>
        <v>High</v>
      </c>
      <c r="FI221" s="40">
        <f>COUNTIF($FH$2:$FH$92, FH221)/(COUNTIF($FH$2:$FH$92, "&lt;&gt;""") - COUNTIF($FH$2:$FH$92, ""))</f>
        <v>0.53333333333333333</v>
      </c>
      <c r="FJ221" s="36" t="str">
        <f t="shared" si="92"/>
        <v>Low</v>
      </c>
      <c r="FK221" s="40">
        <f>COUNTIF($FJ$2:$FJ$92, FJ221)/(COUNTIF($FJ$2:$FJ$92, "&lt;&gt;""") - COUNTIF($FJ$2:$FJ$92, ""))</f>
        <v>0.41111111111111109</v>
      </c>
      <c r="FL221" s="207"/>
      <c r="FM221" s="192">
        <f t="shared" si="93"/>
        <v>5</v>
      </c>
      <c r="FN221" s="192" t="e">
        <f t="shared" ca="1" si="94"/>
        <v>#NAME?</v>
      </c>
      <c r="FO221" s="192" t="e">
        <f t="shared" ca="1" si="95"/>
        <v>#NAME?</v>
      </c>
      <c r="FP221" s="192" t="e">
        <f t="shared" ca="1" si="96"/>
        <v>#NAME?</v>
      </c>
      <c r="FQ221" s="209" t="e">
        <f t="shared" ca="1" si="97"/>
        <v>#NAME?</v>
      </c>
      <c r="FR221" s="208" t="e">
        <f t="shared" ca="1" si="346"/>
        <v>#NAME?</v>
      </c>
      <c r="FS221" s="36" t="str">
        <f t="shared" si="99"/>
        <v>Pre-Profit</v>
      </c>
      <c r="FT221" s="196">
        <f>COUNTIF($FS$2:$FS$92, FS221)/(COUNTIF($FS$2:$FS$92, "&lt;&gt;""") - COUNTIF($FZ$2:$FZ$92, ""))</f>
        <v>0.51111111111111107</v>
      </c>
      <c r="FU221" s="207"/>
      <c r="FV221" s="192">
        <f t="shared" si="100"/>
        <v>3</v>
      </c>
      <c r="FW221" s="197" t="e">
        <f t="shared" ca="1" si="101"/>
        <v>#NAME?</v>
      </c>
      <c r="FX221" s="209" t="e">
        <f t="shared" ca="1" si="102"/>
        <v>#NAME?</v>
      </c>
      <c r="FY221" s="211" t="e">
        <f t="shared" ca="1" si="347"/>
        <v>#NAME?</v>
      </c>
      <c r="FZ221" s="36" t="str">
        <f t="shared" si="104"/>
        <v>Yes</v>
      </c>
      <c r="GA221" s="196">
        <f>COUNTIF($FZ$2:$FZ$92, FZ221)/(COUNTIF($FZ$2:$FZ$92, "&lt;&gt;""") - COUNTIF($FZ$2:$FZ$92, ""))</f>
        <v>0.23333333333333334</v>
      </c>
      <c r="GB221" s="196">
        <f t="shared" si="105"/>
        <v>0</v>
      </c>
      <c r="GC221" s="196">
        <f>COUNTIF($GB$2:$GB$92, GB221)/(COUNTIF($GB$2:$GB$92, "&lt;&gt;""") - COUNTIF($GB$2:$GB$92, ""))</f>
        <v>1.1111111111111112E-2</v>
      </c>
      <c r="GD221" s="196">
        <f t="shared" si="106"/>
        <v>0</v>
      </c>
      <c r="GE221" s="196">
        <f>COUNTIF($GD$2:$GD$92, GD221)/(COUNTIF($GD$2:$GD$92, "&lt;&gt;""") - COUNTIF($GD$2:$GD$92, ""))</f>
        <v>1.1111111111111112E-2</v>
      </c>
      <c r="GF221" s="207"/>
      <c r="GG221" s="36"/>
      <c r="GH221" s="209" t="e">
        <f t="shared" ca="1" si="107"/>
        <v>#NAME?</v>
      </c>
      <c r="GI221" s="212" t="e">
        <f t="shared" ca="1" si="348"/>
        <v>#NAME?</v>
      </c>
    </row>
    <row r="222" spans="1:191" ht="15.75" customHeight="1">
      <c r="A222" s="171"/>
      <c r="B222" s="171" t="s">
        <v>501</v>
      </c>
      <c r="C222" s="16">
        <v>1791683</v>
      </c>
      <c r="D222" s="233" t="s">
        <v>1648</v>
      </c>
      <c r="E222" s="270">
        <v>43817.457638888889</v>
      </c>
      <c r="F222" s="16" t="s">
        <v>337</v>
      </c>
      <c r="G222" s="235" t="s">
        <v>1649</v>
      </c>
      <c r="H222" s="235" t="s">
        <v>1650</v>
      </c>
      <c r="I222" s="241">
        <v>43881</v>
      </c>
      <c r="J222" s="233" t="s">
        <v>1651</v>
      </c>
      <c r="K222" s="233" t="s">
        <v>1648</v>
      </c>
      <c r="M222" s="239" t="s">
        <v>28</v>
      </c>
      <c r="N222" s="16" t="s">
        <v>168</v>
      </c>
      <c r="O222" s="16" t="s">
        <v>30</v>
      </c>
      <c r="P222" s="16" t="s">
        <v>174</v>
      </c>
      <c r="Q222" s="16" t="s">
        <v>35</v>
      </c>
      <c r="S222" s="16" t="s">
        <v>216</v>
      </c>
      <c r="T222" s="237"/>
      <c r="U222" s="213"/>
      <c r="V222" s="54">
        <v>4500000</v>
      </c>
      <c r="W222" s="54"/>
      <c r="X222" s="226"/>
      <c r="Y222" s="55" t="str">
        <f t="shared" si="158"/>
        <v/>
      </c>
      <c r="Z222" s="274">
        <f t="shared" si="159"/>
        <v>4500000</v>
      </c>
      <c r="AA222" s="183" t="e">
        <f t="shared" ca="1" si="160"/>
        <v>#NAME?</v>
      </c>
      <c r="AB222" s="16" t="s">
        <v>36</v>
      </c>
      <c r="AC222" s="16" t="s">
        <v>218</v>
      </c>
      <c r="AD222" s="16" t="s">
        <v>38</v>
      </c>
      <c r="AE222" s="16" t="s">
        <v>227</v>
      </c>
      <c r="AF222" s="16" t="s">
        <v>181</v>
      </c>
      <c r="AG222" s="16" t="s">
        <v>181</v>
      </c>
      <c r="AH222" s="16" t="s">
        <v>190</v>
      </c>
      <c r="AI222" s="54"/>
      <c r="AJ222" s="278">
        <v>114200000000</v>
      </c>
      <c r="AK222" s="224" t="e">
        <f t="shared" ca="1" si="161"/>
        <v>#NAME?</v>
      </c>
      <c r="AL222" s="278">
        <v>27600000000</v>
      </c>
      <c r="AM222" s="224" t="e">
        <f t="shared" ca="1" si="162"/>
        <v>#NAME?</v>
      </c>
      <c r="AN222" s="278">
        <v>0.03</v>
      </c>
      <c r="AO222" s="185" t="e">
        <f t="shared" ca="1" si="63"/>
        <v>#NAME?</v>
      </c>
      <c r="AP222" s="185" t="s">
        <v>264</v>
      </c>
      <c r="AQ222" s="16" t="s">
        <v>181</v>
      </c>
      <c r="AR222" s="16" t="s">
        <v>181</v>
      </c>
      <c r="AS222" s="16" t="s">
        <v>42</v>
      </c>
      <c r="AT222" s="159"/>
      <c r="AU222" s="159"/>
      <c r="AV222" s="16" t="s">
        <v>190</v>
      </c>
      <c r="AW222" s="16" t="s">
        <v>190</v>
      </c>
      <c r="AX222" s="16" t="s">
        <v>227</v>
      </c>
      <c r="AY222" s="16" t="s">
        <v>227</v>
      </c>
      <c r="AZ222" s="54">
        <v>75633</v>
      </c>
      <c r="BA222" s="55" t="e">
        <f t="shared" ca="1" si="163"/>
        <v>#NAME?</v>
      </c>
      <c r="BB222" s="278">
        <v>4850</v>
      </c>
      <c r="BC222" s="278">
        <v>240655</v>
      </c>
      <c r="BD222" s="62" t="e">
        <f t="shared" ca="1" si="164"/>
        <v>#NAME?</v>
      </c>
      <c r="BE222" s="277">
        <f t="shared" si="165"/>
        <v>2.0153331532692029E-2</v>
      </c>
      <c r="BF222" s="62" t="e">
        <f t="shared" ca="1" si="166"/>
        <v>#NAME?</v>
      </c>
      <c r="BG222" s="16" t="s">
        <v>202</v>
      </c>
      <c r="BI222" s="16" t="s">
        <v>190</v>
      </c>
      <c r="BJ222" s="16">
        <v>0</v>
      </c>
      <c r="BK222" s="278">
        <v>1</v>
      </c>
      <c r="BL222" s="16" t="s">
        <v>227</v>
      </c>
      <c r="BM222" s="16" t="s">
        <v>190</v>
      </c>
      <c r="BN222" s="16" t="s">
        <v>190</v>
      </c>
      <c r="BO222" s="16" t="s">
        <v>190</v>
      </c>
      <c r="BP222" s="16">
        <v>0</v>
      </c>
      <c r="BQ222" s="16">
        <v>7</v>
      </c>
      <c r="BR222" s="16">
        <v>0</v>
      </c>
      <c r="BS222" s="16">
        <v>0</v>
      </c>
      <c r="BT222" s="205"/>
      <c r="BU222" s="16">
        <v>7</v>
      </c>
      <c r="BV222" s="16">
        <v>0</v>
      </c>
      <c r="BW222" s="16">
        <v>44</v>
      </c>
      <c r="BX222" s="16" t="s">
        <v>190</v>
      </c>
      <c r="BY222" s="205"/>
      <c r="CD222" s="205"/>
      <c r="CI222" s="205"/>
      <c r="CN222" s="205"/>
      <c r="CS222" s="205"/>
      <c r="CX222" s="205"/>
      <c r="DC222" s="205"/>
      <c r="DH222" s="205"/>
      <c r="DM222" s="205"/>
      <c r="DN222" s="205"/>
      <c r="DO222" s="205"/>
      <c r="DQ222" s="206"/>
      <c r="DR222" s="188">
        <f t="shared" si="64"/>
        <v>7</v>
      </c>
      <c r="DS222" s="188"/>
      <c r="DT222" s="189">
        <f t="shared" si="65"/>
        <v>0</v>
      </c>
      <c r="DU222" s="189"/>
      <c r="DV222" s="188">
        <f t="shared" si="66"/>
        <v>44</v>
      </c>
      <c r="DW222" s="183" t="e">
        <f t="shared" ca="1" si="67"/>
        <v>#NAME?</v>
      </c>
      <c r="DX222" s="207"/>
      <c r="DY222" s="190" t="e">
        <f t="shared" ca="1" si="68"/>
        <v>#NAME?</v>
      </c>
      <c r="DZ222" s="191" t="str">
        <f t="shared" si="338"/>
        <v/>
      </c>
      <c r="EA222" s="191" t="str">
        <f t="shared" si="339"/>
        <v/>
      </c>
      <c r="EB222" s="191" t="str">
        <f t="shared" si="340"/>
        <v/>
      </c>
      <c r="EC222" s="208" t="e">
        <f t="shared" ca="1" si="72"/>
        <v>#NAME?</v>
      </c>
      <c r="ED222" s="36" t="str">
        <f t="shared" si="73"/>
        <v>Equity - Common</v>
      </c>
      <c r="EE222" s="193">
        <f>COUNTIF($ED$2:$ED$92, ED222)/(COUNTIF($ED$2:$ED$92, "&lt;&gt;""") - COUNTIF($ED$2:$ED$92, ""))</f>
        <v>0.32222222222222224</v>
      </c>
      <c r="EF222" s="36" t="str">
        <f t="shared" si="74"/>
        <v>Early</v>
      </c>
      <c r="EG222" s="207"/>
      <c r="EH222" s="194" t="e">
        <f t="shared" ca="1" si="75"/>
        <v>#NAME?</v>
      </c>
      <c r="EI222" s="194" t="e">
        <f t="shared" ca="1" si="76"/>
        <v>#NAME?</v>
      </c>
      <c r="EJ222" s="209" t="e">
        <f t="shared" ca="1" si="77"/>
        <v>#NAME?</v>
      </c>
      <c r="EK222" s="208" t="e">
        <f t="shared" ca="1" si="341"/>
        <v>#NAME?</v>
      </c>
      <c r="EL222" s="36" t="str">
        <f t="shared" si="79"/>
        <v>No</v>
      </c>
      <c r="EM222" s="207"/>
      <c r="EN222" s="192">
        <f t="shared" si="342"/>
        <v>1.6666666666666665</v>
      </c>
      <c r="EO222" s="192">
        <f t="shared" si="343"/>
        <v>1</v>
      </c>
      <c r="EP222" s="209">
        <f t="shared" si="82"/>
        <v>2.6666666666666665</v>
      </c>
      <c r="EQ222" s="210">
        <f t="shared" si="344"/>
        <v>1.5233644859813085</v>
      </c>
      <c r="ER222" s="36" t="e">
        <f t="shared" ca="1" si="84"/>
        <v>#NAME?</v>
      </c>
      <c r="ES222" s="40">
        <f ca="1">COUNTIF($ER$2:$ER$92, ER222)/(COUNTIF($ER$2:$ER$92, "&lt;&gt;""") - COUNTIF($ER$2:$ER$92, ""))</f>
        <v>1</v>
      </c>
      <c r="ET222" s="36">
        <f t="shared" si="85"/>
        <v>1</v>
      </c>
      <c r="EU222" s="40">
        <f>COUNTIF($ET$2:$ET$92, ET222)/(COUNTIF($ET$2:$ET$92, "&lt;&gt;""") - COUNTIF($ET$2:$ET$92, ""))</f>
        <v>0.45555555555555555</v>
      </c>
      <c r="EV222" s="36">
        <f t="shared" si="86"/>
        <v>7</v>
      </c>
      <c r="EW222" s="40">
        <f>COUNTIF($EV$2:$EV$92, EV222)/(COUNTIF($EV$2:$EV$92, "&lt;&gt;""") - COUNTIF($EV$2:$EV$92, ""))</f>
        <v>4.4444444444444446E-2</v>
      </c>
      <c r="EX222" s="36" t="str">
        <f t="shared" si="87"/>
        <v>Yes</v>
      </c>
      <c r="EY222" s="40">
        <f>COUNTIF($EX$2:$EX$92, EX222)/(COUNTIF($EX$2:$EX$92, "&lt;&gt;""") - COUNTIF($EX$2:$EX$92, ""))</f>
        <v>0.27777777777777779</v>
      </c>
      <c r="EZ222" s="36" t="str">
        <f t="shared" ref="EZ222:FB222" si="365">BM222</f>
        <v>No</v>
      </c>
      <c r="FA222" s="36" t="str">
        <f t="shared" si="365"/>
        <v>No</v>
      </c>
      <c r="FB222" s="36" t="str">
        <f t="shared" si="365"/>
        <v>No</v>
      </c>
      <c r="FC222" s="207"/>
      <c r="FD222" s="36" t="str">
        <f t="shared" si="89"/>
        <v>Transactional</v>
      </c>
      <c r="FE222" s="40">
        <f>COUNTIF($FD$2:$FD$92, FD222)/(COUNTIF($FD$2:$FD$92, "&lt;&gt;""") - COUNTIF($FD$2:$FD$92, ""))</f>
        <v>0.6</v>
      </c>
      <c r="FF222" s="36" t="str">
        <f t="shared" si="90"/>
        <v>B2B/B2C</v>
      </c>
      <c r="FG222" s="40">
        <f>COUNTIF($FF$2:$FF$92, FF222)/(COUNTIF($FF$2:$FF$92, "&lt;&gt;""") - COUNTIF($FF$2:$FF$92, ""))</f>
        <v>0.27777777777777779</v>
      </c>
      <c r="FH222" s="36" t="str">
        <f t="shared" si="91"/>
        <v>Low</v>
      </c>
      <c r="FI222" s="40">
        <f>COUNTIF($FH$2:$FH$92, FH222)/(COUNTIF($FH$2:$FH$92, "&lt;&gt;""") - COUNTIF($FH$2:$FH$92, ""))</f>
        <v>0.46666666666666667</v>
      </c>
      <c r="FJ222" s="36" t="str">
        <f t="shared" si="92"/>
        <v>Low</v>
      </c>
      <c r="FK222" s="40">
        <f>COUNTIF($FJ$2:$FJ$92, FJ222)/(COUNTIF($FJ$2:$FJ$92, "&lt;&gt;""") - COUNTIF($FJ$2:$FJ$92, ""))</f>
        <v>0.41111111111111109</v>
      </c>
      <c r="FL222" s="207"/>
      <c r="FM222" s="192">
        <f t="shared" si="93"/>
        <v>5</v>
      </c>
      <c r="FN222" s="192" t="e">
        <f t="shared" ca="1" si="94"/>
        <v>#NAME?</v>
      </c>
      <c r="FO222" s="192" t="e">
        <f t="shared" ca="1" si="95"/>
        <v>#NAME?</v>
      </c>
      <c r="FP222" s="192" t="e">
        <f t="shared" ca="1" si="96"/>
        <v>#NAME?</v>
      </c>
      <c r="FQ222" s="209" t="e">
        <f t="shared" ca="1" si="97"/>
        <v>#NAME?</v>
      </c>
      <c r="FR222" s="208" t="e">
        <f t="shared" ca="1" si="346"/>
        <v>#NAME?</v>
      </c>
      <c r="FS222" s="36" t="str">
        <f t="shared" si="99"/>
        <v>Pre-Profit</v>
      </c>
      <c r="FT222" s="196">
        <f>COUNTIF($FS$2:$FS$92, FS222)/(COUNTIF($FS$2:$FS$92, "&lt;&gt;""") - COUNTIF($FZ$2:$FZ$92, ""))</f>
        <v>0.51111111111111107</v>
      </c>
      <c r="FU222" s="207"/>
      <c r="FV222" s="192" t="e">
        <f t="shared" ca="1" si="100"/>
        <v>#NAME?</v>
      </c>
      <c r="FW222" s="197" t="e">
        <f t="shared" ca="1" si="101"/>
        <v>#NAME?</v>
      </c>
      <c r="FX222" s="209" t="e">
        <f t="shared" ca="1" si="102"/>
        <v>#NAME?</v>
      </c>
      <c r="FY222" s="211" t="e">
        <f t="shared" ca="1" si="347"/>
        <v>#NAME?</v>
      </c>
      <c r="FZ222" s="36" t="str">
        <f t="shared" si="104"/>
        <v>No</v>
      </c>
      <c r="GA222" s="196">
        <f>COUNTIF($FZ$2:$FZ$92, FZ222)/(COUNTIF($FZ$2:$FZ$92, "&lt;&gt;""") - COUNTIF($FZ$2:$FZ$92, ""))</f>
        <v>0.76666666666666672</v>
      </c>
      <c r="GB222" s="196">
        <f t="shared" si="105"/>
        <v>0</v>
      </c>
      <c r="GC222" s="196">
        <f>COUNTIF($GB$2:$GB$92, GB222)/(COUNTIF($GB$2:$GB$92, "&lt;&gt;""") - COUNTIF($GB$2:$GB$92, ""))</f>
        <v>1.1111111111111112E-2</v>
      </c>
      <c r="GD222" s="196">
        <f t="shared" si="106"/>
        <v>0</v>
      </c>
      <c r="GE222" s="196">
        <f>COUNTIF($GD$2:$GD$92, GD222)/(COUNTIF($GD$2:$GD$92, "&lt;&gt;""") - COUNTIF($GD$2:$GD$92, ""))</f>
        <v>1.1111111111111112E-2</v>
      </c>
      <c r="GF222" s="207"/>
      <c r="GG222" s="36"/>
      <c r="GH222" s="209" t="e">
        <f t="shared" ca="1" si="107"/>
        <v>#NAME?</v>
      </c>
      <c r="GI222" s="212" t="e">
        <f t="shared" ca="1" si="348"/>
        <v>#NAME?</v>
      </c>
    </row>
    <row r="223" spans="1:191" ht="15.75" customHeight="1">
      <c r="A223" s="171"/>
      <c r="B223" s="171" t="s">
        <v>501</v>
      </c>
      <c r="C223" s="16">
        <v>1662905</v>
      </c>
      <c r="D223" s="233" t="s">
        <v>1652</v>
      </c>
      <c r="E223" s="270">
        <v>43817.461111111108</v>
      </c>
      <c r="F223" s="16" t="s">
        <v>337</v>
      </c>
      <c r="G223" s="235" t="s">
        <v>1653</v>
      </c>
      <c r="H223" s="235" t="s">
        <v>1654</v>
      </c>
      <c r="I223" s="271">
        <v>43816</v>
      </c>
      <c r="J223" s="233" t="s">
        <v>1655</v>
      </c>
      <c r="K223" s="233" t="s">
        <v>1652</v>
      </c>
      <c r="M223" s="16" t="s">
        <v>459</v>
      </c>
      <c r="N223" s="16" t="s">
        <v>168</v>
      </c>
      <c r="O223" s="16" t="s">
        <v>30</v>
      </c>
      <c r="P223" s="16" t="s">
        <v>174</v>
      </c>
      <c r="Q223" s="16" t="s">
        <v>35</v>
      </c>
      <c r="S223" s="16" t="s">
        <v>216</v>
      </c>
      <c r="T223" s="237"/>
      <c r="U223" s="213"/>
      <c r="V223" s="54">
        <v>7500000</v>
      </c>
      <c r="W223" s="54"/>
      <c r="X223" s="226"/>
      <c r="Y223" s="55" t="str">
        <f t="shared" si="158"/>
        <v/>
      </c>
      <c r="Z223" s="274">
        <f t="shared" si="159"/>
        <v>7500000</v>
      </c>
      <c r="AA223" s="183" t="e">
        <f t="shared" ca="1" si="160"/>
        <v>#NAME?</v>
      </c>
      <c r="AB223" s="16" t="s">
        <v>36</v>
      </c>
      <c r="AC223" s="16" t="s">
        <v>218</v>
      </c>
      <c r="AD223" s="16" t="s">
        <v>38</v>
      </c>
      <c r="AE223" s="16" t="s">
        <v>227</v>
      </c>
      <c r="AF223" s="16" t="s">
        <v>181</v>
      </c>
      <c r="AG223" s="16" t="s">
        <v>181</v>
      </c>
      <c r="AH223" s="16" t="s">
        <v>190</v>
      </c>
      <c r="AI223" s="54"/>
      <c r="AJ223" s="278">
        <v>3210000000</v>
      </c>
      <c r="AK223" s="224" t="e">
        <f t="shared" ca="1" si="161"/>
        <v>#NAME?</v>
      </c>
      <c r="AL223" s="278">
        <v>3210000000</v>
      </c>
      <c r="AM223" s="224" t="e">
        <f t="shared" ca="1" si="162"/>
        <v>#NAME?</v>
      </c>
      <c r="AN223" s="278">
        <v>0.03</v>
      </c>
      <c r="AO223" s="185" t="e">
        <f t="shared" ca="1" si="63"/>
        <v>#NAME?</v>
      </c>
      <c r="AP223" s="185" t="s">
        <v>192</v>
      </c>
      <c r="AQ223" s="16" t="s">
        <v>39</v>
      </c>
      <c r="AR223" s="16" t="s">
        <v>181</v>
      </c>
      <c r="AS223" s="16" t="s">
        <v>182</v>
      </c>
      <c r="AT223" s="159"/>
      <c r="AU223" s="159"/>
      <c r="AV223" s="16" t="s">
        <v>190</v>
      </c>
      <c r="AW223" s="16" t="s">
        <v>227</v>
      </c>
      <c r="AX223" s="16" t="s">
        <v>227</v>
      </c>
      <c r="AY223" s="16" t="s">
        <v>227</v>
      </c>
      <c r="AZ223" s="54">
        <v>300244</v>
      </c>
      <c r="BA223" s="55" t="e">
        <f t="shared" ca="1" si="163"/>
        <v>#NAME?</v>
      </c>
      <c r="BB223" s="278">
        <v>2778</v>
      </c>
      <c r="BC223" s="278">
        <v>224685</v>
      </c>
      <c r="BD223" s="62" t="e">
        <f t="shared" ca="1" si="164"/>
        <v>#NAME?</v>
      </c>
      <c r="BE223" s="277">
        <f t="shared" si="165"/>
        <v>1.2363976233393418E-2</v>
      </c>
      <c r="BF223" s="62" t="e">
        <f t="shared" ca="1" si="166"/>
        <v>#NAME?</v>
      </c>
      <c r="BG223" s="16" t="s">
        <v>202</v>
      </c>
      <c r="BI223" s="16" t="s">
        <v>227</v>
      </c>
      <c r="BJ223" s="16">
        <v>0</v>
      </c>
      <c r="BK223" s="278">
        <v>1</v>
      </c>
      <c r="BL223" s="16" t="s">
        <v>227</v>
      </c>
      <c r="BM223" s="16" t="s">
        <v>190</v>
      </c>
      <c r="BN223" s="16" t="s">
        <v>190</v>
      </c>
      <c r="BO223" s="16" t="s">
        <v>190</v>
      </c>
      <c r="BP223" s="16">
        <v>2</v>
      </c>
      <c r="BQ223" s="16">
        <v>1</v>
      </c>
      <c r="BR223" s="16">
        <v>4</v>
      </c>
      <c r="BS223" s="16">
        <v>0</v>
      </c>
      <c r="BT223" s="205"/>
      <c r="BU223" s="16">
        <v>7</v>
      </c>
      <c r="BV223" s="16">
        <v>0</v>
      </c>
      <c r="BW223" s="16">
        <v>36</v>
      </c>
      <c r="BX223" s="16" t="s">
        <v>190</v>
      </c>
      <c r="BY223" s="205"/>
      <c r="CD223" s="205"/>
      <c r="CI223" s="205"/>
      <c r="CN223" s="205"/>
      <c r="CS223" s="205"/>
      <c r="CX223" s="205"/>
      <c r="DC223" s="205"/>
      <c r="DH223" s="205"/>
      <c r="DM223" s="205"/>
      <c r="DN223" s="205"/>
      <c r="DO223" s="205"/>
      <c r="DQ223" s="206"/>
      <c r="DR223" s="188">
        <f t="shared" si="64"/>
        <v>7</v>
      </c>
      <c r="DS223" s="188"/>
      <c r="DT223" s="189">
        <f t="shared" si="65"/>
        <v>0</v>
      </c>
      <c r="DU223" s="189"/>
      <c r="DV223" s="188">
        <f t="shared" si="66"/>
        <v>36</v>
      </c>
      <c r="DW223" s="183" t="e">
        <f t="shared" ca="1" si="67"/>
        <v>#NAME?</v>
      </c>
      <c r="DX223" s="207"/>
      <c r="DY223" s="190" t="e">
        <f t="shared" ca="1" si="68"/>
        <v>#NAME?</v>
      </c>
      <c r="DZ223" s="191" t="str">
        <f t="shared" si="338"/>
        <v/>
      </c>
      <c r="EA223" s="191" t="str">
        <f t="shared" si="339"/>
        <v/>
      </c>
      <c r="EB223" s="191" t="str">
        <f t="shared" si="340"/>
        <v/>
      </c>
      <c r="EC223" s="208" t="e">
        <f t="shared" ca="1" si="72"/>
        <v>#NAME?</v>
      </c>
      <c r="ED223" s="36" t="str">
        <f t="shared" si="73"/>
        <v>Equity - Common</v>
      </c>
      <c r="EE223" s="193">
        <f>COUNTIF($ED$2:$ED$92, ED223)/(COUNTIF($ED$2:$ED$92, "&lt;&gt;""") - COUNTIF($ED$2:$ED$92, ""))</f>
        <v>0.32222222222222224</v>
      </c>
      <c r="EF223" s="36" t="str">
        <f t="shared" si="74"/>
        <v>Early</v>
      </c>
      <c r="EG223" s="207"/>
      <c r="EH223" s="194" t="e">
        <f t="shared" ca="1" si="75"/>
        <v>#NAME?</v>
      </c>
      <c r="EI223" s="194" t="e">
        <f t="shared" ca="1" si="76"/>
        <v>#NAME?</v>
      </c>
      <c r="EJ223" s="209" t="e">
        <f t="shared" ca="1" si="77"/>
        <v>#NAME?</v>
      </c>
      <c r="EK223" s="208" t="e">
        <f t="shared" ca="1" si="341"/>
        <v>#NAME?</v>
      </c>
      <c r="EL223" s="36" t="str">
        <f t="shared" si="79"/>
        <v>No</v>
      </c>
      <c r="EM223" s="207"/>
      <c r="EN223" s="192">
        <f t="shared" si="342"/>
        <v>1.6666666666666665</v>
      </c>
      <c r="EO223" s="192">
        <f t="shared" si="343"/>
        <v>1</v>
      </c>
      <c r="EP223" s="209">
        <f t="shared" si="82"/>
        <v>2.6666666666666665</v>
      </c>
      <c r="EQ223" s="210">
        <f t="shared" si="344"/>
        <v>1.5233644859813085</v>
      </c>
      <c r="ER223" s="36" t="e">
        <f t="shared" ca="1" si="84"/>
        <v>#NAME?</v>
      </c>
      <c r="ES223" s="40">
        <f ca="1">COUNTIF($ER$2:$ER$92, ER223)/(COUNTIF($ER$2:$ER$92, "&lt;&gt;""") - COUNTIF($ER$2:$ER$92, ""))</f>
        <v>1</v>
      </c>
      <c r="ET223" s="36">
        <f t="shared" si="85"/>
        <v>1</v>
      </c>
      <c r="EU223" s="40">
        <f>COUNTIF($ET$2:$ET$92, ET223)/(COUNTIF($ET$2:$ET$92, "&lt;&gt;""") - COUNTIF($ET$2:$ET$92, ""))</f>
        <v>0.45555555555555555</v>
      </c>
      <c r="EV223" s="36">
        <f t="shared" si="86"/>
        <v>1</v>
      </c>
      <c r="EW223" s="40">
        <f>COUNTIF($EV$2:$EV$92, EV223)/(COUNTIF($EV$2:$EV$92, "&lt;&gt;""") - COUNTIF($EV$2:$EV$92, ""))</f>
        <v>7.7777777777777779E-2</v>
      </c>
      <c r="EX223" s="36" t="str">
        <f t="shared" si="87"/>
        <v>Yes</v>
      </c>
      <c r="EY223" s="40">
        <f>COUNTIF($EX$2:$EX$92, EX223)/(COUNTIF($EX$2:$EX$92, "&lt;&gt;""") - COUNTIF($EX$2:$EX$92, ""))</f>
        <v>0.27777777777777779</v>
      </c>
      <c r="EZ223" s="36" t="str">
        <f t="shared" ref="EZ223:FB223" si="366">BM223</f>
        <v>No</v>
      </c>
      <c r="FA223" s="36" t="str">
        <f t="shared" si="366"/>
        <v>No</v>
      </c>
      <c r="FB223" s="36" t="str">
        <f t="shared" si="366"/>
        <v>No</v>
      </c>
      <c r="FC223" s="207"/>
      <c r="FD223" s="36" t="str">
        <f t="shared" si="89"/>
        <v>Transactional</v>
      </c>
      <c r="FE223" s="40">
        <f>COUNTIF($FD$2:$FD$92, FD223)/(COUNTIF($FD$2:$FD$92, "&lt;&gt;""") - COUNTIF($FD$2:$FD$92, ""))</f>
        <v>0.6</v>
      </c>
      <c r="FF223" s="36" t="str">
        <f t="shared" si="90"/>
        <v>B2B/B2C</v>
      </c>
      <c r="FG223" s="40">
        <f>COUNTIF($FF$2:$FF$92, FF223)/(COUNTIF($FF$2:$FF$92, "&lt;&gt;""") - COUNTIF($FF$2:$FF$92, ""))</f>
        <v>0.27777777777777779</v>
      </c>
      <c r="FH223" s="36" t="str">
        <f t="shared" si="91"/>
        <v>Low</v>
      </c>
      <c r="FI223" s="40">
        <f>COUNTIF($FH$2:$FH$92, FH223)/(COUNTIF($FH$2:$FH$92, "&lt;&gt;""") - COUNTIF($FH$2:$FH$92, ""))</f>
        <v>0.46666666666666667</v>
      </c>
      <c r="FJ223" s="36" t="str">
        <f t="shared" si="92"/>
        <v>Low</v>
      </c>
      <c r="FK223" s="40">
        <f>COUNTIF($FJ$2:$FJ$92, FJ223)/(COUNTIF($FJ$2:$FJ$92, "&lt;&gt;""") - COUNTIF($FJ$2:$FJ$92, ""))</f>
        <v>0.41111111111111109</v>
      </c>
      <c r="FL223" s="207"/>
      <c r="FM223" s="192">
        <f t="shared" si="93"/>
        <v>5</v>
      </c>
      <c r="FN223" s="192" t="e">
        <f t="shared" ca="1" si="94"/>
        <v>#NAME?</v>
      </c>
      <c r="FO223" s="192" t="e">
        <f t="shared" ca="1" si="95"/>
        <v>#NAME?</v>
      </c>
      <c r="FP223" s="192" t="e">
        <f t="shared" ca="1" si="96"/>
        <v>#NAME?</v>
      </c>
      <c r="FQ223" s="209" t="e">
        <f t="shared" ca="1" si="97"/>
        <v>#NAME?</v>
      </c>
      <c r="FR223" s="208" t="e">
        <f t="shared" ca="1" si="346"/>
        <v>#NAME?</v>
      </c>
      <c r="FS223" s="36" t="str">
        <f t="shared" si="99"/>
        <v>Pre-Profit</v>
      </c>
      <c r="FT223" s="196">
        <f>COUNTIF($FS$2:$FS$92, FS223)/(COUNTIF($FS$2:$FS$92, "&lt;&gt;""") - COUNTIF($FZ$2:$FZ$92, ""))</f>
        <v>0.51111111111111107</v>
      </c>
      <c r="FU223" s="207"/>
      <c r="FV223" s="192">
        <f t="shared" si="100"/>
        <v>3</v>
      </c>
      <c r="FW223" s="197" t="e">
        <f t="shared" ca="1" si="101"/>
        <v>#NAME?</v>
      </c>
      <c r="FX223" s="209" t="e">
        <f t="shared" ca="1" si="102"/>
        <v>#NAME?</v>
      </c>
      <c r="FY223" s="211" t="e">
        <f t="shared" ca="1" si="347"/>
        <v>#NAME?</v>
      </c>
      <c r="FZ223" s="36" t="str">
        <f t="shared" si="104"/>
        <v>Yes</v>
      </c>
      <c r="GA223" s="196">
        <f>COUNTIF($FZ$2:$FZ$92, FZ223)/(COUNTIF($FZ$2:$FZ$92, "&lt;&gt;""") - COUNTIF($FZ$2:$FZ$92, ""))</f>
        <v>0.23333333333333334</v>
      </c>
      <c r="GB223" s="196">
        <f t="shared" si="105"/>
        <v>0</v>
      </c>
      <c r="GC223" s="196">
        <f>COUNTIF($GB$2:$GB$92, GB223)/(COUNTIF($GB$2:$GB$92, "&lt;&gt;""") - COUNTIF($GB$2:$GB$92, ""))</f>
        <v>1.1111111111111112E-2</v>
      </c>
      <c r="GD223" s="196">
        <f t="shared" si="106"/>
        <v>0</v>
      </c>
      <c r="GE223" s="196">
        <f>COUNTIF($GD$2:$GD$92, GD223)/(COUNTIF($GD$2:$GD$92, "&lt;&gt;""") - COUNTIF($GD$2:$GD$92, ""))</f>
        <v>1.1111111111111112E-2</v>
      </c>
      <c r="GF223" s="207"/>
      <c r="GG223" s="36"/>
      <c r="GH223" s="209" t="e">
        <f t="shared" ca="1" si="107"/>
        <v>#NAME?</v>
      </c>
      <c r="GI223" s="212" t="e">
        <f t="shared" ca="1" si="348"/>
        <v>#NAME?</v>
      </c>
    </row>
    <row r="224" spans="1:191" ht="15.75" customHeight="1">
      <c r="A224" s="171"/>
      <c r="B224" s="171" t="s">
        <v>501</v>
      </c>
      <c r="C224" s="16">
        <v>1709628</v>
      </c>
      <c r="D224" s="233" t="s">
        <v>1656</v>
      </c>
      <c r="E224" s="270">
        <v>43817.46875</v>
      </c>
      <c r="F224" s="16" t="s">
        <v>344</v>
      </c>
      <c r="G224" s="235" t="s">
        <v>1657</v>
      </c>
      <c r="H224" s="235" t="s">
        <v>1658</v>
      </c>
      <c r="I224" s="271">
        <v>43768</v>
      </c>
      <c r="J224" s="233" t="s">
        <v>1659</v>
      </c>
      <c r="K224" s="233" t="s">
        <v>1656</v>
      </c>
      <c r="M224" s="16" t="s">
        <v>1660</v>
      </c>
      <c r="N224" s="16" t="s">
        <v>254</v>
      </c>
      <c r="O224" s="16" t="s">
        <v>30</v>
      </c>
      <c r="P224" s="16" t="s">
        <v>197</v>
      </c>
      <c r="Q224" s="16" t="s">
        <v>35</v>
      </c>
      <c r="S224" s="16" t="s">
        <v>269</v>
      </c>
      <c r="T224" s="237"/>
      <c r="U224" s="213"/>
      <c r="V224" s="54"/>
      <c r="W224" s="54">
        <v>10000000</v>
      </c>
      <c r="X224" s="226">
        <v>0.2</v>
      </c>
      <c r="Y224" s="55">
        <f t="shared" si="158"/>
        <v>8000000</v>
      </c>
      <c r="Z224" s="274">
        <f t="shared" si="159"/>
        <v>8000000</v>
      </c>
      <c r="AA224" s="183" t="e">
        <f t="shared" ca="1" si="160"/>
        <v>#NAME?</v>
      </c>
      <c r="AB224" s="16" t="s">
        <v>178</v>
      </c>
      <c r="AC224" s="16" t="s">
        <v>37</v>
      </c>
      <c r="AD224" s="16" t="s">
        <v>180</v>
      </c>
      <c r="AE224" s="16" t="s">
        <v>227</v>
      </c>
      <c r="AF224" s="16" t="s">
        <v>39</v>
      </c>
      <c r="AG224" s="16" t="s">
        <v>181</v>
      </c>
      <c r="AH224" s="16" t="s">
        <v>227</v>
      </c>
      <c r="AI224" s="54"/>
      <c r="AJ224" s="278">
        <v>25570000000</v>
      </c>
      <c r="AK224" s="224" t="e">
        <f t="shared" ca="1" si="161"/>
        <v>#NAME?</v>
      </c>
      <c r="AL224" s="278">
        <v>25570000000</v>
      </c>
      <c r="AM224" s="224" t="e">
        <f t="shared" ca="1" si="162"/>
        <v>#NAME?</v>
      </c>
      <c r="AN224" s="278">
        <v>0.12</v>
      </c>
      <c r="AO224" s="185" t="e">
        <f t="shared" ca="1" si="63"/>
        <v>#NAME?</v>
      </c>
      <c r="AP224" s="185" t="s">
        <v>252</v>
      </c>
      <c r="AQ224" s="16" t="s">
        <v>181</v>
      </c>
      <c r="AR224" s="16" t="s">
        <v>181</v>
      </c>
      <c r="AS224" s="16" t="s">
        <v>42</v>
      </c>
      <c r="AT224" s="159"/>
      <c r="AU224" s="159"/>
      <c r="AV224" s="16" t="s">
        <v>190</v>
      </c>
      <c r="AW224" s="16" t="s">
        <v>190</v>
      </c>
      <c r="AX224" s="16" t="s">
        <v>227</v>
      </c>
      <c r="AY224" s="16" t="s">
        <v>227</v>
      </c>
      <c r="AZ224" s="54">
        <v>130000</v>
      </c>
      <c r="BA224" s="55" t="e">
        <f t="shared" ca="1" si="163"/>
        <v>#NAME?</v>
      </c>
      <c r="BB224" s="278">
        <v>69750</v>
      </c>
      <c r="BC224" s="278">
        <v>2396006</v>
      </c>
      <c r="BD224" s="62" t="e">
        <f t="shared" ca="1" si="164"/>
        <v>#NAME?</v>
      </c>
      <c r="BE224" s="277">
        <f t="shared" si="165"/>
        <v>2.9110945465078135E-2</v>
      </c>
      <c r="BF224" s="62" t="e">
        <f t="shared" ca="1" si="166"/>
        <v>#NAME?</v>
      </c>
      <c r="BG224" s="16" t="s">
        <v>202</v>
      </c>
      <c r="BI224" s="16" t="s">
        <v>227</v>
      </c>
      <c r="BJ224" s="16">
        <v>2</v>
      </c>
      <c r="BK224" s="278">
        <v>1</v>
      </c>
      <c r="BL224" s="16" t="s">
        <v>227</v>
      </c>
      <c r="BM224" s="16" t="s">
        <v>190</v>
      </c>
      <c r="BN224" s="16" t="s">
        <v>190</v>
      </c>
      <c r="BO224" s="16" t="s">
        <v>190</v>
      </c>
      <c r="BP224" s="16">
        <v>2</v>
      </c>
      <c r="BQ224" s="16">
        <v>2</v>
      </c>
      <c r="BR224" s="16">
        <v>0</v>
      </c>
      <c r="BS224" s="16">
        <v>0</v>
      </c>
      <c r="BT224" s="205"/>
      <c r="BU224" s="16">
        <v>22</v>
      </c>
      <c r="BV224" s="16">
        <v>1</v>
      </c>
      <c r="BW224" s="16">
        <v>52</v>
      </c>
      <c r="BX224" s="16" t="s">
        <v>227</v>
      </c>
      <c r="BY224" s="205"/>
      <c r="CD224" s="205"/>
      <c r="CI224" s="205"/>
      <c r="CN224" s="205"/>
      <c r="CS224" s="205"/>
      <c r="CX224" s="205"/>
      <c r="DC224" s="205"/>
      <c r="DH224" s="205"/>
      <c r="DM224" s="205"/>
      <c r="DN224" s="205"/>
      <c r="DO224" s="205"/>
      <c r="DQ224" s="206"/>
      <c r="DR224" s="188">
        <f t="shared" si="64"/>
        <v>22</v>
      </c>
      <c r="DS224" s="188"/>
      <c r="DT224" s="189">
        <f t="shared" si="65"/>
        <v>1</v>
      </c>
      <c r="DU224" s="189"/>
      <c r="DV224" s="188">
        <f t="shared" si="66"/>
        <v>52</v>
      </c>
      <c r="DW224" s="183" t="e">
        <f t="shared" ca="1" si="67"/>
        <v>#NAME?</v>
      </c>
      <c r="DX224" s="207"/>
      <c r="DY224" s="190" t="e">
        <f t="shared" ca="1" si="68"/>
        <v>#NAME?</v>
      </c>
      <c r="DZ224" s="191">
        <f t="shared" si="338"/>
        <v>3.1052631578947367</v>
      </c>
      <c r="EA224" s="191" t="str">
        <f t="shared" si="339"/>
        <v/>
      </c>
      <c r="EB224" s="191" t="str">
        <f t="shared" si="340"/>
        <v/>
      </c>
      <c r="EC224" s="208" t="e">
        <f t="shared" ca="1" si="72"/>
        <v>#NAME?</v>
      </c>
      <c r="ED224" s="36" t="str">
        <f t="shared" si="73"/>
        <v>SAFE</v>
      </c>
      <c r="EE224" s="193">
        <f>COUNTIF($ED$2:$ED$92, ED224)/(COUNTIF($ED$2:$ED$92, "&lt;&gt;""") - COUNTIF($ED$2:$ED$92, ""))</f>
        <v>0.37777777777777777</v>
      </c>
      <c r="EF224" s="36" t="str">
        <f t="shared" si="74"/>
        <v>Early</v>
      </c>
      <c r="EG224" s="207"/>
      <c r="EH224" s="194" t="e">
        <f t="shared" ca="1" si="75"/>
        <v>#NAME?</v>
      </c>
      <c r="EI224" s="194" t="e">
        <f t="shared" ca="1" si="76"/>
        <v>#NAME?</v>
      </c>
      <c r="EJ224" s="209" t="e">
        <f t="shared" ca="1" si="77"/>
        <v>#NAME?</v>
      </c>
      <c r="EK224" s="208" t="e">
        <f t="shared" ca="1" si="341"/>
        <v>#NAME?</v>
      </c>
      <c r="EL224" s="36" t="str">
        <f t="shared" si="79"/>
        <v>No</v>
      </c>
      <c r="EM224" s="207"/>
      <c r="EN224" s="192">
        <f t="shared" si="342"/>
        <v>3.0952380952380953</v>
      </c>
      <c r="EO224" s="192">
        <f t="shared" si="343"/>
        <v>2</v>
      </c>
      <c r="EP224" s="209">
        <f t="shared" si="82"/>
        <v>5.0952380952380949</v>
      </c>
      <c r="EQ224" s="210">
        <f t="shared" si="344"/>
        <v>3.4299065420560746</v>
      </c>
      <c r="ER224" s="36" t="e">
        <f t="shared" ca="1" si="84"/>
        <v>#NAME?</v>
      </c>
      <c r="ES224" s="40">
        <f ca="1">COUNTIF($ER$2:$ER$92, ER224)/(COUNTIF($ER$2:$ER$92, "&lt;&gt;""") - COUNTIF($ER$2:$ER$92, ""))</f>
        <v>1</v>
      </c>
      <c r="ET224" s="36">
        <f t="shared" si="85"/>
        <v>1</v>
      </c>
      <c r="EU224" s="40">
        <f>COUNTIF($ET$2:$ET$92, ET224)/(COUNTIF($ET$2:$ET$92, "&lt;&gt;""") - COUNTIF($ET$2:$ET$92, ""))</f>
        <v>0.45555555555555555</v>
      </c>
      <c r="EV224" s="36">
        <f t="shared" si="86"/>
        <v>2</v>
      </c>
      <c r="EW224" s="40">
        <f>COUNTIF($EV$2:$EV$92, EV224)/(COUNTIF($EV$2:$EV$92, "&lt;&gt;""") - COUNTIF($EV$2:$EV$92, ""))</f>
        <v>0.15555555555555556</v>
      </c>
      <c r="EX224" s="36" t="str">
        <f t="shared" si="87"/>
        <v>Yes</v>
      </c>
      <c r="EY224" s="40">
        <f>COUNTIF($EX$2:$EX$92, EX224)/(COUNTIF($EX$2:$EX$92, "&lt;&gt;""") - COUNTIF($EX$2:$EX$92, ""))</f>
        <v>0.27777777777777779</v>
      </c>
      <c r="EZ224" s="36" t="str">
        <f t="shared" ref="EZ224:FB224" si="367">BM224</f>
        <v>No</v>
      </c>
      <c r="FA224" s="36" t="str">
        <f t="shared" si="367"/>
        <v>No</v>
      </c>
      <c r="FB224" s="36" t="str">
        <f t="shared" si="367"/>
        <v>No</v>
      </c>
      <c r="FC224" s="207"/>
      <c r="FD224" s="36" t="str">
        <f t="shared" si="89"/>
        <v>Recurring</v>
      </c>
      <c r="FE224" s="40">
        <f>COUNTIF($FD$2:$FD$92, FD224)/(COUNTIF($FD$2:$FD$92, "&lt;&gt;""") - COUNTIF($FD$2:$FD$92, ""))</f>
        <v>0.4</v>
      </c>
      <c r="FF224" s="36" t="str">
        <f t="shared" si="90"/>
        <v>B2B</v>
      </c>
      <c r="FG224" s="40">
        <f>COUNTIF($FF$2:$FF$92, FF224)/(COUNTIF($FF$2:$FF$92, "&lt;&gt;""") - COUNTIF($FF$2:$FF$92, ""))</f>
        <v>0.24444444444444444</v>
      </c>
      <c r="FH224" s="36" t="str">
        <f t="shared" si="91"/>
        <v>High</v>
      </c>
      <c r="FI224" s="40">
        <f>COUNTIF($FH$2:$FH$92, FH224)/(COUNTIF($FH$2:$FH$92, "&lt;&gt;""") - COUNTIF($FH$2:$FH$92, ""))</f>
        <v>0.53333333333333333</v>
      </c>
      <c r="FJ224" s="36" t="str">
        <f t="shared" si="92"/>
        <v>Low</v>
      </c>
      <c r="FK224" s="40">
        <f>COUNTIF($FJ$2:$FJ$92, FJ224)/(COUNTIF($FJ$2:$FJ$92, "&lt;&gt;""") - COUNTIF($FJ$2:$FJ$92, ""))</f>
        <v>0.41111111111111109</v>
      </c>
      <c r="FL224" s="207"/>
      <c r="FM224" s="192">
        <f t="shared" si="93"/>
        <v>5</v>
      </c>
      <c r="FN224" s="192" t="e">
        <f t="shared" ca="1" si="94"/>
        <v>#NAME?</v>
      </c>
      <c r="FO224" s="192" t="e">
        <f t="shared" ca="1" si="95"/>
        <v>#NAME?</v>
      </c>
      <c r="FP224" s="192" t="e">
        <f t="shared" ca="1" si="96"/>
        <v>#NAME?</v>
      </c>
      <c r="FQ224" s="209" t="e">
        <f t="shared" ca="1" si="97"/>
        <v>#NAME?</v>
      </c>
      <c r="FR224" s="208" t="e">
        <f t="shared" ca="1" si="346"/>
        <v>#NAME?</v>
      </c>
      <c r="FS224" s="36" t="str">
        <f t="shared" si="99"/>
        <v>Pre-Profit</v>
      </c>
      <c r="FT224" s="196">
        <f>COUNTIF($FS$2:$FS$92, FS224)/(COUNTIF($FS$2:$FS$92, "&lt;&gt;""") - COUNTIF($FZ$2:$FZ$92, ""))</f>
        <v>0.51111111111111107</v>
      </c>
      <c r="FU224" s="207"/>
      <c r="FV224" s="192" t="e">
        <f t="shared" ca="1" si="100"/>
        <v>#NAME?</v>
      </c>
      <c r="FW224" s="197" t="e">
        <f t="shared" ca="1" si="101"/>
        <v>#NAME?</v>
      </c>
      <c r="FX224" s="209" t="e">
        <f t="shared" ca="1" si="102"/>
        <v>#NAME?</v>
      </c>
      <c r="FY224" s="211" t="e">
        <f t="shared" ca="1" si="347"/>
        <v>#NAME?</v>
      </c>
      <c r="FZ224" s="36" t="str">
        <f t="shared" si="104"/>
        <v>No</v>
      </c>
      <c r="GA224" s="196">
        <f>COUNTIF($FZ$2:$FZ$92, FZ224)/(COUNTIF($FZ$2:$FZ$92, "&lt;&gt;""") - COUNTIF($FZ$2:$FZ$92, ""))</f>
        <v>0.76666666666666672</v>
      </c>
      <c r="GB224" s="196">
        <f t="shared" si="105"/>
        <v>0</v>
      </c>
      <c r="GC224" s="196">
        <f>COUNTIF($GB$2:$GB$92, GB224)/(COUNTIF($GB$2:$GB$92, "&lt;&gt;""") - COUNTIF($GB$2:$GB$92, ""))</f>
        <v>1.1111111111111112E-2</v>
      </c>
      <c r="GD224" s="196">
        <f t="shared" si="106"/>
        <v>0</v>
      </c>
      <c r="GE224" s="196">
        <f>COUNTIF($GD$2:$GD$92, GD224)/(COUNTIF($GD$2:$GD$92, "&lt;&gt;""") - COUNTIF($GD$2:$GD$92, ""))</f>
        <v>1.1111111111111112E-2</v>
      </c>
      <c r="GF224" s="207"/>
      <c r="GG224" s="36"/>
      <c r="GH224" s="209" t="e">
        <f t="shared" ca="1" si="107"/>
        <v>#NAME?</v>
      </c>
      <c r="GI224" s="212" t="e">
        <f t="shared" ca="1" si="348"/>
        <v>#NAME?</v>
      </c>
    </row>
    <row r="225" spans="1:191" ht="15.75" customHeight="1">
      <c r="A225" s="171"/>
      <c r="B225" s="171" t="s">
        <v>501</v>
      </c>
      <c r="C225" s="16">
        <v>1786194</v>
      </c>
      <c r="D225" s="233" t="s">
        <v>1661</v>
      </c>
      <c r="E225" s="234">
        <v>43818.495833333334</v>
      </c>
      <c r="F225" s="16" t="s">
        <v>337</v>
      </c>
      <c r="G225" s="235" t="s">
        <v>1662</v>
      </c>
      <c r="H225" s="235" t="s">
        <v>1663</v>
      </c>
      <c r="I225" s="271">
        <v>43829</v>
      </c>
      <c r="J225" s="233" t="s">
        <v>1664</v>
      </c>
      <c r="K225" s="233" t="s">
        <v>1661</v>
      </c>
      <c r="M225" s="29" t="s">
        <v>747</v>
      </c>
      <c r="N225" s="16" t="s">
        <v>300</v>
      </c>
      <c r="O225" s="16" t="s">
        <v>173</v>
      </c>
      <c r="P225" s="16" t="s">
        <v>197</v>
      </c>
      <c r="Q225" s="16" t="s">
        <v>35</v>
      </c>
      <c r="S225" s="16" t="s">
        <v>216</v>
      </c>
      <c r="T225" s="237"/>
      <c r="U225" s="213"/>
      <c r="V225" s="54">
        <v>14000000</v>
      </c>
      <c r="W225" s="54"/>
      <c r="X225" s="226"/>
      <c r="Y225" s="55" t="str">
        <f t="shared" si="158"/>
        <v/>
      </c>
      <c r="Z225" s="274">
        <f t="shared" si="159"/>
        <v>14000000</v>
      </c>
      <c r="AA225" s="183" t="e">
        <f t="shared" ca="1" si="160"/>
        <v>#NAME?</v>
      </c>
      <c r="AB225" s="16" t="s">
        <v>36</v>
      </c>
      <c r="AC225" s="16" t="s">
        <v>218</v>
      </c>
      <c r="AD225" s="16" t="s">
        <v>38</v>
      </c>
      <c r="AE225" s="16" t="s">
        <v>227</v>
      </c>
      <c r="AF225" s="16" t="s">
        <v>181</v>
      </c>
      <c r="AG225" s="16" t="s">
        <v>181</v>
      </c>
      <c r="AH225" s="16" t="s">
        <v>190</v>
      </c>
      <c r="AI225" s="54"/>
      <c r="AJ225" s="278">
        <v>1740000000</v>
      </c>
      <c r="AK225" s="224" t="e">
        <f t="shared" ca="1" si="161"/>
        <v>#NAME?</v>
      </c>
      <c r="AL225" s="278">
        <v>1740000000</v>
      </c>
      <c r="AM225" s="224" t="e">
        <f t="shared" ca="1" si="162"/>
        <v>#NAME?</v>
      </c>
      <c r="AN225" s="278">
        <v>0.1</v>
      </c>
      <c r="AO225" s="185" t="e">
        <f t="shared" ca="1" si="63"/>
        <v>#NAME?</v>
      </c>
      <c r="AP225" s="185" t="s">
        <v>211</v>
      </c>
      <c r="AQ225" s="16" t="s">
        <v>39</v>
      </c>
      <c r="AR225" s="16" t="s">
        <v>181</v>
      </c>
      <c r="AS225" s="16" t="s">
        <v>42</v>
      </c>
      <c r="AT225" s="159"/>
      <c r="AU225" s="159"/>
      <c r="AV225" s="16" t="s">
        <v>227</v>
      </c>
      <c r="AW225" s="16" t="s">
        <v>227</v>
      </c>
      <c r="AX225" s="16" t="s">
        <v>227</v>
      </c>
      <c r="AY225" s="16" t="s">
        <v>227</v>
      </c>
      <c r="AZ225" s="54">
        <v>127134</v>
      </c>
      <c r="BA225" s="55" t="e">
        <f t="shared" ca="1" si="163"/>
        <v>#NAME?</v>
      </c>
      <c r="BB225" s="278">
        <v>7033</v>
      </c>
      <c r="BC225" s="278">
        <v>288392</v>
      </c>
      <c r="BD225" s="62" t="e">
        <f t="shared" ca="1" si="164"/>
        <v>#NAME?</v>
      </c>
      <c r="BE225" s="277">
        <f t="shared" si="165"/>
        <v>2.4386945546339703E-2</v>
      </c>
      <c r="BF225" s="62" t="e">
        <f t="shared" ca="1" si="166"/>
        <v>#NAME?</v>
      </c>
      <c r="BG225" s="16" t="s">
        <v>202</v>
      </c>
      <c r="BI225" s="16" t="s">
        <v>227</v>
      </c>
      <c r="BJ225" s="16">
        <v>0</v>
      </c>
      <c r="BK225" s="278">
        <v>1</v>
      </c>
      <c r="BL225" s="16" t="s">
        <v>227</v>
      </c>
      <c r="BM225" s="16" t="s">
        <v>190</v>
      </c>
      <c r="BN225" s="16" t="s">
        <v>190</v>
      </c>
      <c r="BO225" s="16" t="s">
        <v>190</v>
      </c>
      <c r="BP225" s="16">
        <v>1</v>
      </c>
      <c r="BQ225" s="16">
        <v>4</v>
      </c>
      <c r="BR225" s="16">
        <v>4</v>
      </c>
      <c r="BS225" s="16">
        <v>0</v>
      </c>
      <c r="BT225" s="205"/>
      <c r="BU225" s="16">
        <v>6</v>
      </c>
      <c r="BV225" s="16">
        <v>1</v>
      </c>
      <c r="BW225" s="16">
        <v>58</v>
      </c>
      <c r="BX225" s="16" t="s">
        <v>190</v>
      </c>
      <c r="BY225" s="205"/>
      <c r="CD225" s="205"/>
      <c r="CI225" s="205"/>
      <c r="CN225" s="205"/>
      <c r="CS225" s="205"/>
      <c r="CX225" s="205"/>
      <c r="DC225" s="205"/>
      <c r="DH225" s="205"/>
      <c r="DM225" s="205"/>
      <c r="DN225" s="205"/>
      <c r="DO225" s="205"/>
      <c r="DQ225" s="206"/>
      <c r="DR225" s="188">
        <f t="shared" si="64"/>
        <v>6</v>
      </c>
      <c r="DS225" s="188"/>
      <c r="DT225" s="189">
        <f t="shared" si="65"/>
        <v>1</v>
      </c>
      <c r="DU225" s="189"/>
      <c r="DV225" s="188">
        <f t="shared" si="66"/>
        <v>58</v>
      </c>
      <c r="DW225" s="183" t="e">
        <f t="shared" ca="1" si="67"/>
        <v>#NAME?</v>
      </c>
      <c r="DX225" s="207"/>
      <c r="DY225" s="190" t="e">
        <f t="shared" ca="1" si="68"/>
        <v>#NAME?</v>
      </c>
      <c r="DZ225" s="191" t="str">
        <f t="shared" si="338"/>
        <v/>
      </c>
      <c r="EA225" s="191" t="str">
        <f t="shared" si="339"/>
        <v/>
      </c>
      <c r="EB225" s="191" t="str">
        <f t="shared" si="340"/>
        <v/>
      </c>
      <c r="EC225" s="208" t="e">
        <f t="shared" ca="1" si="72"/>
        <v>#NAME?</v>
      </c>
      <c r="ED225" s="36" t="str">
        <f t="shared" si="73"/>
        <v>Equity - Common</v>
      </c>
      <c r="EE225" s="193">
        <f>COUNTIF($ED$2:$ED$92, ED225)/(COUNTIF($ED$2:$ED$92, "&lt;&gt;""") - COUNTIF($ED$2:$ED$92, ""))</f>
        <v>0.32222222222222224</v>
      </c>
      <c r="EF225" s="36" t="str">
        <f t="shared" si="74"/>
        <v>Growth</v>
      </c>
      <c r="EG225" s="207"/>
      <c r="EH225" s="194" t="e">
        <f t="shared" ca="1" si="75"/>
        <v>#NAME?</v>
      </c>
      <c r="EI225" s="194" t="e">
        <f t="shared" ca="1" si="76"/>
        <v>#NAME?</v>
      </c>
      <c r="EJ225" s="209" t="e">
        <f t="shared" ca="1" si="77"/>
        <v>#NAME?</v>
      </c>
      <c r="EK225" s="208" t="e">
        <f t="shared" ca="1" si="341"/>
        <v>#NAME?</v>
      </c>
      <c r="EL225" s="36" t="str">
        <f t="shared" si="79"/>
        <v>Yes</v>
      </c>
      <c r="EM225" s="207"/>
      <c r="EN225" s="192">
        <f t="shared" si="342"/>
        <v>1.5714285714285714</v>
      </c>
      <c r="EO225" s="192">
        <f t="shared" si="343"/>
        <v>2</v>
      </c>
      <c r="EP225" s="209">
        <f t="shared" si="82"/>
        <v>3.5714285714285712</v>
      </c>
      <c r="EQ225" s="210">
        <f t="shared" si="344"/>
        <v>2.2336448598130838</v>
      </c>
      <c r="ER225" s="36" t="e">
        <f t="shared" ca="1" si="84"/>
        <v>#NAME?</v>
      </c>
      <c r="ES225" s="40">
        <f ca="1">COUNTIF($ER$2:$ER$92, ER225)/(COUNTIF($ER$2:$ER$92, "&lt;&gt;""") - COUNTIF($ER$2:$ER$92, ""))</f>
        <v>1</v>
      </c>
      <c r="ET225" s="36">
        <f t="shared" si="85"/>
        <v>1</v>
      </c>
      <c r="EU225" s="40">
        <f>COUNTIF($ET$2:$ET$92, ET225)/(COUNTIF($ET$2:$ET$92, "&lt;&gt;""") - COUNTIF($ET$2:$ET$92, ""))</f>
        <v>0.45555555555555555</v>
      </c>
      <c r="EV225" s="36">
        <f t="shared" si="86"/>
        <v>4</v>
      </c>
      <c r="EW225" s="40">
        <f>COUNTIF($EV$2:$EV$92, EV225)/(COUNTIF($EV$2:$EV$92, "&lt;&gt;""") - COUNTIF($EV$2:$EV$92, ""))</f>
        <v>0.12222222222222222</v>
      </c>
      <c r="EX225" s="36" t="str">
        <f t="shared" si="87"/>
        <v>Yes</v>
      </c>
      <c r="EY225" s="40">
        <f>COUNTIF($EX$2:$EX$92, EX225)/(COUNTIF($EX$2:$EX$92, "&lt;&gt;""") - COUNTIF($EX$2:$EX$92, ""))</f>
        <v>0.27777777777777779</v>
      </c>
      <c r="EZ225" s="36" t="str">
        <f t="shared" ref="EZ225:FB225" si="368">BM225</f>
        <v>No</v>
      </c>
      <c r="FA225" s="36" t="str">
        <f t="shared" si="368"/>
        <v>No</v>
      </c>
      <c r="FB225" s="36" t="str">
        <f t="shared" si="368"/>
        <v>No</v>
      </c>
      <c r="FC225" s="207"/>
      <c r="FD225" s="36" t="str">
        <f t="shared" si="89"/>
        <v>Transactional</v>
      </c>
      <c r="FE225" s="40">
        <f>COUNTIF($FD$2:$FD$92, FD225)/(COUNTIF($FD$2:$FD$92, "&lt;&gt;""") - COUNTIF($FD$2:$FD$92, ""))</f>
        <v>0.6</v>
      </c>
      <c r="FF225" s="36" t="str">
        <f t="shared" si="90"/>
        <v>B2B/B2C</v>
      </c>
      <c r="FG225" s="40">
        <f>COUNTIF($FF$2:$FF$92, FF225)/(COUNTIF($FF$2:$FF$92, "&lt;&gt;""") - COUNTIF($FF$2:$FF$92, ""))</f>
        <v>0.27777777777777779</v>
      </c>
      <c r="FH225" s="36" t="str">
        <f t="shared" si="91"/>
        <v>Low</v>
      </c>
      <c r="FI225" s="40">
        <f>COUNTIF($FH$2:$FH$92, FH225)/(COUNTIF($FH$2:$FH$92, "&lt;&gt;""") - COUNTIF($FH$2:$FH$92, ""))</f>
        <v>0.46666666666666667</v>
      </c>
      <c r="FJ225" s="36" t="str">
        <f t="shared" si="92"/>
        <v>Low</v>
      </c>
      <c r="FK225" s="40">
        <f>COUNTIF($FJ$2:$FJ$92, FJ225)/(COUNTIF($FJ$2:$FJ$92, "&lt;&gt;""") - COUNTIF($FJ$2:$FJ$92, ""))</f>
        <v>0.41111111111111109</v>
      </c>
      <c r="FL225" s="207"/>
      <c r="FM225" s="192">
        <f t="shared" si="93"/>
        <v>5</v>
      </c>
      <c r="FN225" s="192" t="e">
        <f t="shared" ca="1" si="94"/>
        <v>#NAME?</v>
      </c>
      <c r="FO225" s="192" t="e">
        <f t="shared" ca="1" si="95"/>
        <v>#NAME?</v>
      </c>
      <c r="FP225" s="192" t="e">
        <f t="shared" ca="1" si="96"/>
        <v>#NAME?</v>
      </c>
      <c r="FQ225" s="209" t="e">
        <f t="shared" ca="1" si="97"/>
        <v>#NAME?</v>
      </c>
      <c r="FR225" s="208" t="e">
        <f t="shared" ca="1" si="346"/>
        <v>#NAME?</v>
      </c>
      <c r="FS225" s="36" t="str">
        <f t="shared" si="99"/>
        <v>Pre-Profit</v>
      </c>
      <c r="FT225" s="196">
        <f>COUNTIF($FS$2:$FS$92, FS225)/(COUNTIF($FS$2:$FS$92, "&lt;&gt;""") - COUNTIF($FZ$2:$FZ$92, ""))</f>
        <v>0.51111111111111107</v>
      </c>
      <c r="FU225" s="207"/>
      <c r="FV225" s="192">
        <f t="shared" si="100"/>
        <v>3</v>
      </c>
      <c r="FW225" s="197" t="e">
        <f t="shared" ca="1" si="101"/>
        <v>#NAME?</v>
      </c>
      <c r="FX225" s="209" t="e">
        <f t="shared" ca="1" si="102"/>
        <v>#NAME?</v>
      </c>
      <c r="FY225" s="211" t="e">
        <f t="shared" ca="1" si="347"/>
        <v>#NAME?</v>
      </c>
      <c r="FZ225" s="36" t="str">
        <f t="shared" si="104"/>
        <v>Yes</v>
      </c>
      <c r="GA225" s="196">
        <f>COUNTIF($FZ$2:$FZ$92, FZ225)/(COUNTIF($FZ$2:$FZ$92, "&lt;&gt;""") - COUNTIF($FZ$2:$FZ$92, ""))</f>
        <v>0.23333333333333334</v>
      </c>
      <c r="GB225" s="196">
        <f t="shared" si="105"/>
        <v>0</v>
      </c>
      <c r="GC225" s="196">
        <f>COUNTIF($GB$2:$GB$92, GB225)/(COUNTIF($GB$2:$GB$92, "&lt;&gt;""") - COUNTIF($GB$2:$GB$92, ""))</f>
        <v>1.1111111111111112E-2</v>
      </c>
      <c r="GD225" s="196">
        <f t="shared" si="106"/>
        <v>0</v>
      </c>
      <c r="GE225" s="196">
        <f>COUNTIF($GD$2:$GD$92, GD225)/(COUNTIF($GD$2:$GD$92, "&lt;&gt;""") - COUNTIF($GD$2:$GD$92, ""))</f>
        <v>1.1111111111111112E-2</v>
      </c>
      <c r="GF225" s="207"/>
      <c r="GG225" s="36"/>
      <c r="GH225" s="209" t="e">
        <f t="shared" ca="1" si="107"/>
        <v>#NAME?</v>
      </c>
      <c r="GI225" s="212" t="e">
        <f t="shared" ca="1" si="348"/>
        <v>#NAME?</v>
      </c>
    </row>
    <row r="226" spans="1:191" ht="15.75" customHeight="1">
      <c r="A226" s="171"/>
      <c r="B226" s="171" t="s">
        <v>501</v>
      </c>
      <c r="C226" s="16">
        <v>1790595</v>
      </c>
      <c r="D226" s="233" t="s">
        <v>1665</v>
      </c>
      <c r="E226" s="234">
        <v>43818.497916666667</v>
      </c>
      <c r="F226" s="16" t="s">
        <v>337</v>
      </c>
      <c r="G226" s="235" t="s">
        <v>1666</v>
      </c>
      <c r="H226" s="235" t="s">
        <v>1667</v>
      </c>
      <c r="I226" s="241">
        <v>43906</v>
      </c>
      <c r="J226" s="233" t="s">
        <v>1668</v>
      </c>
      <c r="K226" s="233" t="s">
        <v>1665</v>
      </c>
      <c r="M226" s="239" t="s">
        <v>28</v>
      </c>
      <c r="N226" s="16" t="s">
        <v>168</v>
      </c>
      <c r="O226" s="16" t="s">
        <v>30</v>
      </c>
      <c r="P226" s="16" t="s">
        <v>197</v>
      </c>
      <c r="Q226" s="16" t="s">
        <v>35</v>
      </c>
      <c r="S226" s="16" t="s">
        <v>216</v>
      </c>
      <c r="T226" s="237"/>
      <c r="U226" s="213"/>
      <c r="V226" s="54">
        <v>8000000</v>
      </c>
      <c r="W226" s="54"/>
      <c r="X226" s="226"/>
      <c r="Y226" s="55" t="str">
        <f t="shared" si="158"/>
        <v/>
      </c>
      <c r="Z226" s="274">
        <f t="shared" si="159"/>
        <v>8000000</v>
      </c>
      <c r="AA226" s="183" t="e">
        <f t="shared" ca="1" si="160"/>
        <v>#NAME?</v>
      </c>
      <c r="AB226" s="16" t="s">
        <v>36</v>
      </c>
      <c r="AC226" s="16" t="s">
        <v>218</v>
      </c>
      <c r="AD226" s="16" t="s">
        <v>38</v>
      </c>
      <c r="AE226" s="16" t="s">
        <v>227</v>
      </c>
      <c r="AF226" s="16" t="s">
        <v>181</v>
      </c>
      <c r="AG226" s="16" t="s">
        <v>181</v>
      </c>
      <c r="AH226" s="16" t="s">
        <v>190</v>
      </c>
      <c r="AI226" s="54"/>
      <c r="AJ226" s="278">
        <v>114200000000</v>
      </c>
      <c r="AK226" s="224" t="e">
        <f t="shared" ca="1" si="161"/>
        <v>#NAME?</v>
      </c>
      <c r="AL226" s="278">
        <v>27600000000</v>
      </c>
      <c r="AM226" s="224" t="e">
        <f t="shared" ca="1" si="162"/>
        <v>#NAME?</v>
      </c>
      <c r="AN226" s="278">
        <v>0.03</v>
      </c>
      <c r="AO226" s="185" t="e">
        <f t="shared" ca="1" si="63"/>
        <v>#NAME?</v>
      </c>
      <c r="AP226" s="185" t="s">
        <v>264</v>
      </c>
      <c r="AQ226" s="16" t="s">
        <v>181</v>
      </c>
      <c r="AR226" s="16" t="s">
        <v>181</v>
      </c>
      <c r="AS226" s="16" t="s">
        <v>42</v>
      </c>
      <c r="AT226" s="159"/>
      <c r="AU226" s="159"/>
      <c r="AV226" s="16" t="s">
        <v>190</v>
      </c>
      <c r="AW226" s="16" t="s">
        <v>190</v>
      </c>
      <c r="AX226" s="16" t="s">
        <v>227</v>
      </c>
      <c r="AY226" s="16" t="s">
        <v>227</v>
      </c>
      <c r="AZ226" s="54">
        <v>53553</v>
      </c>
      <c r="BA226" s="55" t="e">
        <f t="shared" ca="1" si="163"/>
        <v>#NAME?</v>
      </c>
      <c r="BB226" s="278">
        <v>27516</v>
      </c>
      <c r="BC226" s="278">
        <v>1921581</v>
      </c>
      <c r="BD226" s="62" t="e">
        <f t="shared" ca="1" si="164"/>
        <v>#NAME?</v>
      </c>
      <c r="BE226" s="277">
        <f t="shared" si="165"/>
        <v>1.4319458820627389E-2</v>
      </c>
      <c r="BF226" s="62" t="e">
        <f t="shared" ca="1" si="166"/>
        <v>#NAME?</v>
      </c>
      <c r="BG226" s="16" t="s">
        <v>202</v>
      </c>
      <c r="BI226" s="16" t="s">
        <v>227</v>
      </c>
      <c r="BJ226" s="16">
        <v>0</v>
      </c>
      <c r="BK226" s="278">
        <v>1</v>
      </c>
      <c r="BL226" s="16" t="s">
        <v>227</v>
      </c>
      <c r="BM226" s="16" t="s">
        <v>190</v>
      </c>
      <c r="BN226" s="16" t="s">
        <v>190</v>
      </c>
      <c r="BO226" s="16" t="s">
        <v>190</v>
      </c>
      <c r="BP226" s="16">
        <v>2</v>
      </c>
      <c r="BQ226" s="16">
        <v>1</v>
      </c>
      <c r="BR226" s="16">
        <v>1</v>
      </c>
      <c r="BS226" s="16">
        <v>0</v>
      </c>
      <c r="BT226" s="205"/>
      <c r="BU226" s="16">
        <v>35</v>
      </c>
      <c r="BV226" s="16">
        <v>0</v>
      </c>
      <c r="BW226" s="16">
        <v>61</v>
      </c>
      <c r="BX226" s="16" t="s">
        <v>227</v>
      </c>
      <c r="BY226" s="205"/>
      <c r="CD226" s="205"/>
      <c r="CI226" s="205"/>
      <c r="CN226" s="205"/>
      <c r="CS226" s="205"/>
      <c r="CX226" s="205"/>
      <c r="DC226" s="205"/>
      <c r="DH226" s="205"/>
      <c r="DM226" s="205"/>
      <c r="DN226" s="205"/>
      <c r="DO226" s="205"/>
      <c r="DQ226" s="206"/>
      <c r="DR226" s="188">
        <f t="shared" si="64"/>
        <v>35</v>
      </c>
      <c r="DS226" s="188"/>
      <c r="DT226" s="189">
        <f t="shared" si="65"/>
        <v>0</v>
      </c>
      <c r="DU226" s="189"/>
      <c r="DV226" s="188">
        <f t="shared" si="66"/>
        <v>61</v>
      </c>
      <c r="DW226" s="183" t="e">
        <f t="shared" ca="1" si="67"/>
        <v>#NAME?</v>
      </c>
      <c r="DX226" s="207"/>
      <c r="DY226" s="190" t="e">
        <f t="shared" ca="1" si="68"/>
        <v>#NAME?</v>
      </c>
      <c r="DZ226" s="191" t="str">
        <f t="shared" si="338"/>
        <v/>
      </c>
      <c r="EA226" s="191" t="str">
        <f t="shared" si="339"/>
        <v/>
      </c>
      <c r="EB226" s="191" t="str">
        <f t="shared" si="340"/>
        <v/>
      </c>
      <c r="EC226" s="208" t="e">
        <f t="shared" ca="1" si="72"/>
        <v>#NAME?</v>
      </c>
      <c r="ED226" s="36" t="str">
        <f t="shared" si="73"/>
        <v>Equity - Common</v>
      </c>
      <c r="EE226" s="193">
        <f>COUNTIF($ED$2:$ED$92, ED226)/(COUNTIF($ED$2:$ED$92, "&lt;&gt;""") - COUNTIF($ED$2:$ED$92, ""))</f>
        <v>0.32222222222222224</v>
      </c>
      <c r="EF226" s="36" t="str">
        <f t="shared" si="74"/>
        <v>Early</v>
      </c>
      <c r="EG226" s="207"/>
      <c r="EH226" s="194" t="e">
        <f t="shared" ca="1" si="75"/>
        <v>#NAME?</v>
      </c>
      <c r="EI226" s="194" t="e">
        <f t="shared" ca="1" si="76"/>
        <v>#NAME?</v>
      </c>
      <c r="EJ226" s="209" t="e">
        <f t="shared" ca="1" si="77"/>
        <v>#NAME?</v>
      </c>
      <c r="EK226" s="208" t="e">
        <f t="shared" ca="1" si="341"/>
        <v>#NAME?</v>
      </c>
      <c r="EL226" s="36" t="str">
        <f t="shared" si="79"/>
        <v>No</v>
      </c>
      <c r="EM226" s="207"/>
      <c r="EN226" s="192">
        <f t="shared" si="342"/>
        <v>4.3333333333333339</v>
      </c>
      <c r="EO226" s="192">
        <f t="shared" si="343"/>
        <v>1</v>
      </c>
      <c r="EP226" s="209">
        <f t="shared" si="82"/>
        <v>5.3333333333333339</v>
      </c>
      <c r="EQ226" s="210">
        <f t="shared" si="344"/>
        <v>3.6168224299065428</v>
      </c>
      <c r="ER226" s="36" t="e">
        <f t="shared" ca="1" si="84"/>
        <v>#NAME?</v>
      </c>
      <c r="ES226" s="40">
        <f ca="1">COUNTIF($ER$2:$ER$92, ER226)/(COUNTIF($ER$2:$ER$92, "&lt;&gt;""") - COUNTIF($ER$2:$ER$92, ""))</f>
        <v>1</v>
      </c>
      <c r="ET226" s="36">
        <f t="shared" si="85"/>
        <v>1</v>
      </c>
      <c r="EU226" s="40">
        <f>COUNTIF($ET$2:$ET$92, ET226)/(COUNTIF($ET$2:$ET$92, "&lt;&gt;""") - COUNTIF($ET$2:$ET$92, ""))</f>
        <v>0.45555555555555555</v>
      </c>
      <c r="EV226" s="36">
        <f t="shared" si="86"/>
        <v>1</v>
      </c>
      <c r="EW226" s="40">
        <f>COUNTIF($EV$2:$EV$92, EV226)/(COUNTIF($EV$2:$EV$92, "&lt;&gt;""") - COUNTIF($EV$2:$EV$92, ""))</f>
        <v>7.7777777777777779E-2</v>
      </c>
      <c r="EX226" s="36" t="str">
        <f t="shared" si="87"/>
        <v>Yes</v>
      </c>
      <c r="EY226" s="40">
        <f>COUNTIF($EX$2:$EX$92, EX226)/(COUNTIF($EX$2:$EX$92, "&lt;&gt;""") - COUNTIF($EX$2:$EX$92, ""))</f>
        <v>0.27777777777777779</v>
      </c>
      <c r="EZ226" s="36" t="str">
        <f t="shared" ref="EZ226:FB226" si="369">BM226</f>
        <v>No</v>
      </c>
      <c r="FA226" s="36" t="str">
        <f t="shared" si="369"/>
        <v>No</v>
      </c>
      <c r="FB226" s="36" t="str">
        <f t="shared" si="369"/>
        <v>No</v>
      </c>
      <c r="FC226" s="207"/>
      <c r="FD226" s="36" t="str">
        <f t="shared" si="89"/>
        <v>Transactional</v>
      </c>
      <c r="FE226" s="40">
        <f>COUNTIF($FD$2:$FD$92, FD226)/(COUNTIF($FD$2:$FD$92, "&lt;&gt;""") - COUNTIF($FD$2:$FD$92, ""))</f>
        <v>0.6</v>
      </c>
      <c r="FF226" s="36" t="str">
        <f t="shared" si="90"/>
        <v>B2B/B2C</v>
      </c>
      <c r="FG226" s="40">
        <f>COUNTIF($FF$2:$FF$92, FF226)/(COUNTIF($FF$2:$FF$92, "&lt;&gt;""") - COUNTIF($FF$2:$FF$92, ""))</f>
        <v>0.27777777777777779</v>
      </c>
      <c r="FH226" s="36" t="str">
        <f t="shared" si="91"/>
        <v>Low</v>
      </c>
      <c r="FI226" s="40">
        <f>COUNTIF($FH$2:$FH$92, FH226)/(COUNTIF($FH$2:$FH$92, "&lt;&gt;""") - COUNTIF($FH$2:$FH$92, ""))</f>
        <v>0.46666666666666667</v>
      </c>
      <c r="FJ226" s="36" t="str">
        <f t="shared" si="92"/>
        <v>Low</v>
      </c>
      <c r="FK226" s="40">
        <f>COUNTIF($FJ$2:$FJ$92, FJ226)/(COUNTIF($FJ$2:$FJ$92, "&lt;&gt;""") - COUNTIF($FJ$2:$FJ$92, ""))</f>
        <v>0.41111111111111109</v>
      </c>
      <c r="FL226" s="207"/>
      <c r="FM226" s="192">
        <f t="shared" si="93"/>
        <v>5</v>
      </c>
      <c r="FN226" s="192" t="e">
        <f t="shared" ca="1" si="94"/>
        <v>#NAME?</v>
      </c>
      <c r="FO226" s="192" t="e">
        <f t="shared" ca="1" si="95"/>
        <v>#NAME?</v>
      </c>
      <c r="FP226" s="192" t="e">
        <f t="shared" ca="1" si="96"/>
        <v>#NAME?</v>
      </c>
      <c r="FQ226" s="209" t="e">
        <f t="shared" ca="1" si="97"/>
        <v>#NAME?</v>
      </c>
      <c r="FR226" s="208" t="e">
        <f t="shared" ca="1" si="346"/>
        <v>#NAME?</v>
      </c>
      <c r="FS226" s="36" t="str">
        <f t="shared" si="99"/>
        <v>Pre-Profit</v>
      </c>
      <c r="FT226" s="196">
        <f>COUNTIF($FS$2:$FS$92, FS226)/(COUNTIF($FS$2:$FS$92, "&lt;&gt;""") - COUNTIF($FZ$2:$FZ$92, ""))</f>
        <v>0.51111111111111107</v>
      </c>
      <c r="FU226" s="207"/>
      <c r="FV226" s="192" t="e">
        <f t="shared" ca="1" si="100"/>
        <v>#NAME?</v>
      </c>
      <c r="FW226" s="197" t="e">
        <f t="shared" ca="1" si="101"/>
        <v>#NAME?</v>
      </c>
      <c r="FX226" s="209" t="e">
        <f t="shared" ca="1" si="102"/>
        <v>#NAME?</v>
      </c>
      <c r="FY226" s="211" t="e">
        <f t="shared" ca="1" si="347"/>
        <v>#NAME?</v>
      </c>
      <c r="FZ226" s="36" t="str">
        <f t="shared" si="104"/>
        <v>No</v>
      </c>
      <c r="GA226" s="196">
        <f>COUNTIF($FZ$2:$FZ$92, FZ226)/(COUNTIF($FZ$2:$FZ$92, "&lt;&gt;""") - COUNTIF($FZ$2:$FZ$92, ""))</f>
        <v>0.76666666666666672</v>
      </c>
      <c r="GB226" s="196">
        <f t="shared" si="105"/>
        <v>0</v>
      </c>
      <c r="GC226" s="196">
        <f>COUNTIF($GB$2:$GB$92, GB226)/(COUNTIF($GB$2:$GB$92, "&lt;&gt;""") - COUNTIF($GB$2:$GB$92, ""))</f>
        <v>1.1111111111111112E-2</v>
      </c>
      <c r="GD226" s="196">
        <f t="shared" si="106"/>
        <v>0</v>
      </c>
      <c r="GE226" s="196">
        <f>COUNTIF($GD$2:$GD$92, GD226)/(COUNTIF($GD$2:$GD$92, "&lt;&gt;""") - COUNTIF($GD$2:$GD$92, ""))</f>
        <v>1.1111111111111112E-2</v>
      </c>
      <c r="GF226" s="207"/>
      <c r="GG226" s="36"/>
      <c r="GH226" s="209" t="e">
        <f t="shared" ca="1" si="107"/>
        <v>#NAME?</v>
      </c>
      <c r="GI226" s="212" t="e">
        <f t="shared" ca="1" si="348"/>
        <v>#NAME?</v>
      </c>
    </row>
    <row r="227" spans="1:191" ht="15.75" customHeight="1">
      <c r="A227" s="171"/>
      <c r="B227" s="171" t="s">
        <v>501</v>
      </c>
      <c r="C227" s="16">
        <v>1716174</v>
      </c>
      <c r="D227" s="233" t="s">
        <v>1669</v>
      </c>
      <c r="E227" s="234">
        <v>43819.50277777778</v>
      </c>
      <c r="F227" s="16" t="s">
        <v>337</v>
      </c>
      <c r="G227" s="235" t="s">
        <v>1670</v>
      </c>
      <c r="H227" s="235" t="s">
        <v>1671</v>
      </c>
      <c r="I227" s="271">
        <v>43875</v>
      </c>
      <c r="J227" s="233" t="s">
        <v>1672</v>
      </c>
      <c r="K227" s="233" t="s">
        <v>1669</v>
      </c>
      <c r="M227" s="16" t="s">
        <v>1176</v>
      </c>
      <c r="N227" s="16" t="s">
        <v>254</v>
      </c>
      <c r="O227" s="16" t="s">
        <v>173</v>
      </c>
      <c r="P227" s="16" t="s">
        <v>197</v>
      </c>
      <c r="Q227" s="16" t="s">
        <v>35</v>
      </c>
      <c r="S227" s="16" t="s">
        <v>216</v>
      </c>
      <c r="T227" s="237"/>
      <c r="U227" s="213"/>
      <c r="V227" s="54">
        <v>25982318</v>
      </c>
      <c r="W227" s="54"/>
      <c r="X227" s="226"/>
      <c r="Y227" s="55" t="str">
        <f t="shared" si="158"/>
        <v/>
      </c>
      <c r="Z227" s="274">
        <f t="shared" si="159"/>
        <v>25982318</v>
      </c>
      <c r="AA227" s="183" t="e">
        <f t="shared" ca="1" si="160"/>
        <v>#NAME?</v>
      </c>
      <c r="AB227" s="16" t="s">
        <v>178</v>
      </c>
      <c r="AC227" s="16" t="s">
        <v>37</v>
      </c>
      <c r="AD227" s="16" t="s">
        <v>180</v>
      </c>
      <c r="AE227" s="16" t="s">
        <v>227</v>
      </c>
      <c r="AF227" s="16" t="s">
        <v>39</v>
      </c>
      <c r="AG227" s="16" t="s">
        <v>181</v>
      </c>
      <c r="AH227" s="16" t="s">
        <v>227</v>
      </c>
      <c r="AI227" s="54"/>
      <c r="AJ227" s="278">
        <v>24550000000</v>
      </c>
      <c r="AK227" s="224" t="e">
        <f t="shared" ca="1" si="161"/>
        <v>#NAME?</v>
      </c>
      <c r="AL227" s="278">
        <v>24550000000</v>
      </c>
      <c r="AM227" s="224" t="e">
        <f t="shared" ca="1" si="162"/>
        <v>#NAME?</v>
      </c>
      <c r="AN227" s="278">
        <v>0.1</v>
      </c>
      <c r="AO227" s="185" t="e">
        <f t="shared" ca="1" si="63"/>
        <v>#NAME?</v>
      </c>
      <c r="AP227" s="185" t="s">
        <v>264</v>
      </c>
      <c r="AQ227" s="16" t="s">
        <v>181</v>
      </c>
      <c r="AR227" s="16" t="s">
        <v>181</v>
      </c>
      <c r="AS227" s="16" t="s">
        <v>42</v>
      </c>
      <c r="AT227" s="159"/>
      <c r="AU227" s="159"/>
      <c r="AV227" s="16" t="s">
        <v>190</v>
      </c>
      <c r="AW227" s="16" t="s">
        <v>227</v>
      </c>
      <c r="AX227" s="16" t="s">
        <v>227</v>
      </c>
      <c r="AY227" s="16" t="s">
        <v>227</v>
      </c>
      <c r="AZ227" s="54">
        <v>356000</v>
      </c>
      <c r="BA227" s="55" t="e">
        <f t="shared" ca="1" si="163"/>
        <v>#NAME?</v>
      </c>
      <c r="BB227" s="278">
        <v>21898</v>
      </c>
      <c r="BC227" s="278">
        <v>1552290</v>
      </c>
      <c r="BD227" s="62" t="e">
        <f t="shared" ca="1" si="164"/>
        <v>#NAME?</v>
      </c>
      <c r="BE227" s="277">
        <f t="shared" si="165"/>
        <v>1.4106900128197696E-2</v>
      </c>
      <c r="BF227" s="62" t="e">
        <f t="shared" ca="1" si="166"/>
        <v>#NAME?</v>
      </c>
      <c r="BG227" s="16" t="s">
        <v>202</v>
      </c>
      <c r="BI227" s="16" t="s">
        <v>227</v>
      </c>
      <c r="BJ227" s="16">
        <v>8</v>
      </c>
      <c r="BK227" s="278">
        <v>4</v>
      </c>
      <c r="BL227" s="16" t="s">
        <v>227</v>
      </c>
      <c r="BM227" s="16" t="s">
        <v>227</v>
      </c>
      <c r="BN227" s="16" t="s">
        <v>227</v>
      </c>
      <c r="BO227" s="16" t="s">
        <v>190</v>
      </c>
      <c r="BP227" s="16">
        <v>7</v>
      </c>
      <c r="BQ227" s="16">
        <v>7</v>
      </c>
      <c r="BR227" s="16">
        <v>0</v>
      </c>
      <c r="BS227" s="16">
        <v>0</v>
      </c>
      <c r="BT227" s="205"/>
      <c r="BU227" s="16">
        <v>5</v>
      </c>
      <c r="BV227" s="16">
        <v>2</v>
      </c>
      <c r="BW227" s="16">
        <v>44</v>
      </c>
      <c r="BX227" s="16" t="s">
        <v>227</v>
      </c>
      <c r="BY227" s="205"/>
      <c r="BZ227" s="16">
        <v>3</v>
      </c>
      <c r="CA227" s="16">
        <v>0</v>
      </c>
      <c r="CB227" s="16">
        <v>33</v>
      </c>
      <c r="CC227" s="16" t="s">
        <v>227</v>
      </c>
      <c r="CD227" s="205"/>
      <c r="CE227" s="16">
        <v>2</v>
      </c>
      <c r="CF227" s="16">
        <v>0</v>
      </c>
      <c r="CG227" s="16">
        <v>41</v>
      </c>
      <c r="CH227" s="16" t="s">
        <v>227</v>
      </c>
      <c r="CI227" s="205"/>
      <c r="CJ227" s="16">
        <v>5</v>
      </c>
      <c r="CK227" s="16">
        <v>0</v>
      </c>
      <c r="CL227" s="16">
        <v>30</v>
      </c>
      <c r="CM227" s="16" t="s">
        <v>227</v>
      </c>
      <c r="CN227" s="205"/>
      <c r="CS227" s="205"/>
      <c r="CX227" s="205"/>
      <c r="DC227" s="205"/>
      <c r="DH227" s="205"/>
      <c r="DM227" s="205"/>
      <c r="DN227" s="205"/>
      <c r="DO227" s="205"/>
      <c r="DQ227" s="206"/>
      <c r="DR227" s="188">
        <f t="shared" si="64"/>
        <v>3.75</v>
      </c>
      <c r="DS227" s="188"/>
      <c r="DT227" s="189">
        <f t="shared" si="65"/>
        <v>2</v>
      </c>
      <c r="DU227" s="189"/>
      <c r="DV227" s="188">
        <f t="shared" si="66"/>
        <v>37</v>
      </c>
      <c r="DW227" s="183" t="e">
        <f t="shared" ca="1" si="67"/>
        <v>#NAME?</v>
      </c>
      <c r="DX227" s="207"/>
      <c r="DY227" s="190" t="e">
        <f t="shared" ca="1" si="68"/>
        <v>#NAME?</v>
      </c>
      <c r="DZ227" s="191" t="str">
        <f t="shared" si="338"/>
        <v/>
      </c>
      <c r="EA227" s="191" t="str">
        <f t="shared" si="339"/>
        <v/>
      </c>
      <c r="EB227" s="191" t="str">
        <f t="shared" si="340"/>
        <v/>
      </c>
      <c r="EC227" s="208" t="e">
        <f t="shared" ca="1" si="72"/>
        <v>#NAME?</v>
      </c>
      <c r="ED227" s="36" t="str">
        <f t="shared" si="73"/>
        <v>Equity - Common</v>
      </c>
      <c r="EE227" s="193">
        <f>COUNTIF($ED$2:$ED$92, ED227)/(COUNTIF($ED$2:$ED$92, "&lt;&gt;""") - COUNTIF($ED$2:$ED$92, ""))</f>
        <v>0.32222222222222224</v>
      </c>
      <c r="EF227" s="36" t="str">
        <f t="shared" si="74"/>
        <v>Growth</v>
      </c>
      <c r="EG227" s="207"/>
      <c r="EH227" s="194" t="e">
        <f t="shared" ca="1" si="75"/>
        <v>#NAME?</v>
      </c>
      <c r="EI227" s="194" t="e">
        <f t="shared" ca="1" si="76"/>
        <v>#NAME?</v>
      </c>
      <c r="EJ227" s="209" t="e">
        <f t="shared" ca="1" si="77"/>
        <v>#NAME?</v>
      </c>
      <c r="EK227" s="208" t="e">
        <f t="shared" ca="1" si="341"/>
        <v>#NAME?</v>
      </c>
      <c r="EL227" s="36" t="str">
        <f t="shared" si="79"/>
        <v>No</v>
      </c>
      <c r="EM227" s="207"/>
      <c r="EN227" s="192">
        <f t="shared" si="342"/>
        <v>1.3571428571428572</v>
      </c>
      <c r="EO227" s="192">
        <f t="shared" si="343"/>
        <v>3</v>
      </c>
      <c r="EP227" s="209">
        <f t="shared" si="82"/>
        <v>4.3571428571428577</v>
      </c>
      <c r="EQ227" s="210">
        <f t="shared" si="344"/>
        <v>2.8504672897196266</v>
      </c>
      <c r="ER227" s="36" t="e">
        <f t="shared" ca="1" si="84"/>
        <v>#NAME?</v>
      </c>
      <c r="ES227" s="40">
        <f ca="1">COUNTIF($ER$2:$ER$92, ER227)/(COUNTIF($ER$2:$ER$92, "&lt;&gt;""") - COUNTIF($ER$2:$ER$92, ""))</f>
        <v>1</v>
      </c>
      <c r="ET227" s="36">
        <f t="shared" si="85"/>
        <v>4</v>
      </c>
      <c r="EU227" s="40">
        <f>COUNTIF($ET$2:$ET$92, ET227)/(COUNTIF($ET$2:$ET$92, "&lt;&gt;""") - COUNTIF($ET$2:$ET$92, ""))</f>
        <v>4.4444444444444446E-2</v>
      </c>
      <c r="EV227" s="36">
        <f t="shared" si="86"/>
        <v>7</v>
      </c>
      <c r="EW227" s="40">
        <f>COUNTIF($EV$2:$EV$92, EV227)/(COUNTIF($EV$2:$EV$92, "&lt;&gt;""") - COUNTIF($EV$2:$EV$92, ""))</f>
        <v>4.4444444444444446E-2</v>
      </c>
      <c r="EX227" s="36" t="str">
        <f t="shared" si="87"/>
        <v>Yes</v>
      </c>
      <c r="EY227" s="40">
        <f>COUNTIF($EX$2:$EX$92, EX227)/(COUNTIF($EX$2:$EX$92, "&lt;&gt;""") - COUNTIF($EX$2:$EX$92, ""))</f>
        <v>0.27777777777777779</v>
      </c>
      <c r="EZ227" s="36" t="str">
        <f t="shared" ref="EZ227:FB227" si="370">BM227</f>
        <v>Yes</v>
      </c>
      <c r="FA227" s="36" t="str">
        <f t="shared" si="370"/>
        <v>Yes</v>
      </c>
      <c r="FB227" s="36" t="str">
        <f t="shared" si="370"/>
        <v>No</v>
      </c>
      <c r="FC227" s="207"/>
      <c r="FD227" s="36" t="str">
        <f t="shared" si="89"/>
        <v>Recurring</v>
      </c>
      <c r="FE227" s="40">
        <f>COUNTIF($FD$2:$FD$92, FD227)/(COUNTIF($FD$2:$FD$92, "&lt;&gt;""") - COUNTIF($FD$2:$FD$92, ""))</f>
        <v>0.4</v>
      </c>
      <c r="FF227" s="36" t="str">
        <f t="shared" si="90"/>
        <v>B2B</v>
      </c>
      <c r="FG227" s="40">
        <f>COUNTIF($FF$2:$FF$92, FF227)/(COUNTIF($FF$2:$FF$92, "&lt;&gt;""") - COUNTIF($FF$2:$FF$92, ""))</f>
        <v>0.24444444444444444</v>
      </c>
      <c r="FH227" s="36" t="str">
        <f t="shared" si="91"/>
        <v>High</v>
      </c>
      <c r="FI227" s="40">
        <f>COUNTIF($FH$2:$FH$92, FH227)/(COUNTIF($FH$2:$FH$92, "&lt;&gt;""") - COUNTIF($FH$2:$FH$92, ""))</f>
        <v>0.53333333333333333</v>
      </c>
      <c r="FJ227" s="36" t="str">
        <f t="shared" si="92"/>
        <v>Low</v>
      </c>
      <c r="FK227" s="40">
        <f>COUNTIF($FJ$2:$FJ$92, FJ227)/(COUNTIF($FJ$2:$FJ$92, "&lt;&gt;""") - COUNTIF($FJ$2:$FJ$92, ""))</f>
        <v>0.41111111111111109</v>
      </c>
      <c r="FL227" s="207"/>
      <c r="FM227" s="192">
        <f t="shared" si="93"/>
        <v>5</v>
      </c>
      <c r="FN227" s="192" t="e">
        <f t="shared" ca="1" si="94"/>
        <v>#NAME?</v>
      </c>
      <c r="FO227" s="192" t="e">
        <f t="shared" ca="1" si="95"/>
        <v>#NAME?</v>
      </c>
      <c r="FP227" s="192" t="e">
        <f t="shared" ca="1" si="96"/>
        <v>#NAME?</v>
      </c>
      <c r="FQ227" s="209" t="e">
        <f t="shared" ca="1" si="97"/>
        <v>#NAME?</v>
      </c>
      <c r="FR227" s="208" t="e">
        <f t="shared" ca="1" si="346"/>
        <v>#NAME?</v>
      </c>
      <c r="FS227" s="36" t="str">
        <f t="shared" si="99"/>
        <v>Pre-Profit</v>
      </c>
      <c r="FT227" s="196">
        <f>COUNTIF($FS$2:$FS$92, FS227)/(COUNTIF($FS$2:$FS$92, "&lt;&gt;""") - COUNTIF($FZ$2:$FZ$92, ""))</f>
        <v>0.51111111111111107</v>
      </c>
      <c r="FU227" s="207"/>
      <c r="FV227" s="192" t="e">
        <f t="shared" ca="1" si="100"/>
        <v>#NAME?</v>
      </c>
      <c r="FW227" s="197" t="e">
        <f t="shared" ca="1" si="101"/>
        <v>#NAME?</v>
      </c>
      <c r="FX227" s="209" t="e">
        <f t="shared" ca="1" si="102"/>
        <v>#NAME?</v>
      </c>
      <c r="FY227" s="211" t="e">
        <f t="shared" ca="1" si="347"/>
        <v>#NAME?</v>
      </c>
      <c r="FZ227" s="36" t="str">
        <f t="shared" si="104"/>
        <v>Yes</v>
      </c>
      <c r="GA227" s="196">
        <f>COUNTIF($FZ$2:$FZ$92, FZ227)/(COUNTIF($FZ$2:$FZ$92, "&lt;&gt;""") - COUNTIF($FZ$2:$FZ$92, ""))</f>
        <v>0.23333333333333334</v>
      </c>
      <c r="GB227" s="196">
        <f t="shared" si="105"/>
        <v>0</v>
      </c>
      <c r="GC227" s="196">
        <f>COUNTIF($GB$2:$GB$92, GB227)/(COUNTIF($GB$2:$GB$92, "&lt;&gt;""") - COUNTIF($GB$2:$GB$92, ""))</f>
        <v>1.1111111111111112E-2</v>
      </c>
      <c r="GD227" s="196">
        <f t="shared" si="106"/>
        <v>0</v>
      </c>
      <c r="GE227" s="196">
        <f>COUNTIF($GD$2:$GD$92, GD227)/(COUNTIF($GD$2:$GD$92, "&lt;&gt;""") - COUNTIF($GD$2:$GD$92, ""))</f>
        <v>1.1111111111111112E-2</v>
      </c>
      <c r="GF227" s="207"/>
      <c r="GG227" s="36"/>
      <c r="GH227" s="209" t="e">
        <f t="shared" ca="1" si="107"/>
        <v>#NAME?</v>
      </c>
      <c r="GI227" s="212" t="e">
        <f t="shared" ca="1" si="348"/>
        <v>#NAME?</v>
      </c>
    </row>
    <row r="228" spans="1:191" ht="15.75" customHeight="1">
      <c r="A228" s="171"/>
      <c r="B228" s="171" t="s">
        <v>501</v>
      </c>
      <c r="C228" s="16">
        <v>1793635</v>
      </c>
      <c r="D228" s="233" t="s">
        <v>1673</v>
      </c>
      <c r="E228" s="234">
        <v>43819.505555555559</v>
      </c>
      <c r="F228" s="16" t="s">
        <v>337</v>
      </c>
      <c r="G228" s="235" t="s">
        <v>1674</v>
      </c>
      <c r="H228" s="235" t="s">
        <v>1675</v>
      </c>
      <c r="I228" s="241">
        <v>43906</v>
      </c>
      <c r="J228" s="233" t="s">
        <v>1676</v>
      </c>
      <c r="K228" s="233" t="s">
        <v>1673</v>
      </c>
      <c r="M228" s="243" t="s">
        <v>28</v>
      </c>
      <c r="N228" s="16" t="s">
        <v>168</v>
      </c>
      <c r="O228" s="16" t="s">
        <v>30</v>
      </c>
      <c r="P228" s="16" t="s">
        <v>174</v>
      </c>
      <c r="Q228" s="16" t="s">
        <v>35</v>
      </c>
      <c r="S228" s="16" t="s">
        <v>216</v>
      </c>
      <c r="T228" s="237"/>
      <c r="U228" s="213"/>
      <c r="V228" s="54">
        <v>12304998</v>
      </c>
      <c r="W228" s="54"/>
      <c r="X228" s="226"/>
      <c r="Y228" s="55" t="str">
        <f t="shared" si="158"/>
        <v/>
      </c>
      <c r="Z228" s="274">
        <f t="shared" si="159"/>
        <v>12304998</v>
      </c>
      <c r="AA228" s="183" t="e">
        <f t="shared" ca="1" si="160"/>
        <v>#NAME?</v>
      </c>
      <c r="AB228" s="16" t="s">
        <v>178</v>
      </c>
      <c r="AC228" s="16" t="s">
        <v>218</v>
      </c>
      <c r="AD228" s="16" t="s">
        <v>38</v>
      </c>
      <c r="AE228" s="16" t="s">
        <v>227</v>
      </c>
      <c r="AF228" s="16" t="s">
        <v>181</v>
      </c>
      <c r="AG228" s="16" t="s">
        <v>181</v>
      </c>
      <c r="AH228" s="16" t="s">
        <v>190</v>
      </c>
      <c r="AI228" s="54"/>
      <c r="AJ228" s="278">
        <v>200000000000</v>
      </c>
      <c r="AK228" s="224" t="e">
        <f t="shared" ca="1" si="161"/>
        <v>#NAME?</v>
      </c>
      <c r="AL228" s="278">
        <v>10200000000</v>
      </c>
      <c r="AM228" s="224" t="e">
        <f t="shared" ca="1" si="162"/>
        <v>#NAME?</v>
      </c>
      <c r="AN228" s="278">
        <v>0.19</v>
      </c>
      <c r="AO228" s="185" t="e">
        <f t="shared" ca="1" si="63"/>
        <v>#NAME?</v>
      </c>
      <c r="AP228" s="185" t="s">
        <v>264</v>
      </c>
      <c r="AQ228" s="16" t="s">
        <v>181</v>
      </c>
      <c r="AR228" s="16" t="s">
        <v>181</v>
      </c>
      <c r="AS228" s="16" t="s">
        <v>42</v>
      </c>
      <c r="AT228" s="159"/>
      <c r="AU228" s="159"/>
      <c r="AV228" s="16" t="s">
        <v>190</v>
      </c>
      <c r="AW228" s="16" t="s">
        <v>190</v>
      </c>
      <c r="AX228" s="16" t="s">
        <v>227</v>
      </c>
      <c r="AY228" s="16" t="s">
        <v>227</v>
      </c>
      <c r="AZ228" s="54">
        <v>179360</v>
      </c>
      <c r="BA228" s="55" t="e">
        <f t="shared" ca="1" si="163"/>
        <v>#NAME?</v>
      </c>
      <c r="BB228" s="278">
        <v>1343</v>
      </c>
      <c r="BC228" s="278">
        <v>100000</v>
      </c>
      <c r="BD228" s="62" t="e">
        <f t="shared" ca="1" si="164"/>
        <v>#NAME?</v>
      </c>
      <c r="BE228" s="277">
        <f t="shared" si="165"/>
        <v>1.3429999999999999E-2</v>
      </c>
      <c r="BF228" s="62" t="e">
        <f t="shared" ca="1" si="166"/>
        <v>#NAME?</v>
      </c>
      <c r="BG228" s="16" t="s">
        <v>219</v>
      </c>
      <c r="BI228" s="16" t="s">
        <v>227</v>
      </c>
      <c r="BJ228" s="16">
        <v>0</v>
      </c>
      <c r="BK228" s="278">
        <v>3</v>
      </c>
      <c r="BL228" s="16" t="s">
        <v>190</v>
      </c>
      <c r="BM228" s="16" t="s">
        <v>227</v>
      </c>
      <c r="BN228" s="16" t="s">
        <v>190</v>
      </c>
      <c r="BO228" s="16" t="s">
        <v>190</v>
      </c>
      <c r="BP228" s="16">
        <v>3</v>
      </c>
      <c r="BQ228" s="16">
        <v>4</v>
      </c>
      <c r="BR228" s="16">
        <v>0</v>
      </c>
      <c r="BS228" s="16">
        <v>0</v>
      </c>
      <c r="BT228" s="205"/>
      <c r="BU228" s="16">
        <v>0</v>
      </c>
      <c r="BV228" s="16">
        <v>0</v>
      </c>
      <c r="BW228" s="16">
        <v>29</v>
      </c>
      <c r="BX228" s="16" t="s">
        <v>190</v>
      </c>
      <c r="BY228" s="205"/>
      <c r="BZ228" s="16">
        <v>0</v>
      </c>
      <c r="CA228" s="16">
        <v>0</v>
      </c>
      <c r="CB228" s="16">
        <v>29</v>
      </c>
      <c r="CC228" s="16" t="s">
        <v>190</v>
      </c>
      <c r="CD228" s="205"/>
      <c r="CE228" s="16">
        <v>0</v>
      </c>
      <c r="CF228" s="16">
        <v>0</v>
      </c>
      <c r="CI228" s="205"/>
      <c r="CN228" s="205"/>
      <c r="CS228" s="205"/>
      <c r="CX228" s="205"/>
      <c r="DC228" s="205"/>
      <c r="DH228" s="205"/>
      <c r="DM228" s="205"/>
      <c r="DN228" s="205"/>
      <c r="DO228" s="205"/>
      <c r="DQ228" s="206"/>
      <c r="DR228" s="188">
        <f t="shared" si="64"/>
        <v>0</v>
      </c>
      <c r="DS228" s="188"/>
      <c r="DT228" s="189">
        <f t="shared" si="65"/>
        <v>0</v>
      </c>
      <c r="DU228" s="189"/>
      <c r="DV228" s="188">
        <f t="shared" si="66"/>
        <v>29</v>
      </c>
      <c r="DW228" s="183" t="e">
        <f t="shared" ca="1" si="67"/>
        <v>#NAME?</v>
      </c>
      <c r="DX228" s="207"/>
      <c r="DY228" s="190" t="e">
        <f t="shared" ca="1" si="68"/>
        <v>#NAME?</v>
      </c>
      <c r="DZ228" s="191" t="str">
        <f t="shared" si="338"/>
        <v/>
      </c>
      <c r="EA228" s="191" t="str">
        <f t="shared" si="339"/>
        <v/>
      </c>
      <c r="EB228" s="191" t="str">
        <f t="shared" si="340"/>
        <v/>
      </c>
      <c r="EC228" s="208" t="e">
        <f t="shared" ca="1" si="72"/>
        <v>#NAME?</v>
      </c>
      <c r="ED228" s="36" t="str">
        <f t="shared" si="73"/>
        <v>Equity - Common</v>
      </c>
      <c r="EE228" s="193">
        <f>COUNTIF($ED$2:$ED$92, ED228)/(COUNTIF($ED$2:$ED$92, "&lt;&gt;""") - COUNTIF($ED$2:$ED$92, ""))</f>
        <v>0.32222222222222224</v>
      </c>
      <c r="EF228" s="36" t="str">
        <f t="shared" si="74"/>
        <v>Early</v>
      </c>
      <c r="EG228" s="207"/>
      <c r="EH228" s="194" t="e">
        <f t="shared" ca="1" si="75"/>
        <v>#NAME?</v>
      </c>
      <c r="EI228" s="194" t="e">
        <f t="shared" ca="1" si="76"/>
        <v>#NAME?</v>
      </c>
      <c r="EJ228" s="209" t="e">
        <f t="shared" ca="1" si="77"/>
        <v>#NAME?</v>
      </c>
      <c r="EK228" s="208" t="e">
        <f t="shared" ca="1" si="341"/>
        <v>#NAME?</v>
      </c>
      <c r="EL228" s="36" t="str">
        <f t="shared" si="79"/>
        <v>No</v>
      </c>
      <c r="EM228" s="207"/>
      <c r="EN228" s="192">
        <f t="shared" si="342"/>
        <v>1</v>
      </c>
      <c r="EO228" s="192">
        <f t="shared" si="343"/>
        <v>1</v>
      </c>
      <c r="EP228" s="209">
        <f t="shared" si="82"/>
        <v>2</v>
      </c>
      <c r="EQ228" s="210">
        <f t="shared" si="344"/>
        <v>1</v>
      </c>
      <c r="ER228" s="36" t="e">
        <f t="shared" ca="1" si="84"/>
        <v>#NAME?</v>
      </c>
      <c r="ES228" s="40">
        <f ca="1">COUNTIF($ER$2:$ER$92, ER228)/(COUNTIF($ER$2:$ER$92, "&lt;&gt;""") - COUNTIF($ER$2:$ER$92, ""))</f>
        <v>1</v>
      </c>
      <c r="ET228" s="36">
        <f t="shared" si="85"/>
        <v>3</v>
      </c>
      <c r="EU228" s="40">
        <f>COUNTIF($ET$2:$ET$92, ET228)/(COUNTIF($ET$2:$ET$92, "&lt;&gt;""") - COUNTIF($ET$2:$ET$92, ""))</f>
        <v>4.4444444444444446E-2</v>
      </c>
      <c r="EV228" s="36">
        <f t="shared" si="86"/>
        <v>4</v>
      </c>
      <c r="EW228" s="40">
        <f>COUNTIF($EV$2:$EV$92, EV228)/(COUNTIF($EV$2:$EV$92, "&lt;&gt;""") - COUNTIF($EV$2:$EV$92, ""))</f>
        <v>0.12222222222222222</v>
      </c>
      <c r="EX228" s="36" t="str">
        <f t="shared" si="87"/>
        <v>No</v>
      </c>
      <c r="EY228" s="40">
        <f>COUNTIF($EX$2:$EX$92, EX228)/(COUNTIF($EX$2:$EX$92, "&lt;&gt;""") - COUNTIF($EX$2:$EX$92, ""))</f>
        <v>0.72222222222222221</v>
      </c>
      <c r="EZ228" s="36" t="str">
        <f t="shared" ref="EZ228:FB228" si="371">BM228</f>
        <v>Yes</v>
      </c>
      <c r="FA228" s="36" t="str">
        <f t="shared" si="371"/>
        <v>No</v>
      </c>
      <c r="FB228" s="36" t="str">
        <f t="shared" si="371"/>
        <v>No</v>
      </c>
      <c r="FC228" s="207"/>
      <c r="FD228" s="36" t="str">
        <f t="shared" si="89"/>
        <v>Recurring</v>
      </c>
      <c r="FE228" s="40">
        <f>COUNTIF($FD$2:$FD$92, FD228)/(COUNTIF($FD$2:$FD$92, "&lt;&gt;""") - COUNTIF($FD$2:$FD$92, ""))</f>
        <v>0.4</v>
      </c>
      <c r="FF228" s="36" t="str">
        <f t="shared" si="90"/>
        <v>B2B/B2C</v>
      </c>
      <c r="FG228" s="40">
        <f>COUNTIF($FF$2:$FF$92, FF228)/(COUNTIF($FF$2:$FF$92, "&lt;&gt;""") - COUNTIF($FF$2:$FF$92, ""))</f>
        <v>0.27777777777777779</v>
      </c>
      <c r="FH228" s="36" t="str">
        <f t="shared" si="91"/>
        <v>Low</v>
      </c>
      <c r="FI228" s="40">
        <f>COUNTIF($FH$2:$FH$92, FH228)/(COUNTIF($FH$2:$FH$92, "&lt;&gt;""") - COUNTIF($FH$2:$FH$92, ""))</f>
        <v>0.46666666666666667</v>
      </c>
      <c r="FJ228" s="36" t="str">
        <f t="shared" si="92"/>
        <v>Low</v>
      </c>
      <c r="FK228" s="40">
        <f>COUNTIF($FJ$2:$FJ$92, FJ228)/(COUNTIF($FJ$2:$FJ$92, "&lt;&gt;""") - COUNTIF($FJ$2:$FJ$92, ""))</f>
        <v>0.41111111111111109</v>
      </c>
      <c r="FL228" s="207"/>
      <c r="FM228" s="192">
        <f t="shared" si="93"/>
        <v>5</v>
      </c>
      <c r="FN228" s="192" t="e">
        <f t="shared" ca="1" si="94"/>
        <v>#NAME?</v>
      </c>
      <c r="FO228" s="192" t="e">
        <f t="shared" ca="1" si="95"/>
        <v>#NAME?</v>
      </c>
      <c r="FP228" s="192" t="e">
        <f t="shared" ca="1" si="96"/>
        <v>#NAME?</v>
      </c>
      <c r="FQ228" s="209" t="e">
        <f t="shared" ca="1" si="97"/>
        <v>#NAME?</v>
      </c>
      <c r="FR228" s="208" t="e">
        <f t="shared" ca="1" si="346"/>
        <v>#NAME?</v>
      </c>
      <c r="FS228" s="36" t="str">
        <f t="shared" si="99"/>
        <v>Profitable</v>
      </c>
      <c r="FT228" s="196">
        <f>COUNTIF($FS$2:$FS$92, FS228)/(COUNTIF($FS$2:$FS$92, "&lt;&gt;""") - COUNTIF($FZ$2:$FZ$92, ""))</f>
        <v>6.6666666666666666E-2</v>
      </c>
      <c r="FU228" s="207"/>
      <c r="FV228" s="192" t="e">
        <f t="shared" ca="1" si="100"/>
        <v>#NAME?</v>
      </c>
      <c r="FW228" s="197" t="e">
        <f t="shared" ca="1" si="101"/>
        <v>#NAME?</v>
      </c>
      <c r="FX228" s="209" t="e">
        <f t="shared" ca="1" si="102"/>
        <v>#NAME?</v>
      </c>
      <c r="FY228" s="211" t="e">
        <f t="shared" ca="1" si="347"/>
        <v>#NAME?</v>
      </c>
      <c r="FZ228" s="36" t="str">
        <f t="shared" si="104"/>
        <v>No</v>
      </c>
      <c r="GA228" s="196">
        <f>COUNTIF($FZ$2:$FZ$92, FZ228)/(COUNTIF($FZ$2:$FZ$92, "&lt;&gt;""") - COUNTIF($FZ$2:$FZ$92, ""))</f>
        <v>0.76666666666666672</v>
      </c>
      <c r="GB228" s="196">
        <f t="shared" si="105"/>
        <v>0</v>
      </c>
      <c r="GC228" s="196">
        <f>COUNTIF($GB$2:$GB$92, GB228)/(COUNTIF($GB$2:$GB$92, "&lt;&gt;""") - COUNTIF($GB$2:$GB$92, ""))</f>
        <v>1.1111111111111112E-2</v>
      </c>
      <c r="GD228" s="196">
        <f t="shared" si="106"/>
        <v>0</v>
      </c>
      <c r="GE228" s="196">
        <f>COUNTIF($GD$2:$GD$92, GD228)/(COUNTIF($GD$2:$GD$92, "&lt;&gt;""") - COUNTIF($GD$2:$GD$92, ""))</f>
        <v>1.1111111111111112E-2</v>
      </c>
      <c r="GF228" s="207"/>
      <c r="GG228" s="36"/>
      <c r="GH228" s="209" t="e">
        <f t="shared" ca="1" si="107"/>
        <v>#NAME?</v>
      </c>
      <c r="GI228" s="212" t="e">
        <f t="shared" ca="1" si="348"/>
        <v>#NAME?</v>
      </c>
    </row>
    <row r="229" spans="1:191" ht="15.75" customHeight="1">
      <c r="A229" s="171"/>
      <c r="B229" s="171" t="s">
        <v>501</v>
      </c>
      <c r="C229" s="16">
        <v>1794075</v>
      </c>
      <c r="D229" s="233" t="s">
        <v>1677</v>
      </c>
      <c r="E229" s="234">
        <v>43819.51458333333</v>
      </c>
      <c r="F229" s="16" t="s">
        <v>344</v>
      </c>
      <c r="G229" s="235" t="s">
        <v>1678</v>
      </c>
      <c r="H229" s="235" t="s">
        <v>1679</v>
      </c>
      <c r="I229" s="271">
        <v>43805</v>
      </c>
      <c r="J229" s="233" t="s">
        <v>1680</v>
      </c>
      <c r="K229" s="233" t="s">
        <v>1677</v>
      </c>
      <c r="M229" s="16" t="s">
        <v>1488</v>
      </c>
      <c r="N229" s="16" t="s">
        <v>254</v>
      </c>
      <c r="O229" s="16" t="s">
        <v>30</v>
      </c>
      <c r="P229" s="16" t="s">
        <v>174</v>
      </c>
      <c r="Q229" s="16" t="s">
        <v>35</v>
      </c>
      <c r="S229" s="16" t="s">
        <v>269</v>
      </c>
      <c r="T229" s="237"/>
      <c r="U229" s="213"/>
      <c r="V229" s="54"/>
      <c r="W229" s="54">
        <v>5500000</v>
      </c>
      <c r="X229" s="226">
        <v>0</v>
      </c>
      <c r="Y229" s="55">
        <f t="shared" si="158"/>
        <v>5500000</v>
      </c>
      <c r="Z229" s="274">
        <f t="shared" si="159"/>
        <v>5500000</v>
      </c>
      <c r="AA229" s="183" t="e">
        <f t="shared" ca="1" si="160"/>
        <v>#NAME?</v>
      </c>
      <c r="AB229" s="16" t="s">
        <v>178</v>
      </c>
      <c r="AC229" s="16" t="s">
        <v>37</v>
      </c>
      <c r="AD229" s="16" t="s">
        <v>38</v>
      </c>
      <c r="AE229" s="16" t="s">
        <v>227</v>
      </c>
      <c r="AF229" s="16" t="s">
        <v>39</v>
      </c>
      <c r="AG229" s="16" t="s">
        <v>181</v>
      </c>
      <c r="AH229" s="16" t="s">
        <v>190</v>
      </c>
      <c r="AI229" s="54"/>
      <c r="AJ229" s="278">
        <v>809800000</v>
      </c>
      <c r="AK229" s="224" t="e">
        <f t="shared" ca="1" si="161"/>
        <v>#NAME?</v>
      </c>
      <c r="AL229" s="278">
        <v>809800000</v>
      </c>
      <c r="AM229" s="224" t="e">
        <f t="shared" ca="1" si="162"/>
        <v>#NAME?</v>
      </c>
      <c r="AN229" s="278">
        <v>0.12</v>
      </c>
      <c r="AO229" s="185" t="e">
        <f t="shared" ca="1" si="63"/>
        <v>#NAME?</v>
      </c>
      <c r="AP229" s="185" t="s">
        <v>211</v>
      </c>
      <c r="AQ229" s="16" t="s">
        <v>181</v>
      </c>
      <c r="AR229" s="16" t="s">
        <v>181</v>
      </c>
      <c r="AS229" s="16" t="s">
        <v>42</v>
      </c>
      <c r="AT229" s="159"/>
      <c r="AU229" s="159"/>
      <c r="AV229" s="16" t="s">
        <v>190</v>
      </c>
      <c r="AW229" s="16" t="s">
        <v>227</v>
      </c>
      <c r="AX229" s="16" t="s">
        <v>227</v>
      </c>
      <c r="AY229" s="16" t="s">
        <v>227</v>
      </c>
      <c r="AZ229" s="54">
        <v>5882</v>
      </c>
      <c r="BA229" s="55" t="e">
        <f t="shared" ca="1" si="163"/>
        <v>#NAME?</v>
      </c>
      <c r="BB229" s="278">
        <v>1673</v>
      </c>
      <c r="BC229" s="278">
        <v>170166</v>
      </c>
      <c r="BD229" s="62" t="e">
        <f t="shared" ca="1" si="164"/>
        <v>#NAME?</v>
      </c>
      <c r="BE229" s="277">
        <f t="shared" si="165"/>
        <v>9.8315762255679756E-3</v>
      </c>
      <c r="BF229" s="62" t="e">
        <f t="shared" ca="1" si="166"/>
        <v>#NAME?</v>
      </c>
      <c r="BG229" s="16" t="s">
        <v>202</v>
      </c>
      <c r="BI229" s="16" t="s">
        <v>227</v>
      </c>
      <c r="BJ229" s="16">
        <v>1</v>
      </c>
      <c r="BK229" s="278">
        <v>1</v>
      </c>
      <c r="BL229" s="16" t="s">
        <v>190</v>
      </c>
      <c r="BM229" s="16" t="s">
        <v>190</v>
      </c>
      <c r="BN229" s="16" t="s">
        <v>227</v>
      </c>
      <c r="BO229" s="16" t="s">
        <v>190</v>
      </c>
      <c r="BP229" s="16">
        <v>3</v>
      </c>
      <c r="BQ229" s="16">
        <v>1</v>
      </c>
      <c r="BR229" s="16">
        <v>3</v>
      </c>
      <c r="BS229" s="16">
        <v>0</v>
      </c>
      <c r="BT229" s="205"/>
      <c r="BU229" s="16">
        <v>0</v>
      </c>
      <c r="BV229" s="16">
        <v>1</v>
      </c>
      <c r="BW229" s="16">
        <v>42</v>
      </c>
      <c r="BX229" s="16" t="s">
        <v>227</v>
      </c>
      <c r="BY229" s="205"/>
      <c r="CD229" s="205"/>
      <c r="CI229" s="205"/>
      <c r="CN229" s="205"/>
      <c r="CS229" s="205"/>
      <c r="CX229" s="205"/>
      <c r="DC229" s="205"/>
      <c r="DH229" s="205"/>
      <c r="DM229" s="205"/>
      <c r="DN229" s="205"/>
      <c r="DO229" s="205"/>
      <c r="DQ229" s="206"/>
      <c r="DR229" s="188">
        <f t="shared" si="64"/>
        <v>0</v>
      </c>
      <c r="DS229" s="188"/>
      <c r="DT229" s="189">
        <f t="shared" si="65"/>
        <v>1</v>
      </c>
      <c r="DU229" s="189"/>
      <c r="DV229" s="188">
        <f t="shared" si="66"/>
        <v>42</v>
      </c>
      <c r="DW229" s="183" t="e">
        <f t="shared" ca="1" si="67"/>
        <v>#NAME?</v>
      </c>
      <c r="DX229" s="207"/>
      <c r="DY229" s="190" t="e">
        <f t="shared" ca="1" si="68"/>
        <v>#NAME?</v>
      </c>
      <c r="DZ229" s="191">
        <f t="shared" si="338"/>
        <v>1</v>
      </c>
      <c r="EA229" s="191" t="str">
        <f t="shared" si="339"/>
        <v/>
      </c>
      <c r="EB229" s="191" t="str">
        <f t="shared" si="340"/>
        <v/>
      </c>
      <c r="EC229" s="208" t="e">
        <f t="shared" ca="1" si="72"/>
        <v>#NAME?</v>
      </c>
      <c r="ED229" s="36" t="str">
        <f t="shared" si="73"/>
        <v>SAFE</v>
      </c>
      <c r="EE229" s="193">
        <f>COUNTIF($ED$2:$ED$92, ED229)/(COUNTIF($ED$2:$ED$92, "&lt;&gt;""") - COUNTIF($ED$2:$ED$92, ""))</f>
        <v>0.37777777777777777</v>
      </c>
      <c r="EF229" s="36" t="str">
        <f t="shared" si="74"/>
        <v>Early</v>
      </c>
      <c r="EG229" s="207"/>
      <c r="EH229" s="194" t="e">
        <f t="shared" ca="1" si="75"/>
        <v>#NAME?</v>
      </c>
      <c r="EI229" s="194" t="e">
        <f t="shared" ca="1" si="76"/>
        <v>#NAME?</v>
      </c>
      <c r="EJ229" s="209" t="e">
        <f t="shared" ca="1" si="77"/>
        <v>#NAME?</v>
      </c>
      <c r="EK229" s="208" t="e">
        <f t="shared" ca="1" si="341"/>
        <v>#NAME?</v>
      </c>
      <c r="EL229" s="36" t="str">
        <f t="shared" si="79"/>
        <v>No</v>
      </c>
      <c r="EM229" s="207"/>
      <c r="EN229" s="192">
        <f t="shared" si="342"/>
        <v>1</v>
      </c>
      <c r="EO229" s="192">
        <f t="shared" si="343"/>
        <v>2</v>
      </c>
      <c r="EP229" s="209">
        <f t="shared" si="82"/>
        <v>3</v>
      </c>
      <c r="EQ229" s="210">
        <f t="shared" si="344"/>
        <v>1.7850467289719627</v>
      </c>
      <c r="ER229" s="36" t="e">
        <f t="shared" ca="1" si="84"/>
        <v>#NAME?</v>
      </c>
      <c r="ES229" s="40">
        <f ca="1">COUNTIF($ER$2:$ER$92, ER229)/(COUNTIF($ER$2:$ER$92, "&lt;&gt;""") - COUNTIF($ER$2:$ER$92, ""))</f>
        <v>1</v>
      </c>
      <c r="ET229" s="36">
        <f t="shared" si="85"/>
        <v>1</v>
      </c>
      <c r="EU229" s="40">
        <f>COUNTIF($ET$2:$ET$92, ET229)/(COUNTIF($ET$2:$ET$92, "&lt;&gt;""") - COUNTIF($ET$2:$ET$92, ""))</f>
        <v>0.45555555555555555</v>
      </c>
      <c r="EV229" s="36">
        <f t="shared" si="86"/>
        <v>1</v>
      </c>
      <c r="EW229" s="40">
        <f>COUNTIF($EV$2:$EV$92, EV229)/(COUNTIF($EV$2:$EV$92, "&lt;&gt;""") - COUNTIF($EV$2:$EV$92, ""))</f>
        <v>7.7777777777777779E-2</v>
      </c>
      <c r="EX229" s="36" t="str">
        <f t="shared" si="87"/>
        <v>No</v>
      </c>
      <c r="EY229" s="40">
        <f>COUNTIF($EX$2:$EX$92, EX229)/(COUNTIF($EX$2:$EX$92, "&lt;&gt;""") - COUNTIF($EX$2:$EX$92, ""))</f>
        <v>0.72222222222222221</v>
      </c>
      <c r="EZ229" s="36" t="str">
        <f t="shared" ref="EZ229:FB229" si="372">BM229</f>
        <v>No</v>
      </c>
      <c r="FA229" s="36" t="str">
        <f t="shared" si="372"/>
        <v>Yes</v>
      </c>
      <c r="FB229" s="36" t="str">
        <f t="shared" si="372"/>
        <v>No</v>
      </c>
      <c r="FC229" s="207"/>
      <c r="FD229" s="36" t="str">
        <f t="shared" si="89"/>
        <v>Recurring</v>
      </c>
      <c r="FE229" s="40">
        <f>COUNTIF($FD$2:$FD$92, FD229)/(COUNTIF($FD$2:$FD$92, "&lt;&gt;""") - COUNTIF($FD$2:$FD$92, ""))</f>
        <v>0.4</v>
      </c>
      <c r="FF229" s="36" t="str">
        <f t="shared" si="90"/>
        <v>B2B</v>
      </c>
      <c r="FG229" s="40">
        <f>COUNTIF($FF$2:$FF$92, FF229)/(COUNTIF($FF$2:$FF$92, "&lt;&gt;""") - COUNTIF($FF$2:$FF$92, ""))</f>
        <v>0.24444444444444444</v>
      </c>
      <c r="FH229" s="36" t="str">
        <f t="shared" si="91"/>
        <v>High</v>
      </c>
      <c r="FI229" s="40">
        <f>COUNTIF($FH$2:$FH$92, FH229)/(COUNTIF($FH$2:$FH$92, "&lt;&gt;""") - COUNTIF($FH$2:$FH$92, ""))</f>
        <v>0.53333333333333333</v>
      </c>
      <c r="FJ229" s="36" t="str">
        <f t="shared" si="92"/>
        <v>Low</v>
      </c>
      <c r="FK229" s="40">
        <f>COUNTIF($FJ$2:$FJ$92, FJ229)/(COUNTIF($FJ$2:$FJ$92, "&lt;&gt;""") - COUNTIF($FJ$2:$FJ$92, ""))</f>
        <v>0.41111111111111109</v>
      </c>
      <c r="FL229" s="207"/>
      <c r="FM229" s="192">
        <f t="shared" si="93"/>
        <v>5</v>
      </c>
      <c r="FN229" s="192" t="e">
        <f t="shared" ca="1" si="94"/>
        <v>#NAME?</v>
      </c>
      <c r="FO229" s="192" t="e">
        <f t="shared" ca="1" si="95"/>
        <v>#NAME?</v>
      </c>
      <c r="FP229" s="192" t="e">
        <f t="shared" ca="1" si="96"/>
        <v>#NAME?</v>
      </c>
      <c r="FQ229" s="209" t="e">
        <f t="shared" ca="1" si="97"/>
        <v>#NAME?</v>
      </c>
      <c r="FR229" s="208" t="e">
        <f t="shared" ca="1" si="346"/>
        <v>#NAME?</v>
      </c>
      <c r="FS229" s="36" t="str">
        <f t="shared" si="99"/>
        <v>Pre-Profit</v>
      </c>
      <c r="FT229" s="196">
        <f>COUNTIF($FS$2:$FS$92, FS229)/(COUNTIF($FS$2:$FS$92, "&lt;&gt;""") - COUNTIF($FZ$2:$FZ$92, ""))</f>
        <v>0.51111111111111107</v>
      </c>
      <c r="FU229" s="207"/>
      <c r="FV229" s="192" t="e">
        <f t="shared" ca="1" si="100"/>
        <v>#NAME?</v>
      </c>
      <c r="FW229" s="197" t="e">
        <f t="shared" ca="1" si="101"/>
        <v>#NAME?</v>
      </c>
      <c r="FX229" s="209" t="e">
        <f t="shared" ca="1" si="102"/>
        <v>#NAME?</v>
      </c>
      <c r="FY229" s="211" t="e">
        <f t="shared" ca="1" si="347"/>
        <v>#NAME?</v>
      </c>
      <c r="FZ229" s="36" t="str">
        <f t="shared" si="104"/>
        <v>Yes</v>
      </c>
      <c r="GA229" s="196">
        <f>COUNTIF($FZ$2:$FZ$92, FZ229)/(COUNTIF($FZ$2:$FZ$92, "&lt;&gt;""") - COUNTIF($FZ$2:$FZ$92, ""))</f>
        <v>0.23333333333333334</v>
      </c>
      <c r="GB229" s="196">
        <f t="shared" si="105"/>
        <v>0</v>
      </c>
      <c r="GC229" s="196">
        <f>COUNTIF($GB$2:$GB$92, GB229)/(COUNTIF($GB$2:$GB$92, "&lt;&gt;""") - COUNTIF($GB$2:$GB$92, ""))</f>
        <v>1.1111111111111112E-2</v>
      </c>
      <c r="GD229" s="196">
        <f t="shared" si="106"/>
        <v>0</v>
      </c>
      <c r="GE229" s="196">
        <f>COUNTIF($GD$2:$GD$92, GD229)/(COUNTIF($GD$2:$GD$92, "&lt;&gt;""") - COUNTIF($GD$2:$GD$92, ""))</f>
        <v>1.1111111111111112E-2</v>
      </c>
      <c r="GF229" s="207"/>
      <c r="GG229" s="36"/>
      <c r="GH229" s="209" t="e">
        <f t="shared" ca="1" si="107"/>
        <v>#NAME?</v>
      </c>
      <c r="GI229" s="212" t="e">
        <f t="shared" ca="1" si="348"/>
        <v>#NAME?</v>
      </c>
    </row>
    <row r="230" spans="1:191" ht="15.75" customHeight="1">
      <c r="A230" s="171"/>
      <c r="B230" s="171" t="s">
        <v>501</v>
      </c>
      <c r="C230" s="16">
        <v>1797125</v>
      </c>
      <c r="D230" s="233" t="s">
        <v>1681</v>
      </c>
      <c r="E230" s="234">
        <v>43822.425000000003</v>
      </c>
      <c r="F230" s="16" t="s">
        <v>337</v>
      </c>
      <c r="G230" s="235" t="s">
        <v>1682</v>
      </c>
      <c r="H230" s="235" t="s">
        <v>1683</v>
      </c>
      <c r="I230" s="271">
        <v>43909</v>
      </c>
      <c r="J230" s="233" t="s">
        <v>1684</v>
      </c>
      <c r="K230" s="233" t="s">
        <v>1681</v>
      </c>
      <c r="M230" s="16" t="s">
        <v>929</v>
      </c>
      <c r="N230" s="16" t="s">
        <v>213</v>
      </c>
      <c r="O230" s="16" t="s">
        <v>173</v>
      </c>
      <c r="P230" s="16" t="s">
        <v>174</v>
      </c>
      <c r="Q230" s="16" t="s">
        <v>35</v>
      </c>
      <c r="S230" s="16" t="s">
        <v>216</v>
      </c>
      <c r="T230" s="237"/>
      <c r="U230" s="213"/>
      <c r="V230" s="54">
        <v>12000000</v>
      </c>
      <c r="W230" s="54"/>
      <c r="X230" s="226"/>
      <c r="Y230" s="55" t="str">
        <f t="shared" si="158"/>
        <v/>
      </c>
      <c r="Z230" s="274">
        <f t="shared" si="159"/>
        <v>12000000</v>
      </c>
      <c r="AA230" s="183" t="e">
        <f t="shared" ca="1" si="160"/>
        <v>#NAME?</v>
      </c>
      <c r="AB230" s="16" t="s">
        <v>36</v>
      </c>
      <c r="AC230" s="16" t="s">
        <v>218</v>
      </c>
      <c r="AD230" s="16" t="s">
        <v>38</v>
      </c>
      <c r="AE230" s="16" t="s">
        <v>227</v>
      </c>
      <c r="AF230" s="16" t="s">
        <v>181</v>
      </c>
      <c r="AG230" s="16" t="s">
        <v>181</v>
      </c>
      <c r="AH230" s="16" t="s">
        <v>190</v>
      </c>
      <c r="AI230" s="54"/>
      <c r="AJ230" s="278">
        <v>13110000000</v>
      </c>
      <c r="AK230" s="224" t="e">
        <f t="shared" ca="1" si="161"/>
        <v>#NAME?</v>
      </c>
      <c r="AL230" s="278">
        <v>13110000000</v>
      </c>
      <c r="AM230" s="224" t="e">
        <f t="shared" ca="1" si="162"/>
        <v>#NAME?</v>
      </c>
      <c r="AN230" s="278">
        <v>0.13</v>
      </c>
      <c r="AO230" s="185" t="e">
        <f t="shared" ca="1" si="63"/>
        <v>#NAME?</v>
      </c>
      <c r="AP230" s="185" t="s">
        <v>211</v>
      </c>
      <c r="AQ230" s="16" t="s">
        <v>181</v>
      </c>
      <c r="AR230" s="16" t="s">
        <v>181</v>
      </c>
      <c r="AS230" s="16" t="s">
        <v>182</v>
      </c>
      <c r="AT230" s="159"/>
      <c r="AU230" s="159"/>
      <c r="AV230" s="16" t="s">
        <v>227</v>
      </c>
      <c r="AW230" s="16" t="s">
        <v>190</v>
      </c>
      <c r="AX230" s="16" t="s">
        <v>227</v>
      </c>
      <c r="AY230" s="16" t="s">
        <v>227</v>
      </c>
      <c r="AZ230" s="54">
        <v>353000</v>
      </c>
      <c r="BA230" s="55" t="e">
        <f t="shared" ca="1" si="163"/>
        <v>#NAME?</v>
      </c>
      <c r="BB230" s="278">
        <v>15035</v>
      </c>
      <c r="BC230" s="278">
        <v>0</v>
      </c>
      <c r="BD230" s="62" t="e">
        <f t="shared" ca="1" si="164"/>
        <v>#NAME?</v>
      </c>
      <c r="BE230" s="277">
        <f t="shared" si="165"/>
        <v>1</v>
      </c>
      <c r="BF230" s="62" t="e">
        <f t="shared" ca="1" si="166"/>
        <v>#NAME?</v>
      </c>
      <c r="BG230" s="16" t="s">
        <v>219</v>
      </c>
      <c r="BI230" s="16" t="s">
        <v>227</v>
      </c>
      <c r="BJ230" s="16">
        <v>0</v>
      </c>
      <c r="BK230" s="278">
        <v>2</v>
      </c>
      <c r="BL230" s="16" t="s">
        <v>227</v>
      </c>
      <c r="BM230" s="16" t="s">
        <v>190</v>
      </c>
      <c r="BN230" s="16" t="s">
        <v>190</v>
      </c>
      <c r="BO230" s="16" t="s">
        <v>190</v>
      </c>
      <c r="BP230" s="16">
        <v>1</v>
      </c>
      <c r="BQ230" s="16">
        <v>13</v>
      </c>
      <c r="BR230" s="16">
        <v>0</v>
      </c>
      <c r="BS230" s="16">
        <v>0</v>
      </c>
      <c r="BT230" s="205"/>
      <c r="BU230" s="16">
        <v>0</v>
      </c>
      <c r="BV230" s="16">
        <v>0</v>
      </c>
      <c r="BW230" s="16">
        <v>42</v>
      </c>
      <c r="BX230" s="16" t="s">
        <v>190</v>
      </c>
      <c r="BY230" s="205"/>
      <c r="CD230" s="205"/>
      <c r="CI230" s="205"/>
      <c r="CN230" s="205"/>
      <c r="CS230" s="205"/>
      <c r="CX230" s="205"/>
      <c r="DC230" s="205"/>
      <c r="DH230" s="205"/>
      <c r="DM230" s="205"/>
      <c r="DN230" s="205"/>
      <c r="DO230" s="205"/>
      <c r="DQ230" s="206"/>
      <c r="DR230" s="188">
        <f t="shared" si="64"/>
        <v>0</v>
      </c>
      <c r="DS230" s="188"/>
      <c r="DT230" s="189">
        <f t="shared" si="65"/>
        <v>0</v>
      </c>
      <c r="DU230" s="189"/>
      <c r="DV230" s="188">
        <f t="shared" si="66"/>
        <v>42</v>
      </c>
      <c r="DW230" s="183" t="e">
        <f t="shared" ca="1" si="67"/>
        <v>#NAME?</v>
      </c>
      <c r="DX230" s="207"/>
      <c r="DY230" s="190" t="e">
        <f t="shared" ca="1" si="68"/>
        <v>#NAME?</v>
      </c>
      <c r="DZ230" s="191" t="str">
        <f t="shared" si="338"/>
        <v/>
      </c>
      <c r="EA230" s="191" t="str">
        <f t="shared" si="339"/>
        <v/>
      </c>
      <c r="EB230" s="191" t="str">
        <f t="shared" si="340"/>
        <v/>
      </c>
      <c r="EC230" s="208" t="e">
        <f t="shared" ca="1" si="72"/>
        <v>#NAME?</v>
      </c>
      <c r="ED230" s="36" t="str">
        <f t="shared" si="73"/>
        <v>Equity - Common</v>
      </c>
      <c r="EE230" s="193">
        <f>COUNTIF($ED$2:$ED$92, ED230)/(COUNTIF($ED$2:$ED$92, "&lt;&gt;""") - COUNTIF($ED$2:$ED$92, ""))</f>
        <v>0.32222222222222224</v>
      </c>
      <c r="EF230" s="36" t="str">
        <f t="shared" si="74"/>
        <v>Growth</v>
      </c>
      <c r="EG230" s="207"/>
      <c r="EH230" s="194" t="e">
        <f t="shared" ca="1" si="75"/>
        <v>#NAME?</v>
      </c>
      <c r="EI230" s="194" t="e">
        <f t="shared" ca="1" si="76"/>
        <v>#NAME?</v>
      </c>
      <c r="EJ230" s="209" t="e">
        <f t="shared" ca="1" si="77"/>
        <v>#NAME?</v>
      </c>
      <c r="EK230" s="208" t="e">
        <f t="shared" ca="1" si="341"/>
        <v>#NAME?</v>
      </c>
      <c r="EL230" s="36" t="str">
        <f t="shared" si="79"/>
        <v>Yes</v>
      </c>
      <c r="EM230" s="207"/>
      <c r="EN230" s="192">
        <f t="shared" si="342"/>
        <v>1</v>
      </c>
      <c r="EO230" s="192">
        <f t="shared" si="343"/>
        <v>1</v>
      </c>
      <c r="EP230" s="209">
        <f t="shared" si="82"/>
        <v>2</v>
      </c>
      <c r="EQ230" s="210">
        <f t="shared" si="344"/>
        <v>1</v>
      </c>
      <c r="ER230" s="36" t="e">
        <f t="shared" ca="1" si="84"/>
        <v>#NAME?</v>
      </c>
      <c r="ES230" s="40">
        <f ca="1">COUNTIF($ER$2:$ER$92, ER230)/(COUNTIF($ER$2:$ER$92, "&lt;&gt;""") - COUNTIF($ER$2:$ER$92, ""))</f>
        <v>1</v>
      </c>
      <c r="ET230" s="36">
        <f t="shared" si="85"/>
        <v>2</v>
      </c>
      <c r="EU230" s="40">
        <f>COUNTIF($ET$2:$ET$92, ET230)/(COUNTIF($ET$2:$ET$92, "&lt;&gt;""") - COUNTIF($ET$2:$ET$92, ""))</f>
        <v>0.45555555555555555</v>
      </c>
      <c r="EV230" s="36">
        <f t="shared" si="86"/>
        <v>13</v>
      </c>
      <c r="EW230" s="40">
        <f>COUNTIF($EV$2:$EV$92, EV230)/(COUNTIF($EV$2:$EV$92, "&lt;&gt;""") - COUNTIF($EV$2:$EV$92, ""))</f>
        <v>2.2222222222222223E-2</v>
      </c>
      <c r="EX230" s="36" t="str">
        <f t="shared" si="87"/>
        <v>Yes</v>
      </c>
      <c r="EY230" s="40">
        <f>COUNTIF($EX$2:$EX$92, EX230)/(COUNTIF($EX$2:$EX$92, "&lt;&gt;""") - COUNTIF($EX$2:$EX$92, ""))</f>
        <v>0.27777777777777779</v>
      </c>
      <c r="EZ230" s="36" t="str">
        <f t="shared" ref="EZ230:FB230" si="373">BM230</f>
        <v>No</v>
      </c>
      <c r="FA230" s="36" t="str">
        <f t="shared" si="373"/>
        <v>No</v>
      </c>
      <c r="FB230" s="36" t="str">
        <f t="shared" si="373"/>
        <v>No</v>
      </c>
      <c r="FC230" s="207"/>
      <c r="FD230" s="36" t="str">
        <f t="shared" si="89"/>
        <v>Transactional</v>
      </c>
      <c r="FE230" s="40">
        <f>COUNTIF($FD$2:$FD$92, FD230)/(COUNTIF($FD$2:$FD$92, "&lt;&gt;""") - COUNTIF($FD$2:$FD$92, ""))</f>
        <v>0.6</v>
      </c>
      <c r="FF230" s="36" t="str">
        <f t="shared" si="90"/>
        <v>B2B/B2C</v>
      </c>
      <c r="FG230" s="40">
        <f>COUNTIF($FF$2:$FF$92, FF230)/(COUNTIF($FF$2:$FF$92, "&lt;&gt;""") - COUNTIF($FF$2:$FF$92, ""))</f>
        <v>0.27777777777777779</v>
      </c>
      <c r="FH230" s="36" t="str">
        <f t="shared" si="91"/>
        <v>Low</v>
      </c>
      <c r="FI230" s="40">
        <f>COUNTIF($FH$2:$FH$92, FH230)/(COUNTIF($FH$2:$FH$92, "&lt;&gt;""") - COUNTIF($FH$2:$FH$92, ""))</f>
        <v>0.46666666666666667</v>
      </c>
      <c r="FJ230" s="36" t="str">
        <f t="shared" si="92"/>
        <v>Low</v>
      </c>
      <c r="FK230" s="40">
        <f>COUNTIF($FJ$2:$FJ$92, FJ230)/(COUNTIF($FJ$2:$FJ$92, "&lt;&gt;""") - COUNTIF($FJ$2:$FJ$92, ""))</f>
        <v>0.41111111111111109</v>
      </c>
      <c r="FL230" s="207"/>
      <c r="FM230" s="192">
        <f t="shared" si="93"/>
        <v>5</v>
      </c>
      <c r="FN230" s="192" t="e">
        <f t="shared" ca="1" si="94"/>
        <v>#NAME?</v>
      </c>
      <c r="FO230" s="192" t="e">
        <f t="shared" ca="1" si="95"/>
        <v>#NAME?</v>
      </c>
      <c r="FP230" s="192" t="e">
        <f t="shared" ca="1" si="96"/>
        <v>#NAME?</v>
      </c>
      <c r="FQ230" s="209" t="e">
        <f t="shared" ca="1" si="97"/>
        <v>#NAME?</v>
      </c>
      <c r="FR230" s="208" t="e">
        <f t="shared" ca="1" si="346"/>
        <v>#NAME?</v>
      </c>
      <c r="FS230" s="36" t="str">
        <f t="shared" si="99"/>
        <v>Profitable</v>
      </c>
      <c r="FT230" s="196">
        <f>COUNTIF($FS$2:$FS$92, FS230)/(COUNTIF($FS$2:$FS$92, "&lt;&gt;""") - COUNTIF($FZ$2:$FZ$92, ""))</f>
        <v>6.6666666666666666E-2</v>
      </c>
      <c r="FU230" s="207"/>
      <c r="FV230" s="192" t="e">
        <f t="shared" ca="1" si="100"/>
        <v>#NAME?</v>
      </c>
      <c r="FW230" s="197" t="e">
        <f t="shared" ca="1" si="101"/>
        <v>#NAME?</v>
      </c>
      <c r="FX230" s="209" t="e">
        <f t="shared" ca="1" si="102"/>
        <v>#NAME?</v>
      </c>
      <c r="FY230" s="211" t="e">
        <f t="shared" ca="1" si="347"/>
        <v>#NAME?</v>
      </c>
      <c r="FZ230" s="36" t="str">
        <f t="shared" si="104"/>
        <v>No</v>
      </c>
      <c r="GA230" s="196">
        <f>COUNTIF($FZ$2:$FZ$92, FZ230)/(COUNTIF($FZ$2:$FZ$92, "&lt;&gt;""") - COUNTIF($FZ$2:$FZ$92, ""))</f>
        <v>0.76666666666666672</v>
      </c>
      <c r="GB230" s="196">
        <f t="shared" si="105"/>
        <v>0</v>
      </c>
      <c r="GC230" s="196">
        <f>COUNTIF($GB$2:$GB$92, GB230)/(COUNTIF($GB$2:$GB$92, "&lt;&gt;""") - COUNTIF($GB$2:$GB$92, ""))</f>
        <v>1.1111111111111112E-2</v>
      </c>
      <c r="GD230" s="196">
        <f t="shared" si="106"/>
        <v>0</v>
      </c>
      <c r="GE230" s="196">
        <f>COUNTIF($GD$2:$GD$92, GD230)/(COUNTIF($GD$2:$GD$92, "&lt;&gt;""") - COUNTIF($GD$2:$GD$92, ""))</f>
        <v>1.1111111111111112E-2</v>
      </c>
      <c r="GF230" s="207"/>
      <c r="GG230" s="36"/>
      <c r="GH230" s="209" t="e">
        <f t="shared" ca="1" si="107"/>
        <v>#NAME?</v>
      </c>
      <c r="GI230" s="212" t="e">
        <f t="shared" ca="1" si="348"/>
        <v>#NAME?</v>
      </c>
    </row>
    <row r="231" spans="1:191" ht="15.75" customHeight="1">
      <c r="A231" s="171"/>
      <c r="B231" s="171" t="s">
        <v>501</v>
      </c>
      <c r="C231" s="16">
        <v>1681290</v>
      </c>
      <c r="D231" s="233" t="s">
        <v>1685</v>
      </c>
      <c r="E231" s="234">
        <v>43822.428472222222</v>
      </c>
      <c r="F231" s="16" t="s">
        <v>337</v>
      </c>
      <c r="G231" s="235" t="s">
        <v>1686</v>
      </c>
      <c r="H231" s="235" t="s">
        <v>1687</v>
      </c>
      <c r="I231" s="271">
        <v>43906</v>
      </c>
      <c r="J231" s="233" t="s">
        <v>1688</v>
      </c>
      <c r="K231" s="233" t="s">
        <v>1685</v>
      </c>
      <c r="M231" s="16" t="s">
        <v>1689</v>
      </c>
      <c r="N231" s="16" t="s">
        <v>294</v>
      </c>
      <c r="O231" s="16" t="s">
        <v>30</v>
      </c>
      <c r="P231" s="16" t="s">
        <v>174</v>
      </c>
      <c r="Q231" s="16" t="s">
        <v>35</v>
      </c>
      <c r="S231" s="16" t="s">
        <v>216</v>
      </c>
      <c r="T231" s="237"/>
      <c r="U231" s="213"/>
      <c r="V231" s="54">
        <v>10200000</v>
      </c>
      <c r="W231" s="54"/>
      <c r="X231" s="226"/>
      <c r="Y231" s="55" t="str">
        <f t="shared" si="158"/>
        <v/>
      </c>
      <c r="Z231" s="274">
        <f t="shared" si="159"/>
        <v>10200000</v>
      </c>
      <c r="AA231" s="183" t="e">
        <f t="shared" ca="1" si="160"/>
        <v>#NAME?</v>
      </c>
      <c r="AB231" s="16" t="s">
        <v>36</v>
      </c>
      <c r="AC231" s="16" t="s">
        <v>37</v>
      </c>
      <c r="AD231" s="16" t="s">
        <v>180</v>
      </c>
      <c r="AE231" s="16" t="s">
        <v>227</v>
      </c>
      <c r="AF231" s="16" t="s">
        <v>39</v>
      </c>
      <c r="AG231" s="16" t="s">
        <v>39</v>
      </c>
      <c r="AH231" s="16" t="s">
        <v>227</v>
      </c>
      <c r="AI231" s="54"/>
      <c r="AJ231" s="278">
        <v>7591000000</v>
      </c>
      <c r="AK231" s="224" t="e">
        <f t="shared" ca="1" si="161"/>
        <v>#NAME?</v>
      </c>
      <c r="AL231" s="278">
        <v>1000000000</v>
      </c>
      <c r="AM231" s="224" t="e">
        <f t="shared" ca="1" si="162"/>
        <v>#NAME?</v>
      </c>
      <c r="AN231" s="278">
        <v>0.15</v>
      </c>
      <c r="AO231" s="185" t="e">
        <f t="shared" ca="1" si="63"/>
        <v>#NAME?</v>
      </c>
      <c r="AP231" s="185" t="s">
        <v>242</v>
      </c>
      <c r="AQ231" s="16" t="s">
        <v>39</v>
      </c>
      <c r="AR231" s="16" t="s">
        <v>181</v>
      </c>
      <c r="AS231" s="16" t="s">
        <v>201</v>
      </c>
      <c r="AT231" s="159"/>
      <c r="AU231" s="159"/>
      <c r="AV231" s="16" t="s">
        <v>190</v>
      </c>
      <c r="AW231" s="16" t="s">
        <v>227</v>
      </c>
      <c r="AX231" s="16" t="s">
        <v>190</v>
      </c>
      <c r="AY231" s="16" t="s">
        <v>190</v>
      </c>
      <c r="AZ231" s="54">
        <v>0</v>
      </c>
      <c r="BA231" s="55" t="e">
        <f t="shared" ca="1" si="163"/>
        <v>#NAME?</v>
      </c>
      <c r="BB231" s="278">
        <v>49232</v>
      </c>
      <c r="BC231" s="278">
        <v>1800000</v>
      </c>
      <c r="BD231" s="62" t="e">
        <f t="shared" ca="1" si="164"/>
        <v>#NAME?</v>
      </c>
      <c r="BE231" s="277">
        <f t="shared" si="165"/>
        <v>2.7351111111111111E-2</v>
      </c>
      <c r="BF231" s="62" t="e">
        <f t="shared" ca="1" si="166"/>
        <v>#NAME?</v>
      </c>
      <c r="BG231" s="16" t="s">
        <v>43</v>
      </c>
      <c r="BI231" s="16" t="s">
        <v>227</v>
      </c>
      <c r="BJ231" s="16">
        <v>0</v>
      </c>
      <c r="BK231" s="278">
        <v>1</v>
      </c>
      <c r="BL231" s="16" t="s">
        <v>227</v>
      </c>
      <c r="BM231" s="16" t="s">
        <v>190</v>
      </c>
      <c r="BN231" s="16" t="s">
        <v>190</v>
      </c>
      <c r="BO231" s="16" t="s">
        <v>190</v>
      </c>
      <c r="BP231" s="16">
        <v>1</v>
      </c>
      <c r="BQ231" s="16">
        <v>3</v>
      </c>
      <c r="BR231" s="16">
        <v>0</v>
      </c>
      <c r="BS231" s="16">
        <v>0</v>
      </c>
      <c r="BT231" s="205"/>
      <c r="BU231" s="16">
        <v>7</v>
      </c>
      <c r="BV231" s="16">
        <v>0</v>
      </c>
      <c r="BW231" s="16">
        <v>31</v>
      </c>
      <c r="BX231" s="16" t="s">
        <v>227</v>
      </c>
      <c r="BY231" s="205"/>
      <c r="CD231" s="205"/>
      <c r="CI231" s="205"/>
      <c r="CN231" s="205"/>
      <c r="CS231" s="205"/>
      <c r="CX231" s="205"/>
      <c r="DC231" s="205"/>
      <c r="DH231" s="205"/>
      <c r="DM231" s="205"/>
      <c r="DN231" s="205"/>
      <c r="DO231" s="205"/>
      <c r="DQ231" s="206"/>
      <c r="DR231" s="188">
        <f t="shared" si="64"/>
        <v>7</v>
      </c>
      <c r="DS231" s="188"/>
      <c r="DT231" s="189">
        <f t="shared" si="65"/>
        <v>0</v>
      </c>
      <c r="DU231" s="189"/>
      <c r="DV231" s="188">
        <f t="shared" si="66"/>
        <v>31</v>
      </c>
      <c r="DW231" s="183" t="e">
        <f t="shared" ca="1" si="67"/>
        <v>#NAME?</v>
      </c>
      <c r="DX231" s="207"/>
      <c r="DY231" s="190" t="e">
        <f t="shared" ca="1" si="68"/>
        <v>#NAME?</v>
      </c>
      <c r="DZ231" s="191" t="str">
        <f t="shared" si="338"/>
        <v/>
      </c>
      <c r="EA231" s="191" t="str">
        <f t="shared" si="339"/>
        <v/>
      </c>
      <c r="EB231" s="191" t="str">
        <f t="shared" si="340"/>
        <v/>
      </c>
      <c r="EC231" s="208" t="e">
        <f t="shared" ca="1" si="72"/>
        <v>#NAME?</v>
      </c>
      <c r="ED231" s="36" t="str">
        <f t="shared" si="73"/>
        <v>Equity - Common</v>
      </c>
      <c r="EE231" s="193">
        <f>COUNTIF($ED$2:$ED$92, ED231)/(COUNTIF($ED$2:$ED$92, "&lt;&gt;""") - COUNTIF($ED$2:$ED$92, ""))</f>
        <v>0.32222222222222224</v>
      </c>
      <c r="EF231" s="36" t="str">
        <f t="shared" si="74"/>
        <v>Early</v>
      </c>
      <c r="EG231" s="207"/>
      <c r="EH231" s="194" t="e">
        <f t="shared" ca="1" si="75"/>
        <v>#NAME?</v>
      </c>
      <c r="EI231" s="194" t="e">
        <f t="shared" ca="1" si="76"/>
        <v>#NAME?</v>
      </c>
      <c r="EJ231" s="209" t="e">
        <f t="shared" ca="1" si="77"/>
        <v>#NAME?</v>
      </c>
      <c r="EK231" s="208" t="e">
        <f t="shared" ca="1" si="341"/>
        <v>#NAME?</v>
      </c>
      <c r="EL231" s="36" t="str">
        <f t="shared" si="79"/>
        <v>No</v>
      </c>
      <c r="EM231" s="207"/>
      <c r="EN231" s="192">
        <f t="shared" si="342"/>
        <v>1.6666666666666665</v>
      </c>
      <c r="EO231" s="192">
        <f t="shared" si="343"/>
        <v>1</v>
      </c>
      <c r="EP231" s="209">
        <f t="shared" si="82"/>
        <v>2.6666666666666665</v>
      </c>
      <c r="EQ231" s="210">
        <f t="shared" si="344"/>
        <v>1.5233644859813085</v>
      </c>
      <c r="ER231" s="36" t="e">
        <f t="shared" ca="1" si="84"/>
        <v>#NAME?</v>
      </c>
      <c r="ES231" s="40">
        <f ca="1">COUNTIF($ER$2:$ER$92, ER231)/(COUNTIF($ER$2:$ER$92, "&lt;&gt;""") - COUNTIF($ER$2:$ER$92, ""))</f>
        <v>1</v>
      </c>
      <c r="ET231" s="36">
        <f t="shared" si="85"/>
        <v>1</v>
      </c>
      <c r="EU231" s="40">
        <f>COUNTIF($ET$2:$ET$92, ET231)/(COUNTIF($ET$2:$ET$92, "&lt;&gt;""") - COUNTIF($ET$2:$ET$92, ""))</f>
        <v>0.45555555555555555</v>
      </c>
      <c r="EV231" s="36">
        <f t="shared" si="86"/>
        <v>3</v>
      </c>
      <c r="EW231" s="40">
        <f>COUNTIF($EV$2:$EV$92, EV231)/(COUNTIF($EV$2:$EV$92, "&lt;&gt;""") - COUNTIF($EV$2:$EV$92, ""))</f>
        <v>8.8888888888888892E-2</v>
      </c>
      <c r="EX231" s="36" t="str">
        <f t="shared" si="87"/>
        <v>Yes</v>
      </c>
      <c r="EY231" s="40">
        <f>COUNTIF($EX$2:$EX$92, EX231)/(COUNTIF($EX$2:$EX$92, "&lt;&gt;""") - COUNTIF($EX$2:$EX$92, ""))</f>
        <v>0.27777777777777779</v>
      </c>
      <c r="EZ231" s="36" t="str">
        <f t="shared" ref="EZ231:FB231" si="374">BM231</f>
        <v>No</v>
      </c>
      <c r="FA231" s="36" t="str">
        <f t="shared" si="374"/>
        <v>No</v>
      </c>
      <c r="FB231" s="36" t="str">
        <f t="shared" si="374"/>
        <v>No</v>
      </c>
      <c r="FC231" s="207"/>
      <c r="FD231" s="36" t="str">
        <f t="shared" si="89"/>
        <v>Transactional</v>
      </c>
      <c r="FE231" s="40">
        <f>COUNTIF($FD$2:$FD$92, FD231)/(COUNTIF($FD$2:$FD$92, "&lt;&gt;""") - COUNTIF($FD$2:$FD$92, ""))</f>
        <v>0.6</v>
      </c>
      <c r="FF231" s="36" t="str">
        <f t="shared" si="90"/>
        <v>B2B</v>
      </c>
      <c r="FG231" s="40">
        <f>COUNTIF($FF$2:$FF$92, FF231)/(COUNTIF($FF$2:$FF$92, "&lt;&gt;""") - COUNTIF($FF$2:$FF$92, ""))</f>
        <v>0.24444444444444444</v>
      </c>
      <c r="FH231" s="36" t="str">
        <f t="shared" si="91"/>
        <v>High</v>
      </c>
      <c r="FI231" s="40">
        <f>COUNTIF($FH$2:$FH$92, FH231)/(COUNTIF($FH$2:$FH$92, "&lt;&gt;""") - COUNTIF($FH$2:$FH$92, ""))</f>
        <v>0.53333333333333333</v>
      </c>
      <c r="FJ231" s="36" t="str">
        <f t="shared" si="92"/>
        <v>High</v>
      </c>
      <c r="FK231" s="40">
        <f>COUNTIF($FJ$2:$FJ$92, FJ231)/(COUNTIF($FJ$2:$FJ$92, "&lt;&gt;""") - COUNTIF($FJ$2:$FJ$92, ""))</f>
        <v>0.58888888888888891</v>
      </c>
      <c r="FL231" s="207"/>
      <c r="FM231" s="192">
        <f t="shared" si="93"/>
        <v>1</v>
      </c>
      <c r="FN231" s="192" t="e">
        <f t="shared" ca="1" si="94"/>
        <v>#NAME?</v>
      </c>
      <c r="FO231" s="192" t="e">
        <f t="shared" ca="1" si="95"/>
        <v>#NAME?</v>
      </c>
      <c r="FP231" s="192" t="e">
        <f t="shared" ca="1" si="96"/>
        <v>#NAME?</v>
      </c>
      <c r="FQ231" s="209" t="e">
        <f t="shared" ca="1" si="97"/>
        <v>#NAME?</v>
      </c>
      <c r="FR231" s="208" t="e">
        <f t="shared" ca="1" si="346"/>
        <v>#NAME?</v>
      </c>
      <c r="FS231" s="36" t="str">
        <f t="shared" si="99"/>
        <v>Pre-Product</v>
      </c>
      <c r="FT231" s="196">
        <f>COUNTIF($FS$2:$FS$92, FS231)/(COUNTIF($FS$2:$FS$92, "&lt;&gt;""") - COUNTIF($FZ$2:$FZ$92, ""))</f>
        <v>0.22222222222222221</v>
      </c>
      <c r="FU231" s="207"/>
      <c r="FV231" s="192">
        <f t="shared" si="100"/>
        <v>3</v>
      </c>
      <c r="FW231" s="197" t="e">
        <f t="shared" ca="1" si="101"/>
        <v>#NAME?</v>
      </c>
      <c r="FX231" s="209" t="e">
        <f t="shared" ca="1" si="102"/>
        <v>#NAME?</v>
      </c>
      <c r="FY231" s="211" t="e">
        <f t="shared" ca="1" si="347"/>
        <v>#NAME?</v>
      </c>
      <c r="FZ231" s="36" t="str">
        <f t="shared" si="104"/>
        <v>Yes</v>
      </c>
      <c r="GA231" s="196">
        <f>COUNTIF($FZ$2:$FZ$92, FZ231)/(COUNTIF($FZ$2:$FZ$92, "&lt;&gt;""") - COUNTIF($FZ$2:$FZ$92, ""))</f>
        <v>0.23333333333333334</v>
      </c>
      <c r="GB231" s="196">
        <f t="shared" si="105"/>
        <v>0</v>
      </c>
      <c r="GC231" s="196">
        <f>COUNTIF($GB$2:$GB$92, GB231)/(COUNTIF($GB$2:$GB$92, "&lt;&gt;""") - COUNTIF($GB$2:$GB$92, ""))</f>
        <v>1.1111111111111112E-2</v>
      </c>
      <c r="GD231" s="196">
        <f t="shared" si="106"/>
        <v>0</v>
      </c>
      <c r="GE231" s="196">
        <f>COUNTIF($GD$2:$GD$92, GD231)/(COUNTIF($GD$2:$GD$92, "&lt;&gt;""") - COUNTIF($GD$2:$GD$92, ""))</f>
        <v>1.1111111111111112E-2</v>
      </c>
      <c r="GF231" s="207"/>
      <c r="GG231" s="36"/>
      <c r="GH231" s="209" t="e">
        <f t="shared" ca="1" si="107"/>
        <v>#NAME?</v>
      </c>
      <c r="GI231" s="212" t="e">
        <f t="shared" ca="1" si="348"/>
        <v>#NAME?</v>
      </c>
    </row>
    <row r="232" spans="1:191" ht="15.75" customHeight="1">
      <c r="A232" s="171"/>
      <c r="B232" s="171" t="s">
        <v>501</v>
      </c>
      <c r="C232" s="16">
        <v>1794140</v>
      </c>
      <c r="D232" s="233" t="s">
        <v>1690</v>
      </c>
      <c r="E232" s="234">
        <v>43822.429861111108</v>
      </c>
      <c r="F232" s="16" t="s">
        <v>337</v>
      </c>
      <c r="G232" s="235" t="s">
        <v>1691</v>
      </c>
      <c r="H232" s="235" t="s">
        <v>1692</v>
      </c>
      <c r="I232" s="271">
        <v>43818</v>
      </c>
      <c r="J232" s="233" t="s">
        <v>1693</v>
      </c>
      <c r="K232" s="233" t="s">
        <v>1690</v>
      </c>
      <c r="M232" s="243" t="s">
        <v>28</v>
      </c>
      <c r="N232" s="16" t="s">
        <v>168</v>
      </c>
      <c r="O232" s="16" t="s">
        <v>30</v>
      </c>
      <c r="P232" s="16" t="s">
        <v>174</v>
      </c>
      <c r="Q232" s="16" t="s">
        <v>35</v>
      </c>
      <c r="S232" s="16" t="s">
        <v>216</v>
      </c>
      <c r="T232" s="237"/>
      <c r="U232" s="213"/>
      <c r="V232" s="54">
        <v>3900000</v>
      </c>
      <c r="W232" s="54"/>
      <c r="X232" s="226"/>
      <c r="Y232" s="55" t="str">
        <f t="shared" si="158"/>
        <v/>
      </c>
      <c r="Z232" s="274">
        <f t="shared" si="159"/>
        <v>3900000</v>
      </c>
      <c r="AA232" s="183" t="e">
        <f t="shared" ca="1" si="160"/>
        <v>#NAME?</v>
      </c>
      <c r="AB232" s="16" t="s">
        <v>36</v>
      </c>
      <c r="AC232" s="16" t="s">
        <v>218</v>
      </c>
      <c r="AD232" s="16" t="s">
        <v>38</v>
      </c>
      <c r="AE232" s="16" t="s">
        <v>227</v>
      </c>
      <c r="AF232" s="16" t="s">
        <v>181</v>
      </c>
      <c r="AG232" s="16" t="s">
        <v>181</v>
      </c>
      <c r="AH232" s="16" t="s">
        <v>190</v>
      </c>
      <c r="AI232" s="54"/>
      <c r="AJ232" s="278">
        <v>149818000</v>
      </c>
      <c r="AK232" s="224" t="e">
        <f t="shared" ca="1" si="161"/>
        <v>#NAME?</v>
      </c>
      <c r="AL232" s="278">
        <v>149818000</v>
      </c>
      <c r="AM232" s="224" t="e">
        <f t="shared" ca="1" si="162"/>
        <v>#NAME?</v>
      </c>
      <c r="AN232" s="278">
        <v>0.53</v>
      </c>
      <c r="AO232" s="185" t="e">
        <f t="shared" ca="1" si="63"/>
        <v>#NAME?</v>
      </c>
      <c r="AP232" s="185" t="s">
        <v>242</v>
      </c>
      <c r="AQ232" s="16" t="s">
        <v>181</v>
      </c>
      <c r="AR232" s="16" t="s">
        <v>181</v>
      </c>
      <c r="AS232" s="16" t="s">
        <v>42</v>
      </c>
      <c r="AT232" s="159"/>
      <c r="AU232" s="159"/>
      <c r="AV232" s="16" t="s">
        <v>190</v>
      </c>
      <c r="AW232" s="16" t="s">
        <v>190</v>
      </c>
      <c r="AX232" s="16" t="s">
        <v>227</v>
      </c>
      <c r="AY232" s="16" t="s">
        <v>1073</v>
      </c>
      <c r="AZ232" s="54">
        <v>18261</v>
      </c>
      <c r="BA232" s="55" t="e">
        <f t="shared" ca="1" si="163"/>
        <v>#NAME?</v>
      </c>
      <c r="BB232" s="278">
        <v>7556</v>
      </c>
      <c r="BC232" s="278">
        <v>238800</v>
      </c>
      <c r="BD232" s="62" t="e">
        <f t="shared" ca="1" si="164"/>
        <v>#NAME?</v>
      </c>
      <c r="BE232" s="277">
        <f t="shared" si="165"/>
        <v>3.1641541038525962E-2</v>
      </c>
      <c r="BF232" s="62" t="e">
        <f t="shared" ca="1" si="166"/>
        <v>#NAME?</v>
      </c>
      <c r="BG232" s="16" t="s">
        <v>202</v>
      </c>
      <c r="BI232" s="16" t="s">
        <v>190</v>
      </c>
      <c r="BJ232" s="16">
        <v>0</v>
      </c>
      <c r="BK232" s="278">
        <v>2</v>
      </c>
      <c r="BL232" s="16" t="s">
        <v>227</v>
      </c>
      <c r="BM232" s="16" t="s">
        <v>190</v>
      </c>
      <c r="BN232" s="16" t="s">
        <v>190</v>
      </c>
      <c r="BO232" s="16" t="s">
        <v>190</v>
      </c>
      <c r="BP232" s="16">
        <v>3</v>
      </c>
      <c r="BQ232" s="16">
        <v>3</v>
      </c>
      <c r="BR232" s="16">
        <v>0</v>
      </c>
      <c r="BS232" s="16">
        <v>0</v>
      </c>
      <c r="BT232" s="205"/>
      <c r="BU232" s="16">
        <v>24</v>
      </c>
      <c r="BV232" s="16">
        <v>0</v>
      </c>
      <c r="BW232" s="16">
        <v>42</v>
      </c>
      <c r="BX232" s="16" t="s">
        <v>190</v>
      </c>
      <c r="BY232" s="205"/>
      <c r="BZ232" s="16">
        <v>20</v>
      </c>
      <c r="CA232" s="16">
        <v>0</v>
      </c>
      <c r="CB232" s="16">
        <v>46</v>
      </c>
      <c r="CC232" s="16" t="s">
        <v>190</v>
      </c>
      <c r="CD232" s="205"/>
      <c r="CI232" s="205"/>
      <c r="CN232" s="205"/>
      <c r="CS232" s="205"/>
      <c r="CX232" s="205"/>
      <c r="DC232" s="205"/>
      <c r="DH232" s="205"/>
      <c r="DM232" s="205"/>
      <c r="DN232" s="205"/>
      <c r="DO232" s="205"/>
      <c r="DQ232" s="206"/>
      <c r="DR232" s="188">
        <f t="shared" si="64"/>
        <v>22</v>
      </c>
      <c r="DS232" s="188"/>
      <c r="DT232" s="189">
        <f t="shared" si="65"/>
        <v>0</v>
      </c>
      <c r="DU232" s="189"/>
      <c r="DV232" s="188">
        <f t="shared" si="66"/>
        <v>44</v>
      </c>
      <c r="DW232" s="183" t="e">
        <f t="shared" ca="1" si="67"/>
        <v>#NAME?</v>
      </c>
      <c r="DX232" s="207"/>
      <c r="DY232" s="190" t="e">
        <f t="shared" ca="1" si="68"/>
        <v>#NAME?</v>
      </c>
      <c r="DZ232" s="191" t="str">
        <f t="shared" si="338"/>
        <v/>
      </c>
      <c r="EA232" s="191" t="str">
        <f t="shared" si="339"/>
        <v/>
      </c>
      <c r="EB232" s="191" t="str">
        <f t="shared" si="340"/>
        <v/>
      </c>
      <c r="EC232" s="208" t="e">
        <f t="shared" ca="1" si="72"/>
        <v>#NAME?</v>
      </c>
      <c r="ED232" s="36" t="str">
        <f t="shared" si="73"/>
        <v>Equity - Common</v>
      </c>
      <c r="EE232" s="193">
        <f>COUNTIF($ED$2:$ED$92, ED232)/(COUNTIF($ED$2:$ED$92, "&lt;&gt;""") - COUNTIF($ED$2:$ED$92, ""))</f>
        <v>0.32222222222222224</v>
      </c>
      <c r="EF232" s="36" t="str">
        <f t="shared" si="74"/>
        <v>Early</v>
      </c>
      <c r="EG232" s="207"/>
      <c r="EH232" s="194" t="e">
        <f t="shared" ca="1" si="75"/>
        <v>#NAME?</v>
      </c>
      <c r="EI232" s="194" t="e">
        <f t="shared" ca="1" si="76"/>
        <v>#NAME?</v>
      </c>
      <c r="EJ232" s="209" t="e">
        <f t="shared" ca="1" si="77"/>
        <v>#NAME?</v>
      </c>
      <c r="EK232" s="208" t="e">
        <f t="shared" ca="1" si="341"/>
        <v>#NAME?</v>
      </c>
      <c r="EL232" s="36" t="str">
        <f t="shared" si="79"/>
        <v>No</v>
      </c>
      <c r="EM232" s="207"/>
      <c r="EN232" s="192">
        <f t="shared" si="342"/>
        <v>3.0952380952380953</v>
      </c>
      <c r="EO232" s="192">
        <f t="shared" si="343"/>
        <v>1</v>
      </c>
      <c r="EP232" s="209">
        <f t="shared" si="82"/>
        <v>4.0952380952380949</v>
      </c>
      <c r="EQ232" s="210">
        <f t="shared" si="344"/>
        <v>2.6448598130841119</v>
      </c>
      <c r="ER232" s="36" t="e">
        <f t="shared" ca="1" si="84"/>
        <v>#NAME?</v>
      </c>
      <c r="ES232" s="40">
        <f ca="1">COUNTIF($ER$2:$ER$92, ER232)/(COUNTIF($ER$2:$ER$92, "&lt;&gt;""") - COUNTIF($ER$2:$ER$92, ""))</f>
        <v>1</v>
      </c>
      <c r="ET232" s="36">
        <f t="shared" si="85"/>
        <v>2</v>
      </c>
      <c r="EU232" s="40">
        <f>COUNTIF($ET$2:$ET$92, ET232)/(COUNTIF($ET$2:$ET$92, "&lt;&gt;""") - COUNTIF($ET$2:$ET$92, ""))</f>
        <v>0.45555555555555555</v>
      </c>
      <c r="EV232" s="36">
        <f t="shared" si="86"/>
        <v>3</v>
      </c>
      <c r="EW232" s="40">
        <f>COUNTIF($EV$2:$EV$92, EV232)/(COUNTIF($EV$2:$EV$92, "&lt;&gt;""") - COUNTIF($EV$2:$EV$92, ""))</f>
        <v>8.8888888888888892E-2</v>
      </c>
      <c r="EX232" s="36" t="str">
        <f t="shared" si="87"/>
        <v>Yes</v>
      </c>
      <c r="EY232" s="40">
        <f>COUNTIF($EX$2:$EX$92, EX232)/(COUNTIF($EX$2:$EX$92, "&lt;&gt;""") - COUNTIF($EX$2:$EX$92, ""))</f>
        <v>0.27777777777777779</v>
      </c>
      <c r="EZ232" s="36" t="str">
        <f t="shared" ref="EZ232:FB232" si="375">BM232</f>
        <v>No</v>
      </c>
      <c r="FA232" s="36" t="str">
        <f t="shared" si="375"/>
        <v>No</v>
      </c>
      <c r="FB232" s="36" t="str">
        <f t="shared" si="375"/>
        <v>No</v>
      </c>
      <c r="FC232" s="207"/>
      <c r="FD232" s="36" t="str">
        <f t="shared" si="89"/>
        <v>Transactional</v>
      </c>
      <c r="FE232" s="40">
        <f>COUNTIF($FD$2:$FD$92, FD232)/(COUNTIF($FD$2:$FD$92, "&lt;&gt;""") - COUNTIF($FD$2:$FD$92, ""))</f>
        <v>0.6</v>
      </c>
      <c r="FF232" s="36" t="str">
        <f t="shared" si="90"/>
        <v>B2B/B2C</v>
      </c>
      <c r="FG232" s="40">
        <f>COUNTIF($FF$2:$FF$92, FF232)/(COUNTIF($FF$2:$FF$92, "&lt;&gt;""") - COUNTIF($FF$2:$FF$92, ""))</f>
        <v>0.27777777777777779</v>
      </c>
      <c r="FH232" s="36" t="str">
        <f t="shared" si="91"/>
        <v>Low</v>
      </c>
      <c r="FI232" s="40">
        <f>COUNTIF($FH$2:$FH$92, FH232)/(COUNTIF($FH$2:$FH$92, "&lt;&gt;""") - COUNTIF($FH$2:$FH$92, ""))</f>
        <v>0.46666666666666667</v>
      </c>
      <c r="FJ232" s="36" t="str">
        <f t="shared" si="92"/>
        <v>Low</v>
      </c>
      <c r="FK232" s="40">
        <f>COUNTIF($FJ$2:$FJ$92, FJ232)/(COUNTIF($FJ$2:$FJ$92, "&lt;&gt;""") - COUNTIF($FJ$2:$FJ$92, ""))</f>
        <v>0.41111111111111109</v>
      </c>
      <c r="FL232" s="207"/>
      <c r="FM232" s="192">
        <f t="shared" si="93"/>
        <v>5</v>
      </c>
      <c r="FN232" s="192" t="e">
        <f t="shared" ca="1" si="94"/>
        <v>#NAME?</v>
      </c>
      <c r="FO232" s="192" t="e">
        <f t="shared" ca="1" si="95"/>
        <v>#NAME?</v>
      </c>
      <c r="FP232" s="192" t="e">
        <f t="shared" ca="1" si="96"/>
        <v>#NAME?</v>
      </c>
      <c r="FQ232" s="209" t="e">
        <f t="shared" ca="1" si="97"/>
        <v>#NAME?</v>
      </c>
      <c r="FR232" s="208" t="e">
        <f t="shared" ca="1" si="346"/>
        <v>#NAME?</v>
      </c>
      <c r="FS232" s="36" t="str">
        <f t="shared" si="99"/>
        <v>Pre-Profit</v>
      </c>
      <c r="FT232" s="196">
        <f>COUNTIF($FS$2:$FS$92, FS232)/(COUNTIF($FS$2:$FS$92, "&lt;&gt;""") - COUNTIF($FZ$2:$FZ$92, ""))</f>
        <v>0.51111111111111107</v>
      </c>
      <c r="FU232" s="207"/>
      <c r="FV232" s="192" t="e">
        <f t="shared" ca="1" si="100"/>
        <v>#NAME?</v>
      </c>
      <c r="FW232" s="197" t="e">
        <f t="shared" ca="1" si="101"/>
        <v>#NAME?</v>
      </c>
      <c r="FX232" s="209" t="e">
        <f t="shared" ca="1" si="102"/>
        <v>#NAME?</v>
      </c>
      <c r="FY232" s="211" t="e">
        <f t="shared" ca="1" si="347"/>
        <v>#NAME?</v>
      </c>
      <c r="FZ232" s="36" t="str">
        <f t="shared" si="104"/>
        <v>No</v>
      </c>
      <c r="GA232" s="196">
        <f>COUNTIF($FZ$2:$FZ$92, FZ232)/(COUNTIF($FZ$2:$FZ$92, "&lt;&gt;""") - COUNTIF($FZ$2:$FZ$92, ""))</f>
        <v>0.76666666666666672</v>
      </c>
      <c r="GB232" s="196">
        <f t="shared" si="105"/>
        <v>0</v>
      </c>
      <c r="GC232" s="196">
        <f>COUNTIF($GB$2:$GB$92, GB232)/(COUNTIF($GB$2:$GB$92, "&lt;&gt;""") - COUNTIF($GB$2:$GB$92, ""))</f>
        <v>1.1111111111111112E-2</v>
      </c>
      <c r="GD232" s="196">
        <f t="shared" si="106"/>
        <v>0</v>
      </c>
      <c r="GE232" s="196">
        <f>COUNTIF($GD$2:$GD$92, GD232)/(COUNTIF($GD$2:$GD$92, "&lt;&gt;""") - COUNTIF($GD$2:$GD$92, ""))</f>
        <v>1.1111111111111112E-2</v>
      </c>
      <c r="GF232" s="207"/>
      <c r="GG232" s="36"/>
      <c r="GH232" s="209" t="e">
        <f t="shared" ca="1" si="107"/>
        <v>#NAME?</v>
      </c>
      <c r="GI232" s="212" t="e">
        <f t="shared" ca="1" si="348"/>
        <v>#NAME?</v>
      </c>
    </row>
    <row r="233" spans="1:191" ht="15.75" customHeight="1">
      <c r="A233" s="171"/>
      <c r="B233" s="171" t="s">
        <v>501</v>
      </c>
      <c r="C233" s="16">
        <v>1796599</v>
      </c>
      <c r="D233" s="233" t="s">
        <v>1694</v>
      </c>
      <c r="E233" s="234">
        <v>43826.435416666667</v>
      </c>
      <c r="F233" s="16" t="s">
        <v>329</v>
      </c>
      <c r="G233" s="235" t="s">
        <v>1695</v>
      </c>
      <c r="H233" s="235" t="s">
        <v>1696</v>
      </c>
      <c r="I233" s="271">
        <v>43825</v>
      </c>
      <c r="J233" s="233" t="s">
        <v>1697</v>
      </c>
      <c r="K233" s="233" t="s">
        <v>1694</v>
      </c>
      <c r="M233" s="243" t="s">
        <v>28</v>
      </c>
      <c r="N233" s="16" t="s">
        <v>168</v>
      </c>
      <c r="O233" s="16" t="s">
        <v>173</v>
      </c>
      <c r="P233" s="16" t="s">
        <v>197</v>
      </c>
      <c r="Q233" s="16" t="s">
        <v>35</v>
      </c>
      <c r="S233" s="16" t="s">
        <v>269</v>
      </c>
      <c r="T233" s="237"/>
      <c r="U233" s="213"/>
      <c r="V233" s="54"/>
      <c r="W233" s="54">
        <v>4000000</v>
      </c>
      <c r="X233" s="226">
        <v>0.2</v>
      </c>
      <c r="Y233" s="55">
        <f t="shared" si="158"/>
        <v>3200000</v>
      </c>
      <c r="Z233" s="274">
        <f t="shared" si="159"/>
        <v>3200000</v>
      </c>
      <c r="AA233" s="183" t="e">
        <f t="shared" ca="1" si="160"/>
        <v>#NAME?</v>
      </c>
      <c r="AB233" s="16" t="s">
        <v>36</v>
      </c>
      <c r="AC233" s="16" t="s">
        <v>218</v>
      </c>
      <c r="AD233" s="16" t="s">
        <v>38</v>
      </c>
      <c r="AE233" s="16" t="s">
        <v>227</v>
      </c>
      <c r="AF233" s="16" t="s">
        <v>181</v>
      </c>
      <c r="AG233" s="16" t="s">
        <v>181</v>
      </c>
      <c r="AH233" s="16" t="s">
        <v>190</v>
      </c>
      <c r="AI233" s="54"/>
      <c r="AJ233" s="278">
        <v>200000000000</v>
      </c>
      <c r="AK233" s="224" t="e">
        <f t="shared" ca="1" si="161"/>
        <v>#NAME?</v>
      </c>
      <c r="AL233" s="278">
        <v>10200000000</v>
      </c>
      <c r="AM233" s="224" t="e">
        <f t="shared" ca="1" si="162"/>
        <v>#NAME?</v>
      </c>
      <c r="AN233" s="278">
        <v>0.19</v>
      </c>
      <c r="AO233" s="185" t="e">
        <f t="shared" ca="1" si="63"/>
        <v>#NAME?</v>
      </c>
      <c r="AP233" s="185" t="s">
        <v>264</v>
      </c>
      <c r="AQ233" s="16" t="s">
        <v>181</v>
      </c>
      <c r="AR233" s="16" t="s">
        <v>181</v>
      </c>
      <c r="AS233" s="16" t="s">
        <v>42</v>
      </c>
      <c r="AT233" s="159"/>
      <c r="AU233" s="159"/>
      <c r="AV233" s="16" t="s">
        <v>190</v>
      </c>
      <c r="AW233" s="16" t="s">
        <v>190</v>
      </c>
      <c r="AX233" s="16" t="s">
        <v>227</v>
      </c>
      <c r="AY233" s="16" t="s">
        <v>227</v>
      </c>
      <c r="AZ233" s="54">
        <v>161134</v>
      </c>
      <c r="BA233" s="55" t="e">
        <f t="shared" ca="1" si="163"/>
        <v>#NAME?</v>
      </c>
      <c r="BB233" s="278">
        <v>2150</v>
      </c>
      <c r="BC233" s="278">
        <v>234080</v>
      </c>
      <c r="BD233" s="62" t="e">
        <f t="shared" ca="1" si="164"/>
        <v>#NAME?</v>
      </c>
      <c r="BE233" s="277">
        <f t="shared" si="165"/>
        <v>9.1848940533151065E-3</v>
      </c>
      <c r="BF233" s="62" t="e">
        <f t="shared" ca="1" si="166"/>
        <v>#NAME?</v>
      </c>
      <c r="BG233" s="16" t="s">
        <v>219</v>
      </c>
      <c r="BI233" s="16" t="s">
        <v>227</v>
      </c>
      <c r="BJ233" s="16">
        <v>0</v>
      </c>
      <c r="BK233" s="278">
        <v>2</v>
      </c>
      <c r="BL233" s="16" t="s">
        <v>227</v>
      </c>
      <c r="BM233" s="16" t="s">
        <v>227</v>
      </c>
      <c r="BN233" s="16" t="s">
        <v>190</v>
      </c>
      <c r="BO233" s="16" t="s">
        <v>190</v>
      </c>
      <c r="BP233" s="16">
        <v>3</v>
      </c>
      <c r="BQ233" s="16">
        <v>2</v>
      </c>
      <c r="BR233" s="16">
        <v>1</v>
      </c>
      <c r="BS233" s="16">
        <v>0</v>
      </c>
      <c r="BT233" s="205"/>
      <c r="BU233" s="16">
        <v>3</v>
      </c>
      <c r="BV233" s="16">
        <v>1</v>
      </c>
      <c r="BW233" s="16">
        <v>41</v>
      </c>
      <c r="BX233" s="16" t="s">
        <v>190</v>
      </c>
      <c r="BY233" s="205"/>
      <c r="BZ233" s="16">
        <v>1</v>
      </c>
      <c r="CA233" s="16">
        <v>1</v>
      </c>
      <c r="CB233" s="16">
        <v>34</v>
      </c>
      <c r="CC233" s="16" t="s">
        <v>227</v>
      </c>
      <c r="CD233" s="205"/>
      <c r="CI233" s="205"/>
      <c r="CN233" s="205"/>
      <c r="CS233" s="205"/>
      <c r="CX233" s="205"/>
      <c r="DC233" s="205"/>
      <c r="DH233" s="205"/>
      <c r="DM233" s="205"/>
      <c r="DN233" s="205"/>
      <c r="DO233" s="205"/>
      <c r="DQ233" s="206"/>
      <c r="DR233" s="188">
        <f t="shared" si="64"/>
        <v>2</v>
      </c>
      <c r="DS233" s="188"/>
      <c r="DT233" s="189">
        <f t="shared" si="65"/>
        <v>2</v>
      </c>
      <c r="DU233" s="189"/>
      <c r="DV233" s="188">
        <f t="shared" si="66"/>
        <v>37.5</v>
      </c>
      <c r="DW233" s="183" t="e">
        <f t="shared" ca="1" si="67"/>
        <v>#NAME?</v>
      </c>
      <c r="DX233" s="207"/>
      <c r="DY233" s="190" t="e">
        <f t="shared" ca="1" si="68"/>
        <v>#NAME?</v>
      </c>
      <c r="DZ233" s="191">
        <f t="shared" si="338"/>
        <v>3.1052631578947367</v>
      </c>
      <c r="EA233" s="191" t="str">
        <f t="shared" si="339"/>
        <v/>
      </c>
      <c r="EB233" s="191" t="str">
        <f t="shared" si="340"/>
        <v/>
      </c>
      <c r="EC233" s="208" t="e">
        <f t="shared" ca="1" si="72"/>
        <v>#NAME?</v>
      </c>
      <c r="ED233" s="36" t="str">
        <f t="shared" si="73"/>
        <v>SAFE</v>
      </c>
      <c r="EE233" s="193">
        <f>COUNTIF($ED$2:$ED$92, ED233)/(COUNTIF($ED$2:$ED$92, "&lt;&gt;""") - COUNTIF($ED$2:$ED$92, ""))</f>
        <v>0.37777777777777777</v>
      </c>
      <c r="EF233" s="36" t="str">
        <f t="shared" si="74"/>
        <v>Growth</v>
      </c>
      <c r="EG233" s="207"/>
      <c r="EH233" s="194" t="e">
        <f t="shared" ca="1" si="75"/>
        <v>#NAME?</v>
      </c>
      <c r="EI233" s="194" t="e">
        <f t="shared" ca="1" si="76"/>
        <v>#NAME?</v>
      </c>
      <c r="EJ233" s="209" t="e">
        <f t="shared" ca="1" si="77"/>
        <v>#NAME?</v>
      </c>
      <c r="EK233" s="208" t="e">
        <f t="shared" ca="1" si="341"/>
        <v>#NAME?</v>
      </c>
      <c r="EL233" s="36" t="str">
        <f t="shared" si="79"/>
        <v>No</v>
      </c>
      <c r="EM233" s="207"/>
      <c r="EN233" s="192">
        <f t="shared" si="342"/>
        <v>1.1904761904761905</v>
      </c>
      <c r="EO233" s="192">
        <f t="shared" si="343"/>
        <v>3</v>
      </c>
      <c r="EP233" s="209">
        <f t="shared" si="82"/>
        <v>4.1904761904761907</v>
      </c>
      <c r="EQ233" s="210">
        <f t="shared" si="344"/>
        <v>2.7196261682242993</v>
      </c>
      <c r="ER233" s="36" t="e">
        <f t="shared" ca="1" si="84"/>
        <v>#NAME?</v>
      </c>
      <c r="ES233" s="40">
        <f ca="1">COUNTIF($ER$2:$ER$92, ER233)/(COUNTIF($ER$2:$ER$92, "&lt;&gt;""") - COUNTIF($ER$2:$ER$92, ""))</f>
        <v>1</v>
      </c>
      <c r="ET233" s="36">
        <f t="shared" si="85"/>
        <v>2</v>
      </c>
      <c r="EU233" s="40">
        <f>COUNTIF($ET$2:$ET$92, ET233)/(COUNTIF($ET$2:$ET$92, "&lt;&gt;""") - COUNTIF($ET$2:$ET$92, ""))</f>
        <v>0.45555555555555555</v>
      </c>
      <c r="EV233" s="36">
        <f t="shared" si="86"/>
        <v>2</v>
      </c>
      <c r="EW233" s="40">
        <f>COUNTIF($EV$2:$EV$92, EV233)/(COUNTIF($EV$2:$EV$92, "&lt;&gt;""") - COUNTIF($EV$2:$EV$92, ""))</f>
        <v>0.15555555555555556</v>
      </c>
      <c r="EX233" s="36" t="str">
        <f t="shared" si="87"/>
        <v>Yes</v>
      </c>
      <c r="EY233" s="40">
        <f>COUNTIF($EX$2:$EX$92, EX233)/(COUNTIF($EX$2:$EX$92, "&lt;&gt;""") - COUNTIF($EX$2:$EX$92, ""))</f>
        <v>0.27777777777777779</v>
      </c>
      <c r="EZ233" s="36" t="str">
        <f t="shared" ref="EZ233:FB233" si="376">BM233</f>
        <v>Yes</v>
      </c>
      <c r="FA233" s="36" t="str">
        <f t="shared" si="376"/>
        <v>No</v>
      </c>
      <c r="FB233" s="36" t="str">
        <f t="shared" si="376"/>
        <v>No</v>
      </c>
      <c r="FC233" s="207"/>
      <c r="FD233" s="36" t="str">
        <f t="shared" si="89"/>
        <v>Transactional</v>
      </c>
      <c r="FE233" s="40">
        <f>COUNTIF($FD$2:$FD$92, FD233)/(COUNTIF($FD$2:$FD$92, "&lt;&gt;""") - COUNTIF($FD$2:$FD$92, ""))</f>
        <v>0.6</v>
      </c>
      <c r="FF233" s="36" t="str">
        <f t="shared" si="90"/>
        <v>B2B/B2C</v>
      </c>
      <c r="FG233" s="40">
        <f>COUNTIF($FF$2:$FF$92, FF233)/(COUNTIF($FF$2:$FF$92, "&lt;&gt;""") - COUNTIF($FF$2:$FF$92, ""))</f>
        <v>0.27777777777777779</v>
      </c>
      <c r="FH233" s="36" t="str">
        <f t="shared" si="91"/>
        <v>Low</v>
      </c>
      <c r="FI233" s="40">
        <f>COUNTIF($FH$2:$FH$92, FH233)/(COUNTIF($FH$2:$FH$92, "&lt;&gt;""") - COUNTIF($FH$2:$FH$92, ""))</f>
        <v>0.46666666666666667</v>
      </c>
      <c r="FJ233" s="36" t="str">
        <f t="shared" si="92"/>
        <v>Low</v>
      </c>
      <c r="FK233" s="40">
        <f>COUNTIF($FJ$2:$FJ$92, FJ233)/(COUNTIF($FJ$2:$FJ$92, "&lt;&gt;""") - COUNTIF($FJ$2:$FJ$92, ""))</f>
        <v>0.41111111111111109</v>
      </c>
      <c r="FL233" s="207"/>
      <c r="FM233" s="192">
        <f t="shared" si="93"/>
        <v>5</v>
      </c>
      <c r="FN233" s="192" t="e">
        <f t="shared" ca="1" si="94"/>
        <v>#NAME?</v>
      </c>
      <c r="FO233" s="192" t="e">
        <f t="shared" ca="1" si="95"/>
        <v>#NAME?</v>
      </c>
      <c r="FP233" s="192" t="e">
        <f t="shared" ca="1" si="96"/>
        <v>#NAME?</v>
      </c>
      <c r="FQ233" s="209" t="e">
        <f t="shared" ca="1" si="97"/>
        <v>#NAME?</v>
      </c>
      <c r="FR233" s="208" t="e">
        <f t="shared" ca="1" si="346"/>
        <v>#NAME?</v>
      </c>
      <c r="FS233" s="36" t="str">
        <f t="shared" si="99"/>
        <v>Profitable</v>
      </c>
      <c r="FT233" s="196">
        <f>COUNTIF($FS$2:$FS$92, FS233)/(COUNTIF($FS$2:$FS$92, "&lt;&gt;""") - COUNTIF($FZ$2:$FZ$92, ""))</f>
        <v>6.6666666666666666E-2</v>
      </c>
      <c r="FU233" s="207"/>
      <c r="FV233" s="192" t="e">
        <f t="shared" ca="1" si="100"/>
        <v>#NAME?</v>
      </c>
      <c r="FW233" s="197" t="e">
        <f t="shared" ca="1" si="101"/>
        <v>#NAME?</v>
      </c>
      <c r="FX233" s="209" t="e">
        <f t="shared" ca="1" si="102"/>
        <v>#NAME?</v>
      </c>
      <c r="FY233" s="211" t="e">
        <f t="shared" ca="1" si="347"/>
        <v>#NAME?</v>
      </c>
      <c r="FZ233" s="36" t="str">
        <f t="shared" si="104"/>
        <v>No</v>
      </c>
      <c r="GA233" s="196">
        <f>COUNTIF($FZ$2:$FZ$92, FZ233)/(COUNTIF($FZ$2:$FZ$92, "&lt;&gt;""") - COUNTIF($FZ$2:$FZ$92, ""))</f>
        <v>0.76666666666666672</v>
      </c>
      <c r="GB233" s="196">
        <f t="shared" si="105"/>
        <v>0</v>
      </c>
      <c r="GC233" s="196">
        <f>COUNTIF($GB$2:$GB$92, GB233)/(COUNTIF($GB$2:$GB$92, "&lt;&gt;""") - COUNTIF($GB$2:$GB$92, ""))</f>
        <v>1.1111111111111112E-2</v>
      </c>
      <c r="GD233" s="196">
        <f t="shared" si="106"/>
        <v>0</v>
      </c>
      <c r="GE233" s="196">
        <f>COUNTIF($GD$2:$GD$92, GD233)/(COUNTIF($GD$2:$GD$92, "&lt;&gt;""") - COUNTIF($GD$2:$GD$92, ""))</f>
        <v>1.1111111111111112E-2</v>
      </c>
      <c r="GF233" s="207"/>
      <c r="GG233" s="36"/>
      <c r="GH233" s="209" t="e">
        <f t="shared" ca="1" si="107"/>
        <v>#NAME?</v>
      </c>
      <c r="GI233" s="212" t="e">
        <f t="shared" ca="1" si="348"/>
        <v>#NAME?</v>
      </c>
    </row>
    <row r="234" spans="1:191" ht="15.75" customHeight="1">
      <c r="A234" s="171"/>
      <c r="B234" s="171" t="s">
        <v>501</v>
      </c>
      <c r="C234" s="16">
        <v>1769091</v>
      </c>
      <c r="D234" s="233" t="s">
        <v>1698</v>
      </c>
      <c r="E234" s="234">
        <v>43829.40902777778</v>
      </c>
      <c r="F234" s="16" t="s">
        <v>329</v>
      </c>
      <c r="G234" s="235" t="s">
        <v>1699</v>
      </c>
      <c r="H234" s="235" t="s">
        <v>1700</v>
      </c>
      <c r="I234" s="271">
        <v>43826</v>
      </c>
      <c r="J234" s="233" t="s">
        <v>1701</v>
      </c>
      <c r="K234" s="233" t="s">
        <v>1698</v>
      </c>
      <c r="M234" s="16" t="s">
        <v>1552</v>
      </c>
      <c r="N234" s="16" t="s">
        <v>278</v>
      </c>
      <c r="O234" s="16" t="s">
        <v>30</v>
      </c>
      <c r="P234" s="16" t="s">
        <v>197</v>
      </c>
      <c r="Q234" s="16" t="s">
        <v>35</v>
      </c>
      <c r="S234" s="16" t="s">
        <v>269</v>
      </c>
      <c r="T234" s="237"/>
      <c r="U234" s="213"/>
      <c r="V234" s="54"/>
      <c r="W234" s="54">
        <v>20000000</v>
      </c>
      <c r="X234" s="226">
        <v>0.1</v>
      </c>
      <c r="Y234" s="55">
        <f t="shared" si="158"/>
        <v>18000000</v>
      </c>
      <c r="Z234" s="274">
        <f t="shared" si="159"/>
        <v>18000000</v>
      </c>
      <c r="AA234" s="183" t="e">
        <f t="shared" ca="1" si="160"/>
        <v>#NAME?</v>
      </c>
      <c r="AB234" s="16" t="s">
        <v>178</v>
      </c>
      <c r="AC234" s="16" t="s">
        <v>179</v>
      </c>
      <c r="AD234" s="16" t="s">
        <v>180</v>
      </c>
      <c r="AE234" s="16" t="s">
        <v>227</v>
      </c>
      <c r="AF234" s="16" t="s">
        <v>39</v>
      </c>
      <c r="AG234" s="16" t="s">
        <v>181</v>
      </c>
      <c r="AH234" s="16" t="s">
        <v>190</v>
      </c>
      <c r="AI234" s="54"/>
      <c r="AJ234" s="278">
        <v>29800000000000</v>
      </c>
      <c r="AK234" s="224" t="e">
        <f t="shared" ca="1" si="161"/>
        <v>#NAME?</v>
      </c>
      <c r="AL234" s="278">
        <v>29800000000000</v>
      </c>
      <c r="AM234" s="224" t="e">
        <f t="shared" ca="1" si="162"/>
        <v>#NAME?</v>
      </c>
      <c r="AN234" s="278">
        <v>0.11</v>
      </c>
      <c r="AO234" s="185" t="e">
        <f t="shared" ca="1" si="63"/>
        <v>#NAME?</v>
      </c>
      <c r="AP234" s="185" t="s">
        <v>264</v>
      </c>
      <c r="AQ234" s="16" t="s">
        <v>39</v>
      </c>
      <c r="AR234" s="16" t="s">
        <v>39</v>
      </c>
      <c r="AS234" s="16" t="s">
        <v>182</v>
      </c>
      <c r="AT234" s="159"/>
      <c r="AU234" s="159"/>
      <c r="AV234" s="16" t="s">
        <v>190</v>
      </c>
      <c r="AW234" s="16" t="s">
        <v>190</v>
      </c>
      <c r="AX234" s="16" t="s">
        <v>227</v>
      </c>
      <c r="AY234" s="16" t="s">
        <v>227</v>
      </c>
      <c r="AZ234" s="54">
        <v>50895</v>
      </c>
      <c r="BA234" s="55" t="e">
        <f t="shared" ca="1" si="163"/>
        <v>#NAME?</v>
      </c>
      <c r="BB234" s="278">
        <v>117207</v>
      </c>
      <c r="BC234" s="278">
        <v>3711000</v>
      </c>
      <c r="BD234" s="62" t="e">
        <f t="shared" ca="1" si="164"/>
        <v>#NAME?</v>
      </c>
      <c r="BE234" s="277">
        <f t="shared" si="165"/>
        <v>3.1583670169765564E-2</v>
      </c>
      <c r="BF234" s="62" t="e">
        <f t="shared" ca="1" si="166"/>
        <v>#NAME?</v>
      </c>
      <c r="BG234" s="16" t="s">
        <v>202</v>
      </c>
      <c r="BI234" s="16" t="s">
        <v>227</v>
      </c>
      <c r="BJ234" s="16">
        <v>1</v>
      </c>
      <c r="BK234" s="278">
        <v>4</v>
      </c>
      <c r="BL234" s="16" t="s">
        <v>227</v>
      </c>
      <c r="BM234" s="16" t="s">
        <v>190</v>
      </c>
      <c r="BN234" s="16" t="s">
        <v>227</v>
      </c>
      <c r="BO234" s="16" t="s">
        <v>190</v>
      </c>
      <c r="BP234" s="16">
        <v>12</v>
      </c>
      <c r="BQ234" s="16">
        <v>14</v>
      </c>
      <c r="BR234" s="16">
        <v>1</v>
      </c>
      <c r="BS234" s="16">
        <v>0</v>
      </c>
      <c r="BT234" s="205"/>
      <c r="BU234" s="16">
        <v>20</v>
      </c>
      <c r="BV234" s="16">
        <v>2</v>
      </c>
      <c r="BW234" s="16">
        <v>42</v>
      </c>
      <c r="BX234" s="16" t="s">
        <v>227</v>
      </c>
      <c r="BY234" s="205"/>
      <c r="BZ234" s="16">
        <v>2</v>
      </c>
      <c r="CA234" s="16">
        <v>0</v>
      </c>
      <c r="CB234" s="16">
        <v>36</v>
      </c>
      <c r="CC234" s="16" t="s">
        <v>227</v>
      </c>
      <c r="CD234" s="205"/>
      <c r="CE234" s="16">
        <v>9</v>
      </c>
      <c r="CF234" s="16">
        <v>1</v>
      </c>
      <c r="CG234" s="16">
        <v>35</v>
      </c>
      <c r="CH234" s="16" t="s">
        <v>190</v>
      </c>
      <c r="CI234" s="205"/>
      <c r="CJ234" s="16">
        <v>2</v>
      </c>
      <c r="CK234" s="16">
        <v>0</v>
      </c>
      <c r="CL234" s="16">
        <v>27</v>
      </c>
      <c r="CM234" s="16" t="s">
        <v>227</v>
      </c>
      <c r="CN234" s="205"/>
      <c r="CS234" s="205"/>
      <c r="CX234" s="205"/>
      <c r="DC234" s="205"/>
      <c r="DH234" s="205"/>
      <c r="DM234" s="205"/>
      <c r="DN234" s="205"/>
      <c r="DO234" s="205"/>
      <c r="DQ234" s="206"/>
      <c r="DR234" s="188">
        <f t="shared" si="64"/>
        <v>8.25</v>
      </c>
      <c r="DS234" s="188"/>
      <c r="DT234" s="189">
        <f t="shared" si="65"/>
        <v>3</v>
      </c>
      <c r="DU234" s="189"/>
      <c r="DV234" s="188">
        <f t="shared" si="66"/>
        <v>35</v>
      </c>
      <c r="DW234" s="183" t="e">
        <f t="shared" ca="1" si="67"/>
        <v>#NAME?</v>
      </c>
      <c r="DX234" s="207"/>
      <c r="DY234" s="190" t="e">
        <f t="shared" ca="1" si="68"/>
        <v>#NAME?</v>
      </c>
      <c r="DZ234" s="191">
        <f t="shared" si="338"/>
        <v>2.0526315789473681</v>
      </c>
      <c r="EA234" s="191" t="str">
        <f t="shared" si="339"/>
        <v/>
      </c>
      <c r="EB234" s="191" t="str">
        <f t="shared" si="340"/>
        <v/>
      </c>
      <c r="EC234" s="208" t="e">
        <f t="shared" ca="1" si="72"/>
        <v>#NAME?</v>
      </c>
      <c r="ED234" s="36" t="str">
        <f t="shared" si="73"/>
        <v>SAFE</v>
      </c>
      <c r="EE234" s="193">
        <f>COUNTIF($ED$2:$ED$92, ED234)/(COUNTIF($ED$2:$ED$92, "&lt;&gt;""") - COUNTIF($ED$2:$ED$92, ""))</f>
        <v>0.37777777777777777</v>
      </c>
      <c r="EF234" s="36" t="str">
        <f t="shared" si="74"/>
        <v>Early</v>
      </c>
      <c r="EG234" s="207"/>
      <c r="EH234" s="194" t="e">
        <f t="shared" ca="1" si="75"/>
        <v>#NAME?</v>
      </c>
      <c r="EI234" s="194" t="e">
        <f t="shared" ca="1" si="76"/>
        <v>#NAME?</v>
      </c>
      <c r="EJ234" s="209" t="e">
        <f t="shared" ca="1" si="77"/>
        <v>#NAME?</v>
      </c>
      <c r="EK234" s="208" t="e">
        <f t="shared" ca="1" si="341"/>
        <v>#NAME?</v>
      </c>
      <c r="EL234" s="36" t="str">
        <f t="shared" si="79"/>
        <v>No</v>
      </c>
      <c r="EM234" s="207"/>
      <c r="EN234" s="192">
        <f t="shared" si="342"/>
        <v>1.7857142857142856</v>
      </c>
      <c r="EO234" s="192">
        <f t="shared" si="343"/>
        <v>4</v>
      </c>
      <c r="EP234" s="209">
        <f t="shared" si="82"/>
        <v>5.7857142857142856</v>
      </c>
      <c r="EQ234" s="210">
        <f t="shared" si="344"/>
        <v>3.97196261682243</v>
      </c>
      <c r="ER234" s="36" t="e">
        <f t="shared" ca="1" si="84"/>
        <v>#NAME?</v>
      </c>
      <c r="ES234" s="40">
        <f ca="1">COUNTIF($ER$2:$ER$92, ER234)/(COUNTIF($ER$2:$ER$92, "&lt;&gt;""") - COUNTIF($ER$2:$ER$92, ""))</f>
        <v>1</v>
      </c>
      <c r="ET234" s="36">
        <f t="shared" si="85"/>
        <v>4</v>
      </c>
      <c r="EU234" s="40">
        <f>COUNTIF($ET$2:$ET$92, ET234)/(COUNTIF($ET$2:$ET$92, "&lt;&gt;""") - COUNTIF($ET$2:$ET$92, ""))</f>
        <v>4.4444444444444446E-2</v>
      </c>
      <c r="EV234" s="36">
        <f t="shared" si="86"/>
        <v>14</v>
      </c>
      <c r="EW234" s="40">
        <f>COUNTIF($EV$2:$EV$92, EV234)/(COUNTIF($EV$2:$EV$92, "&lt;&gt;""") - COUNTIF($EV$2:$EV$92, ""))</f>
        <v>3.3333333333333333E-2</v>
      </c>
      <c r="EX234" s="36" t="str">
        <f t="shared" si="87"/>
        <v>Yes</v>
      </c>
      <c r="EY234" s="40">
        <f>COUNTIF($EX$2:$EX$92, EX234)/(COUNTIF($EX$2:$EX$92, "&lt;&gt;""") - COUNTIF($EX$2:$EX$92, ""))</f>
        <v>0.27777777777777779</v>
      </c>
      <c r="EZ234" s="36" t="str">
        <f t="shared" ref="EZ234:FB234" si="377">BM234</f>
        <v>No</v>
      </c>
      <c r="FA234" s="36" t="str">
        <f t="shared" si="377"/>
        <v>Yes</v>
      </c>
      <c r="FB234" s="36" t="str">
        <f t="shared" si="377"/>
        <v>No</v>
      </c>
      <c r="FC234" s="207"/>
      <c r="FD234" s="36" t="str">
        <f t="shared" si="89"/>
        <v>Recurring</v>
      </c>
      <c r="FE234" s="40">
        <f>COUNTIF($FD$2:$FD$92, FD234)/(COUNTIF($FD$2:$FD$92, "&lt;&gt;""") - COUNTIF($FD$2:$FD$92, ""))</f>
        <v>0.4</v>
      </c>
      <c r="FF234" s="36" t="str">
        <f t="shared" si="90"/>
        <v>B2C</v>
      </c>
      <c r="FG234" s="40">
        <f>COUNTIF($FF$2:$FF$92, FF234)/(COUNTIF($FF$2:$FF$92, "&lt;&gt;""") - COUNTIF($FF$2:$FF$92, ""))</f>
        <v>0.41111111111111109</v>
      </c>
      <c r="FH234" s="36" t="str">
        <f t="shared" si="91"/>
        <v>High</v>
      </c>
      <c r="FI234" s="40">
        <f>COUNTIF($FH$2:$FH$92, FH234)/(COUNTIF($FH$2:$FH$92, "&lt;&gt;""") - COUNTIF($FH$2:$FH$92, ""))</f>
        <v>0.53333333333333333</v>
      </c>
      <c r="FJ234" s="36" t="str">
        <f t="shared" si="92"/>
        <v>Low</v>
      </c>
      <c r="FK234" s="40">
        <f>COUNTIF($FJ$2:$FJ$92, FJ234)/(COUNTIF($FJ$2:$FJ$92, "&lt;&gt;""") - COUNTIF($FJ$2:$FJ$92, ""))</f>
        <v>0.41111111111111109</v>
      </c>
      <c r="FL234" s="207"/>
      <c r="FM234" s="192">
        <f t="shared" si="93"/>
        <v>5</v>
      </c>
      <c r="FN234" s="192" t="e">
        <f t="shared" ca="1" si="94"/>
        <v>#NAME?</v>
      </c>
      <c r="FO234" s="192" t="e">
        <f t="shared" ca="1" si="95"/>
        <v>#NAME?</v>
      </c>
      <c r="FP234" s="192" t="e">
        <f t="shared" ca="1" si="96"/>
        <v>#NAME?</v>
      </c>
      <c r="FQ234" s="209" t="e">
        <f t="shared" ca="1" si="97"/>
        <v>#NAME?</v>
      </c>
      <c r="FR234" s="208" t="e">
        <f t="shared" ca="1" si="346"/>
        <v>#NAME?</v>
      </c>
      <c r="FS234" s="36" t="str">
        <f t="shared" si="99"/>
        <v>Pre-Profit</v>
      </c>
      <c r="FT234" s="196">
        <f>COUNTIF($FS$2:$FS$92, FS234)/(COUNTIF($FS$2:$FS$92, "&lt;&gt;""") - COUNTIF($FZ$2:$FZ$92, ""))</f>
        <v>0.51111111111111107</v>
      </c>
      <c r="FU234" s="207"/>
      <c r="FV234" s="192" t="e">
        <f t="shared" ca="1" si="100"/>
        <v>#NAME?</v>
      </c>
      <c r="FW234" s="197" t="e">
        <f t="shared" ca="1" si="101"/>
        <v>#NAME?</v>
      </c>
      <c r="FX234" s="209" t="e">
        <f t="shared" ca="1" si="102"/>
        <v>#NAME?</v>
      </c>
      <c r="FY234" s="211" t="e">
        <f t="shared" ca="1" si="347"/>
        <v>#NAME?</v>
      </c>
      <c r="FZ234" s="36" t="str">
        <f t="shared" si="104"/>
        <v>No</v>
      </c>
      <c r="GA234" s="196">
        <f>COUNTIF($FZ$2:$FZ$92, FZ234)/(COUNTIF($FZ$2:$FZ$92, "&lt;&gt;""") - COUNTIF($FZ$2:$FZ$92, ""))</f>
        <v>0.76666666666666672</v>
      </c>
      <c r="GB234" s="196">
        <f t="shared" si="105"/>
        <v>0</v>
      </c>
      <c r="GC234" s="196">
        <f>COUNTIF($GB$2:$GB$92, GB234)/(COUNTIF($GB$2:$GB$92, "&lt;&gt;""") - COUNTIF($GB$2:$GB$92, ""))</f>
        <v>1.1111111111111112E-2</v>
      </c>
      <c r="GD234" s="196">
        <f t="shared" si="106"/>
        <v>0</v>
      </c>
      <c r="GE234" s="196">
        <f>COUNTIF($GD$2:$GD$92, GD234)/(COUNTIF($GD$2:$GD$92, "&lt;&gt;""") - COUNTIF($GD$2:$GD$92, ""))</f>
        <v>1.1111111111111112E-2</v>
      </c>
      <c r="GF234" s="207"/>
      <c r="GG234" s="36"/>
      <c r="GH234" s="209" t="e">
        <f t="shared" ca="1" si="107"/>
        <v>#NAME?</v>
      </c>
      <c r="GI234" s="212" t="e">
        <f t="shared" ca="1" si="348"/>
        <v>#NAME?</v>
      </c>
    </row>
    <row r="235" spans="1:191" ht="15.75" customHeight="1">
      <c r="A235" s="171"/>
      <c r="B235" s="171" t="s">
        <v>501</v>
      </c>
      <c r="C235" s="16">
        <v>1691657</v>
      </c>
      <c r="D235" s="233" t="s">
        <v>1702</v>
      </c>
      <c r="E235" s="234">
        <v>43829.411805555559</v>
      </c>
      <c r="F235" s="16" t="s">
        <v>329</v>
      </c>
      <c r="G235" s="235" t="s">
        <v>1703</v>
      </c>
      <c r="H235" s="235" t="s">
        <v>1704</v>
      </c>
      <c r="I235" s="271">
        <v>43825</v>
      </c>
      <c r="J235" s="233" t="s">
        <v>1705</v>
      </c>
      <c r="K235" s="233" t="s">
        <v>1702</v>
      </c>
      <c r="M235" s="16" t="s">
        <v>323</v>
      </c>
      <c r="N235" s="16" t="s">
        <v>320</v>
      </c>
      <c r="O235" s="16" t="s">
        <v>30</v>
      </c>
      <c r="P235" s="16" t="s">
        <v>174</v>
      </c>
      <c r="Q235" s="16" t="s">
        <v>35</v>
      </c>
      <c r="S235" s="16" t="s">
        <v>269</v>
      </c>
      <c r="T235" s="237"/>
      <c r="U235" s="213"/>
      <c r="V235" s="54"/>
      <c r="W235" s="54">
        <v>7000000</v>
      </c>
      <c r="X235" s="226">
        <v>0.2</v>
      </c>
      <c r="Y235" s="55">
        <f t="shared" si="158"/>
        <v>5600000</v>
      </c>
      <c r="Z235" s="274">
        <f t="shared" si="159"/>
        <v>5600000</v>
      </c>
      <c r="AA235" s="183" t="e">
        <f t="shared" ca="1" si="160"/>
        <v>#NAME?</v>
      </c>
      <c r="AB235" s="16" t="s">
        <v>36</v>
      </c>
      <c r="AC235" s="16" t="s">
        <v>218</v>
      </c>
      <c r="AD235" s="16" t="s">
        <v>38</v>
      </c>
      <c r="AE235" s="16" t="s">
        <v>227</v>
      </c>
      <c r="AF235" s="16" t="s">
        <v>181</v>
      </c>
      <c r="AG235" s="16" t="s">
        <v>181</v>
      </c>
      <c r="AH235" s="16" t="s">
        <v>190</v>
      </c>
      <c r="AI235" s="54"/>
      <c r="AJ235" s="278">
        <v>7175000000</v>
      </c>
      <c r="AK235" s="224" t="e">
        <f t="shared" ca="1" si="161"/>
        <v>#NAME?</v>
      </c>
      <c r="AL235" s="278">
        <v>7175000000</v>
      </c>
      <c r="AM235" s="224" t="e">
        <f t="shared" ca="1" si="162"/>
        <v>#NAME?</v>
      </c>
      <c r="AN235" s="278">
        <v>0.27</v>
      </c>
      <c r="AO235" s="185" t="e">
        <f t="shared" ca="1" si="63"/>
        <v>#NAME?</v>
      </c>
      <c r="AP235" s="185" t="s">
        <v>169</v>
      </c>
      <c r="AQ235" s="16" t="s">
        <v>39</v>
      </c>
      <c r="AR235" s="16" t="s">
        <v>181</v>
      </c>
      <c r="AS235" s="16" t="s">
        <v>182</v>
      </c>
      <c r="AT235" s="159"/>
      <c r="AU235" s="159"/>
      <c r="AV235" s="16" t="s">
        <v>190</v>
      </c>
      <c r="AW235" s="16" t="s">
        <v>190</v>
      </c>
      <c r="AX235" s="16" t="s">
        <v>227</v>
      </c>
      <c r="AY235" s="16" t="s">
        <v>227</v>
      </c>
      <c r="AZ235" s="54">
        <v>48383</v>
      </c>
      <c r="BA235" s="55" t="e">
        <f t="shared" ca="1" si="163"/>
        <v>#NAME?</v>
      </c>
      <c r="BB235" s="278">
        <v>24648</v>
      </c>
      <c r="BC235" s="278">
        <v>700000</v>
      </c>
      <c r="BD235" s="62" t="e">
        <f t="shared" ca="1" si="164"/>
        <v>#NAME?</v>
      </c>
      <c r="BE235" s="277">
        <f t="shared" si="165"/>
        <v>3.5211428571428574E-2</v>
      </c>
      <c r="BF235" s="62" t="e">
        <f t="shared" ca="1" si="166"/>
        <v>#NAME?</v>
      </c>
      <c r="BG235" s="16" t="s">
        <v>202</v>
      </c>
      <c r="BI235" s="16" t="s">
        <v>227</v>
      </c>
      <c r="BJ235" s="16">
        <v>5</v>
      </c>
      <c r="BK235" s="278">
        <v>2</v>
      </c>
      <c r="BL235" s="16" t="s">
        <v>227</v>
      </c>
      <c r="BM235" s="16" t="s">
        <v>190</v>
      </c>
      <c r="BN235" s="16" t="s">
        <v>190</v>
      </c>
      <c r="BO235" s="16" t="s">
        <v>190</v>
      </c>
      <c r="BP235" s="16">
        <v>1</v>
      </c>
      <c r="BQ235" s="16">
        <v>2</v>
      </c>
      <c r="BR235" s="16">
        <v>3</v>
      </c>
      <c r="BS235" s="16">
        <v>0</v>
      </c>
      <c r="BT235" s="205"/>
      <c r="BU235" s="16">
        <v>5</v>
      </c>
      <c r="BV235" s="16">
        <v>0</v>
      </c>
      <c r="BW235" s="16">
        <v>35</v>
      </c>
      <c r="BX235" s="16" t="s">
        <v>227</v>
      </c>
      <c r="BY235" s="205"/>
      <c r="BZ235" s="16">
        <v>3</v>
      </c>
      <c r="CA235" s="16">
        <v>0</v>
      </c>
      <c r="CB235" s="16">
        <v>35</v>
      </c>
      <c r="CC235" s="16" t="s">
        <v>227</v>
      </c>
      <c r="CD235" s="205"/>
      <c r="CI235" s="205"/>
      <c r="CN235" s="205"/>
      <c r="CS235" s="205"/>
      <c r="CX235" s="205"/>
      <c r="DC235" s="205"/>
      <c r="DH235" s="205"/>
      <c r="DM235" s="205"/>
      <c r="DN235" s="205"/>
      <c r="DO235" s="205"/>
      <c r="DQ235" s="206"/>
      <c r="DR235" s="188">
        <f t="shared" si="64"/>
        <v>4</v>
      </c>
      <c r="DS235" s="188"/>
      <c r="DT235" s="189">
        <f t="shared" si="65"/>
        <v>0</v>
      </c>
      <c r="DU235" s="189"/>
      <c r="DV235" s="188">
        <f t="shared" si="66"/>
        <v>35</v>
      </c>
      <c r="DW235" s="183" t="e">
        <f t="shared" ca="1" si="67"/>
        <v>#NAME?</v>
      </c>
      <c r="DX235" s="207"/>
      <c r="DY235" s="190" t="e">
        <f t="shared" ca="1" si="68"/>
        <v>#NAME?</v>
      </c>
      <c r="DZ235" s="191">
        <f t="shared" si="338"/>
        <v>3.1052631578947367</v>
      </c>
      <c r="EA235" s="191" t="str">
        <f t="shared" si="339"/>
        <v/>
      </c>
      <c r="EB235" s="191" t="str">
        <f t="shared" si="340"/>
        <v/>
      </c>
      <c r="EC235" s="208" t="e">
        <f t="shared" ca="1" si="72"/>
        <v>#NAME?</v>
      </c>
      <c r="ED235" s="36" t="str">
        <f t="shared" si="73"/>
        <v>SAFE</v>
      </c>
      <c r="EE235" s="193">
        <f>COUNTIF($ED$2:$ED$92, ED235)/(COUNTIF($ED$2:$ED$92, "&lt;&gt;""") - COUNTIF($ED$2:$ED$92, ""))</f>
        <v>0.37777777777777777</v>
      </c>
      <c r="EF235" s="36" t="str">
        <f t="shared" si="74"/>
        <v>Early</v>
      </c>
      <c r="EG235" s="207"/>
      <c r="EH235" s="194" t="e">
        <f t="shared" ca="1" si="75"/>
        <v>#NAME?</v>
      </c>
      <c r="EI235" s="194" t="e">
        <f t="shared" ca="1" si="76"/>
        <v>#NAME?</v>
      </c>
      <c r="EJ235" s="209" t="e">
        <f t="shared" ca="1" si="77"/>
        <v>#NAME?</v>
      </c>
      <c r="EK235" s="208" t="e">
        <f t="shared" ca="1" si="341"/>
        <v>#NAME?</v>
      </c>
      <c r="EL235" s="36" t="str">
        <f t="shared" si="79"/>
        <v>No</v>
      </c>
      <c r="EM235" s="207"/>
      <c r="EN235" s="192">
        <f t="shared" si="342"/>
        <v>1.3809523809523809</v>
      </c>
      <c r="EO235" s="192">
        <f t="shared" si="343"/>
        <v>1</v>
      </c>
      <c r="EP235" s="209">
        <f t="shared" si="82"/>
        <v>2.3809523809523809</v>
      </c>
      <c r="EQ235" s="210">
        <f t="shared" si="344"/>
        <v>1.2990654205607477</v>
      </c>
      <c r="ER235" s="36" t="e">
        <f t="shared" ca="1" si="84"/>
        <v>#NAME?</v>
      </c>
      <c r="ES235" s="40">
        <f ca="1">COUNTIF($ER$2:$ER$92, ER235)/(COUNTIF($ER$2:$ER$92, "&lt;&gt;""") - COUNTIF($ER$2:$ER$92, ""))</f>
        <v>1</v>
      </c>
      <c r="ET235" s="36">
        <f t="shared" si="85"/>
        <v>2</v>
      </c>
      <c r="EU235" s="40">
        <f>COUNTIF($ET$2:$ET$92, ET235)/(COUNTIF($ET$2:$ET$92, "&lt;&gt;""") - COUNTIF($ET$2:$ET$92, ""))</f>
        <v>0.45555555555555555</v>
      </c>
      <c r="EV235" s="36">
        <f t="shared" si="86"/>
        <v>2</v>
      </c>
      <c r="EW235" s="40">
        <f>COUNTIF($EV$2:$EV$92, EV235)/(COUNTIF($EV$2:$EV$92, "&lt;&gt;""") - COUNTIF($EV$2:$EV$92, ""))</f>
        <v>0.15555555555555556</v>
      </c>
      <c r="EX235" s="36" t="str">
        <f t="shared" si="87"/>
        <v>Yes</v>
      </c>
      <c r="EY235" s="40">
        <f>COUNTIF($EX$2:$EX$92, EX235)/(COUNTIF($EX$2:$EX$92, "&lt;&gt;""") - COUNTIF($EX$2:$EX$92, ""))</f>
        <v>0.27777777777777779</v>
      </c>
      <c r="EZ235" s="36" t="str">
        <f t="shared" ref="EZ235:FB235" si="378">BM235</f>
        <v>No</v>
      </c>
      <c r="FA235" s="36" t="str">
        <f t="shared" si="378"/>
        <v>No</v>
      </c>
      <c r="FB235" s="36" t="str">
        <f t="shared" si="378"/>
        <v>No</v>
      </c>
      <c r="FC235" s="207"/>
      <c r="FD235" s="36" t="str">
        <f t="shared" si="89"/>
        <v>Transactional</v>
      </c>
      <c r="FE235" s="40">
        <f>COUNTIF($FD$2:$FD$92, FD235)/(COUNTIF($FD$2:$FD$92, "&lt;&gt;""") - COUNTIF($FD$2:$FD$92, ""))</f>
        <v>0.6</v>
      </c>
      <c r="FF235" s="36" t="str">
        <f t="shared" si="90"/>
        <v>B2B/B2C</v>
      </c>
      <c r="FG235" s="40">
        <f>COUNTIF($FF$2:$FF$92, FF235)/(COUNTIF($FF$2:$FF$92, "&lt;&gt;""") - COUNTIF($FF$2:$FF$92, ""))</f>
        <v>0.27777777777777779</v>
      </c>
      <c r="FH235" s="36" t="str">
        <f t="shared" si="91"/>
        <v>Low</v>
      </c>
      <c r="FI235" s="40">
        <f>COUNTIF($FH$2:$FH$92, FH235)/(COUNTIF($FH$2:$FH$92, "&lt;&gt;""") - COUNTIF($FH$2:$FH$92, ""))</f>
        <v>0.46666666666666667</v>
      </c>
      <c r="FJ235" s="36" t="str">
        <f t="shared" si="92"/>
        <v>Low</v>
      </c>
      <c r="FK235" s="40">
        <f>COUNTIF($FJ$2:$FJ$92, FJ235)/(COUNTIF($FJ$2:$FJ$92, "&lt;&gt;""") - COUNTIF($FJ$2:$FJ$92, ""))</f>
        <v>0.41111111111111109</v>
      </c>
      <c r="FL235" s="207"/>
      <c r="FM235" s="192">
        <f t="shared" si="93"/>
        <v>5</v>
      </c>
      <c r="FN235" s="192" t="e">
        <f t="shared" ca="1" si="94"/>
        <v>#NAME?</v>
      </c>
      <c r="FO235" s="192" t="e">
        <f t="shared" ca="1" si="95"/>
        <v>#NAME?</v>
      </c>
      <c r="FP235" s="192" t="e">
        <f t="shared" ca="1" si="96"/>
        <v>#NAME?</v>
      </c>
      <c r="FQ235" s="209" t="e">
        <f t="shared" ca="1" si="97"/>
        <v>#NAME?</v>
      </c>
      <c r="FR235" s="208" t="e">
        <f t="shared" ca="1" si="346"/>
        <v>#NAME?</v>
      </c>
      <c r="FS235" s="36" t="str">
        <f t="shared" si="99"/>
        <v>Pre-Profit</v>
      </c>
      <c r="FT235" s="196">
        <f>COUNTIF($FS$2:$FS$92, FS235)/(COUNTIF($FS$2:$FS$92, "&lt;&gt;""") - COUNTIF($FZ$2:$FZ$92, ""))</f>
        <v>0.51111111111111107</v>
      </c>
      <c r="FU235" s="207"/>
      <c r="FV235" s="192">
        <f t="shared" si="100"/>
        <v>3</v>
      </c>
      <c r="FW235" s="197" t="e">
        <f t="shared" ca="1" si="101"/>
        <v>#NAME?</v>
      </c>
      <c r="FX235" s="209" t="e">
        <f t="shared" ca="1" si="102"/>
        <v>#NAME?</v>
      </c>
      <c r="FY235" s="211" t="e">
        <f t="shared" ca="1" si="347"/>
        <v>#NAME?</v>
      </c>
      <c r="FZ235" s="36" t="str">
        <f t="shared" si="104"/>
        <v>No</v>
      </c>
      <c r="GA235" s="196">
        <f>COUNTIF($FZ$2:$FZ$92, FZ235)/(COUNTIF($FZ$2:$FZ$92, "&lt;&gt;""") - COUNTIF($FZ$2:$FZ$92, ""))</f>
        <v>0.76666666666666672</v>
      </c>
      <c r="GB235" s="196">
        <f t="shared" si="105"/>
        <v>0</v>
      </c>
      <c r="GC235" s="196">
        <f>COUNTIF($GB$2:$GB$92, GB235)/(COUNTIF($GB$2:$GB$92, "&lt;&gt;""") - COUNTIF($GB$2:$GB$92, ""))</f>
        <v>1.1111111111111112E-2</v>
      </c>
      <c r="GD235" s="196">
        <f t="shared" si="106"/>
        <v>0</v>
      </c>
      <c r="GE235" s="196">
        <f>COUNTIF($GD$2:$GD$92, GD235)/(COUNTIF($GD$2:$GD$92, "&lt;&gt;""") - COUNTIF($GD$2:$GD$92, ""))</f>
        <v>1.1111111111111112E-2</v>
      </c>
      <c r="GF235" s="207"/>
      <c r="GG235" s="36"/>
      <c r="GH235" s="209" t="e">
        <f t="shared" ca="1" si="107"/>
        <v>#NAME?</v>
      </c>
      <c r="GI235" s="212" t="e">
        <f t="shared" ca="1" si="348"/>
        <v>#NAME?</v>
      </c>
    </row>
    <row r="236" spans="1:191" ht="15.75" customHeight="1">
      <c r="A236" s="171"/>
      <c r="B236" s="171" t="s">
        <v>501</v>
      </c>
      <c r="C236" s="16">
        <v>1797650</v>
      </c>
      <c r="D236" s="233" t="s">
        <v>1706</v>
      </c>
      <c r="E236" s="234">
        <v>43829.415277777778</v>
      </c>
      <c r="F236" s="16" t="s">
        <v>329</v>
      </c>
      <c r="G236" s="235" t="s">
        <v>1707</v>
      </c>
      <c r="H236" s="235" t="s">
        <v>1708</v>
      </c>
      <c r="I236" s="271">
        <v>43873</v>
      </c>
      <c r="J236" s="233" t="s">
        <v>1709</v>
      </c>
      <c r="K236" s="233" t="s">
        <v>1706</v>
      </c>
      <c r="M236" s="16" t="s">
        <v>319</v>
      </c>
      <c r="N236" s="16" t="s">
        <v>320</v>
      </c>
      <c r="O236" s="16" t="s">
        <v>30</v>
      </c>
      <c r="P236" s="16" t="s">
        <v>174</v>
      </c>
      <c r="Q236" s="16" t="s">
        <v>35</v>
      </c>
      <c r="S236" s="16" t="s">
        <v>269</v>
      </c>
      <c r="T236" s="237"/>
      <c r="U236" s="213"/>
      <c r="V236" s="54"/>
      <c r="W236" s="54">
        <v>5000000</v>
      </c>
      <c r="X236" s="226">
        <v>0.2</v>
      </c>
      <c r="Y236" s="55">
        <f t="shared" si="158"/>
        <v>4000000</v>
      </c>
      <c r="Z236" s="274">
        <f t="shared" si="159"/>
        <v>4000000</v>
      </c>
      <c r="AA236" s="183" t="e">
        <f t="shared" ca="1" si="160"/>
        <v>#NAME?</v>
      </c>
      <c r="AB236" s="16" t="s">
        <v>178</v>
      </c>
      <c r="AC236" s="16" t="s">
        <v>37</v>
      </c>
      <c r="AD236" s="16" t="s">
        <v>180</v>
      </c>
      <c r="AE236" s="16" t="s">
        <v>227</v>
      </c>
      <c r="AF236" s="16" t="s">
        <v>39</v>
      </c>
      <c r="AG236" s="16" t="s">
        <v>181</v>
      </c>
      <c r="AH236" s="16" t="s">
        <v>190</v>
      </c>
      <c r="AI236" s="54"/>
      <c r="AJ236" s="278">
        <v>84000000000</v>
      </c>
      <c r="AK236" s="224" t="e">
        <f t="shared" ca="1" si="161"/>
        <v>#NAME?</v>
      </c>
      <c r="AL236" s="278">
        <v>84000000000</v>
      </c>
      <c r="AM236" s="224" t="e">
        <f t="shared" ca="1" si="162"/>
        <v>#NAME?</v>
      </c>
      <c r="AN236" s="278">
        <v>0.2</v>
      </c>
      <c r="AO236" s="185" t="e">
        <f t="shared" ca="1" si="63"/>
        <v>#NAME?</v>
      </c>
      <c r="AP236" s="185" t="s">
        <v>169</v>
      </c>
      <c r="AQ236" s="16" t="s">
        <v>39</v>
      </c>
      <c r="AR236" s="16" t="s">
        <v>181</v>
      </c>
      <c r="AS236" s="16" t="s">
        <v>182</v>
      </c>
      <c r="AT236" s="159"/>
      <c r="AU236" s="159"/>
      <c r="AV236" s="16" t="s">
        <v>190</v>
      </c>
      <c r="AW236" s="16" t="s">
        <v>227</v>
      </c>
      <c r="AX236" s="16" t="s">
        <v>227</v>
      </c>
      <c r="AY236" s="16" t="s">
        <v>227</v>
      </c>
      <c r="AZ236" s="54">
        <v>0</v>
      </c>
      <c r="BA236" s="55" t="e">
        <f t="shared" ca="1" si="163"/>
        <v>#NAME?</v>
      </c>
      <c r="BB236" s="278">
        <v>10112</v>
      </c>
      <c r="BC236" s="278">
        <v>537500</v>
      </c>
      <c r="BD236" s="62" t="e">
        <f t="shared" ca="1" si="164"/>
        <v>#NAME?</v>
      </c>
      <c r="BE236" s="277">
        <f t="shared" si="165"/>
        <v>1.8813023255813955E-2</v>
      </c>
      <c r="BF236" s="62" t="e">
        <f t="shared" ca="1" si="166"/>
        <v>#NAME?</v>
      </c>
      <c r="BG236" s="16" t="s">
        <v>183</v>
      </c>
      <c r="BI236" s="16" t="s">
        <v>190</v>
      </c>
      <c r="BJ236" s="16">
        <v>0</v>
      </c>
      <c r="BK236" s="278">
        <v>3</v>
      </c>
      <c r="BL236" s="16" t="s">
        <v>227</v>
      </c>
      <c r="BM236" s="16" t="s">
        <v>227</v>
      </c>
      <c r="BN236" s="16" t="s">
        <v>227</v>
      </c>
      <c r="BO236" s="16" t="s">
        <v>190</v>
      </c>
      <c r="BP236" s="16">
        <v>3</v>
      </c>
      <c r="BQ236" s="16">
        <v>3</v>
      </c>
      <c r="BR236" s="16">
        <v>4</v>
      </c>
      <c r="BS236" s="16">
        <v>0</v>
      </c>
      <c r="BT236" s="205"/>
      <c r="BU236" s="16">
        <v>7</v>
      </c>
      <c r="BV236" s="16">
        <v>1</v>
      </c>
      <c r="BW236" s="16">
        <v>27</v>
      </c>
      <c r="BX236" s="16" t="s">
        <v>190</v>
      </c>
      <c r="BY236" s="205"/>
      <c r="BZ236" s="16">
        <v>2</v>
      </c>
      <c r="CA236" s="16">
        <v>0</v>
      </c>
      <c r="CB236" s="16">
        <v>25</v>
      </c>
      <c r="CC236" s="16" t="s">
        <v>190</v>
      </c>
      <c r="CD236" s="205"/>
      <c r="CH236" s="16" t="s">
        <v>190</v>
      </c>
      <c r="CI236" s="205"/>
      <c r="CN236" s="205"/>
      <c r="CS236" s="205"/>
      <c r="CX236" s="205"/>
      <c r="DC236" s="205"/>
      <c r="DH236" s="205"/>
      <c r="DM236" s="205"/>
      <c r="DN236" s="205"/>
      <c r="DO236" s="205"/>
      <c r="DQ236" s="206"/>
      <c r="DR236" s="188">
        <f t="shared" si="64"/>
        <v>4.5</v>
      </c>
      <c r="DS236" s="188"/>
      <c r="DT236" s="189">
        <f t="shared" si="65"/>
        <v>1</v>
      </c>
      <c r="DU236" s="189"/>
      <c r="DV236" s="188">
        <f t="shared" si="66"/>
        <v>26</v>
      </c>
      <c r="DW236" s="183" t="e">
        <f t="shared" ca="1" si="67"/>
        <v>#NAME?</v>
      </c>
      <c r="DX236" s="207"/>
      <c r="DY236" s="190" t="e">
        <f t="shared" ca="1" si="68"/>
        <v>#NAME?</v>
      </c>
      <c r="DZ236" s="191">
        <f t="shared" si="338"/>
        <v>3.1052631578947367</v>
      </c>
      <c r="EA236" s="191" t="str">
        <f t="shared" si="339"/>
        <v/>
      </c>
      <c r="EB236" s="191" t="str">
        <f t="shared" si="340"/>
        <v/>
      </c>
      <c r="EC236" s="208" t="e">
        <f t="shared" ca="1" si="72"/>
        <v>#NAME?</v>
      </c>
      <c r="ED236" s="36" t="str">
        <f t="shared" si="73"/>
        <v>SAFE</v>
      </c>
      <c r="EE236" s="193">
        <f>COUNTIF($ED$2:$ED$92, ED236)/(COUNTIF($ED$2:$ED$92, "&lt;&gt;""") - COUNTIF($ED$2:$ED$92, ""))</f>
        <v>0.37777777777777777</v>
      </c>
      <c r="EF236" s="36" t="str">
        <f t="shared" si="74"/>
        <v>Early</v>
      </c>
      <c r="EG236" s="207"/>
      <c r="EH236" s="194" t="e">
        <f t="shared" ca="1" si="75"/>
        <v>#NAME?</v>
      </c>
      <c r="EI236" s="194" t="e">
        <f t="shared" ca="1" si="76"/>
        <v>#NAME?</v>
      </c>
      <c r="EJ236" s="209" t="e">
        <f t="shared" ca="1" si="77"/>
        <v>#NAME?</v>
      </c>
      <c r="EK236" s="208" t="e">
        <f t="shared" ca="1" si="341"/>
        <v>#NAME?</v>
      </c>
      <c r="EL236" s="36" t="str">
        <f t="shared" si="79"/>
        <v>No</v>
      </c>
      <c r="EM236" s="207"/>
      <c r="EN236" s="192">
        <f t="shared" si="342"/>
        <v>1.4285714285714286</v>
      </c>
      <c r="EO236" s="192">
        <f t="shared" si="343"/>
        <v>2</v>
      </c>
      <c r="EP236" s="209">
        <f t="shared" si="82"/>
        <v>3.4285714285714288</v>
      </c>
      <c r="EQ236" s="210">
        <f t="shared" si="344"/>
        <v>2.1214953271028039</v>
      </c>
      <c r="ER236" s="36" t="e">
        <f t="shared" ca="1" si="84"/>
        <v>#NAME?</v>
      </c>
      <c r="ES236" s="40">
        <f ca="1">COUNTIF($ER$2:$ER$92, ER236)/(COUNTIF($ER$2:$ER$92, "&lt;&gt;""") - COUNTIF($ER$2:$ER$92, ""))</f>
        <v>1</v>
      </c>
      <c r="ET236" s="36">
        <f t="shared" si="85"/>
        <v>3</v>
      </c>
      <c r="EU236" s="40">
        <f>COUNTIF($ET$2:$ET$92, ET236)/(COUNTIF($ET$2:$ET$92, "&lt;&gt;""") - COUNTIF($ET$2:$ET$92, ""))</f>
        <v>4.4444444444444446E-2</v>
      </c>
      <c r="EV236" s="36">
        <f t="shared" si="86"/>
        <v>3</v>
      </c>
      <c r="EW236" s="40">
        <f>COUNTIF($EV$2:$EV$92, EV236)/(COUNTIF($EV$2:$EV$92, "&lt;&gt;""") - COUNTIF($EV$2:$EV$92, ""))</f>
        <v>8.8888888888888892E-2</v>
      </c>
      <c r="EX236" s="36" t="str">
        <f t="shared" si="87"/>
        <v>Yes</v>
      </c>
      <c r="EY236" s="40">
        <f>COUNTIF($EX$2:$EX$92, EX236)/(COUNTIF($EX$2:$EX$92, "&lt;&gt;""") - COUNTIF($EX$2:$EX$92, ""))</f>
        <v>0.27777777777777779</v>
      </c>
      <c r="EZ236" s="36" t="str">
        <f t="shared" ref="EZ236:FB236" si="379">BM236</f>
        <v>Yes</v>
      </c>
      <c r="FA236" s="36" t="str">
        <f t="shared" si="379"/>
        <v>Yes</v>
      </c>
      <c r="FB236" s="36" t="str">
        <f t="shared" si="379"/>
        <v>No</v>
      </c>
      <c r="FC236" s="207"/>
      <c r="FD236" s="36" t="str">
        <f t="shared" si="89"/>
        <v>Recurring</v>
      </c>
      <c r="FE236" s="40">
        <f>COUNTIF($FD$2:$FD$92, FD236)/(COUNTIF($FD$2:$FD$92, "&lt;&gt;""") - COUNTIF($FD$2:$FD$92, ""))</f>
        <v>0.4</v>
      </c>
      <c r="FF236" s="36" t="str">
        <f t="shared" si="90"/>
        <v>B2B</v>
      </c>
      <c r="FG236" s="40">
        <f>COUNTIF($FF$2:$FF$92, FF236)/(COUNTIF($FF$2:$FF$92, "&lt;&gt;""") - COUNTIF($FF$2:$FF$92, ""))</f>
        <v>0.24444444444444444</v>
      </c>
      <c r="FH236" s="36" t="str">
        <f t="shared" si="91"/>
        <v>High</v>
      </c>
      <c r="FI236" s="40">
        <f>COUNTIF($FH$2:$FH$92, FH236)/(COUNTIF($FH$2:$FH$92, "&lt;&gt;""") - COUNTIF($FH$2:$FH$92, ""))</f>
        <v>0.53333333333333333</v>
      </c>
      <c r="FJ236" s="36" t="str">
        <f t="shared" si="92"/>
        <v>Low</v>
      </c>
      <c r="FK236" s="40">
        <f>COUNTIF($FJ$2:$FJ$92, FJ236)/(COUNTIF($FJ$2:$FJ$92, "&lt;&gt;""") - COUNTIF($FJ$2:$FJ$92, ""))</f>
        <v>0.41111111111111109</v>
      </c>
      <c r="FL236" s="207"/>
      <c r="FM236" s="192">
        <f t="shared" si="93"/>
        <v>5</v>
      </c>
      <c r="FN236" s="192" t="e">
        <f t="shared" ca="1" si="94"/>
        <v>#NAME?</v>
      </c>
      <c r="FO236" s="192" t="e">
        <f t="shared" ca="1" si="95"/>
        <v>#NAME?</v>
      </c>
      <c r="FP236" s="192" t="e">
        <f t="shared" ca="1" si="96"/>
        <v>#NAME?</v>
      </c>
      <c r="FQ236" s="209" t="e">
        <f t="shared" ca="1" si="97"/>
        <v>#NAME?</v>
      </c>
      <c r="FR236" s="208" t="e">
        <f t="shared" ca="1" si="346"/>
        <v>#NAME?</v>
      </c>
      <c r="FS236" s="36" t="str">
        <f t="shared" si="99"/>
        <v>Pre-Revenue</v>
      </c>
      <c r="FT236" s="196">
        <f>COUNTIF($FS$2:$FS$92, FS236)/(COUNTIF($FS$2:$FS$92, "&lt;&gt;""") - COUNTIF($FZ$2:$FZ$92, ""))</f>
        <v>0.2</v>
      </c>
      <c r="FU236" s="207"/>
      <c r="FV236" s="192">
        <f t="shared" si="100"/>
        <v>3</v>
      </c>
      <c r="FW236" s="197" t="e">
        <f t="shared" ca="1" si="101"/>
        <v>#NAME?</v>
      </c>
      <c r="FX236" s="209" t="e">
        <f t="shared" ca="1" si="102"/>
        <v>#NAME?</v>
      </c>
      <c r="FY236" s="211" t="e">
        <f t="shared" ca="1" si="347"/>
        <v>#NAME?</v>
      </c>
      <c r="FZ236" s="36" t="str">
        <f t="shared" si="104"/>
        <v>Yes</v>
      </c>
      <c r="GA236" s="196">
        <f>COUNTIF($FZ$2:$FZ$92, FZ236)/(COUNTIF($FZ$2:$FZ$92, "&lt;&gt;""") - COUNTIF($FZ$2:$FZ$92, ""))</f>
        <v>0.23333333333333334</v>
      </c>
      <c r="GB236" s="196">
        <f t="shared" si="105"/>
        <v>0</v>
      </c>
      <c r="GC236" s="196">
        <f>COUNTIF($GB$2:$GB$92, GB236)/(COUNTIF($GB$2:$GB$92, "&lt;&gt;""") - COUNTIF($GB$2:$GB$92, ""))</f>
        <v>1.1111111111111112E-2</v>
      </c>
      <c r="GD236" s="196">
        <f t="shared" si="106"/>
        <v>0</v>
      </c>
      <c r="GE236" s="196">
        <f>COUNTIF($GD$2:$GD$92, GD236)/(COUNTIF($GD$2:$GD$92, "&lt;&gt;""") - COUNTIF($GD$2:$GD$92, ""))</f>
        <v>1.1111111111111112E-2</v>
      </c>
      <c r="GF236" s="207"/>
      <c r="GG236" s="36"/>
      <c r="GH236" s="209" t="e">
        <f t="shared" ca="1" si="107"/>
        <v>#NAME?</v>
      </c>
      <c r="GI236" s="212" t="e">
        <f t="shared" ca="1" si="348"/>
        <v>#NAME?</v>
      </c>
    </row>
    <row r="237" spans="1:191" ht="15.75" customHeight="1">
      <c r="A237" s="171"/>
      <c r="B237" s="171" t="s">
        <v>501</v>
      </c>
      <c r="C237" s="16">
        <v>1788682</v>
      </c>
      <c r="D237" s="233" t="s">
        <v>1710</v>
      </c>
      <c r="E237" s="234">
        <v>43829.447916666664</v>
      </c>
      <c r="F237" s="16" t="s">
        <v>344</v>
      </c>
      <c r="G237" s="235" t="s">
        <v>1711</v>
      </c>
      <c r="H237" s="235" t="s">
        <v>1712</v>
      </c>
      <c r="I237" s="271">
        <v>43805</v>
      </c>
      <c r="J237" s="233" t="s">
        <v>1713</v>
      </c>
      <c r="K237" s="233" t="s">
        <v>1710</v>
      </c>
      <c r="M237" s="35" t="s">
        <v>293</v>
      </c>
      <c r="N237" s="16" t="s">
        <v>168</v>
      </c>
      <c r="O237" s="16" t="s">
        <v>30</v>
      </c>
      <c r="P237" s="16" t="s">
        <v>31</v>
      </c>
      <c r="Q237" s="16" t="s">
        <v>35</v>
      </c>
      <c r="S237" s="16" t="s">
        <v>232</v>
      </c>
      <c r="T237" s="237"/>
      <c r="U237" s="213"/>
      <c r="V237" s="54">
        <v>6500000</v>
      </c>
      <c r="W237" s="54"/>
      <c r="X237" s="226"/>
      <c r="Y237" s="55" t="str">
        <f t="shared" si="158"/>
        <v/>
      </c>
      <c r="Z237" s="274">
        <f t="shared" si="159"/>
        <v>6500000</v>
      </c>
      <c r="AA237" s="183" t="e">
        <f t="shared" ca="1" si="160"/>
        <v>#NAME?</v>
      </c>
      <c r="AB237" s="16" t="s">
        <v>36</v>
      </c>
      <c r="AC237" s="16" t="s">
        <v>218</v>
      </c>
      <c r="AD237" s="16" t="s">
        <v>38</v>
      </c>
      <c r="AE237" s="16" t="s">
        <v>227</v>
      </c>
      <c r="AF237" s="16" t="s">
        <v>39</v>
      </c>
      <c r="AG237" s="16" t="s">
        <v>181</v>
      </c>
      <c r="AH237" s="16" t="s">
        <v>190</v>
      </c>
      <c r="AI237" s="54"/>
      <c r="AJ237" s="278">
        <v>17060000000</v>
      </c>
      <c r="AK237" s="224" t="e">
        <f t="shared" ca="1" si="161"/>
        <v>#NAME?</v>
      </c>
      <c r="AL237" s="278">
        <v>17060000000</v>
      </c>
      <c r="AM237" s="224" t="e">
        <f t="shared" ca="1" si="162"/>
        <v>#NAME?</v>
      </c>
      <c r="AN237" s="278">
        <v>0.06</v>
      </c>
      <c r="AO237" s="185" t="e">
        <f t="shared" ca="1" si="63"/>
        <v>#NAME?</v>
      </c>
      <c r="AP237" s="185" t="s">
        <v>264</v>
      </c>
      <c r="AQ237" s="16" t="s">
        <v>181</v>
      </c>
      <c r="AR237" s="16" t="s">
        <v>181</v>
      </c>
      <c r="AS237" s="16" t="s">
        <v>42</v>
      </c>
      <c r="AT237" s="159"/>
      <c r="AU237" s="159"/>
      <c r="AV237" s="16" t="s">
        <v>190</v>
      </c>
      <c r="AW237" s="16" t="s">
        <v>190</v>
      </c>
      <c r="AX237" s="16" t="s">
        <v>190</v>
      </c>
      <c r="AY237" s="16" t="s">
        <v>190</v>
      </c>
      <c r="AZ237" s="54">
        <v>0</v>
      </c>
      <c r="BA237" s="55" t="e">
        <f t="shared" ca="1" si="163"/>
        <v>#NAME?</v>
      </c>
      <c r="BB237" s="278">
        <v>0</v>
      </c>
      <c r="BC237" s="278">
        <v>0</v>
      </c>
      <c r="BD237" s="62" t="e">
        <f t="shared" ca="1" si="164"/>
        <v>#NAME?</v>
      </c>
      <c r="BE237" s="277">
        <f t="shared" si="165"/>
        <v>1</v>
      </c>
      <c r="BF237" s="62" t="e">
        <f t="shared" ca="1" si="166"/>
        <v>#NAME?</v>
      </c>
      <c r="BG237" s="16" t="s">
        <v>183</v>
      </c>
      <c r="BI237" s="16" t="s">
        <v>190</v>
      </c>
      <c r="BJ237" s="16">
        <v>0</v>
      </c>
      <c r="BK237" s="278">
        <v>1</v>
      </c>
      <c r="BL237" s="16" t="s">
        <v>227</v>
      </c>
      <c r="BM237" s="16" t="s">
        <v>190</v>
      </c>
      <c r="BN237" s="16" t="s">
        <v>190</v>
      </c>
      <c r="BO237" s="16" t="s">
        <v>190</v>
      </c>
      <c r="BP237" s="16">
        <v>1</v>
      </c>
      <c r="BQ237" s="16">
        <v>1</v>
      </c>
      <c r="BR237" s="16">
        <v>0</v>
      </c>
      <c r="BS237" s="16">
        <v>0</v>
      </c>
      <c r="BT237" s="205"/>
      <c r="BU237" s="16">
        <v>6</v>
      </c>
      <c r="BV237" s="16">
        <v>0</v>
      </c>
      <c r="BW237" s="16">
        <v>47</v>
      </c>
      <c r="BX237" s="16" t="s">
        <v>190</v>
      </c>
      <c r="BY237" s="205"/>
      <c r="CD237" s="205"/>
      <c r="CI237" s="205"/>
      <c r="CN237" s="205"/>
      <c r="CS237" s="205"/>
      <c r="CX237" s="205"/>
      <c r="DC237" s="205"/>
      <c r="DH237" s="205"/>
      <c r="DM237" s="205"/>
      <c r="DN237" s="205"/>
      <c r="DO237" s="205"/>
      <c r="DQ237" s="206"/>
      <c r="DR237" s="188">
        <f t="shared" si="64"/>
        <v>6</v>
      </c>
      <c r="DS237" s="188"/>
      <c r="DT237" s="189">
        <f t="shared" si="65"/>
        <v>0</v>
      </c>
      <c r="DU237" s="189"/>
      <c r="DV237" s="188">
        <f t="shared" si="66"/>
        <v>47</v>
      </c>
      <c r="DW237" s="183" t="e">
        <f t="shared" ca="1" si="67"/>
        <v>#NAME?</v>
      </c>
      <c r="DX237" s="207"/>
      <c r="DY237" s="190" t="e">
        <f t="shared" ca="1" si="68"/>
        <v>#NAME?</v>
      </c>
      <c r="DZ237" s="191" t="str">
        <f t="shared" si="338"/>
        <v/>
      </c>
      <c r="EA237" s="191" t="str">
        <f t="shared" si="339"/>
        <v/>
      </c>
      <c r="EB237" s="191" t="str">
        <f t="shared" si="340"/>
        <v/>
      </c>
      <c r="EC237" s="208" t="e">
        <f t="shared" ca="1" si="72"/>
        <v>#NAME?</v>
      </c>
      <c r="ED237" s="36" t="str">
        <f t="shared" si="73"/>
        <v>Equity - Preferred</v>
      </c>
      <c r="EE237" s="193">
        <f>COUNTIF($ED$2:$ED$92, ED237)/(COUNTIF($ED$2:$ED$92, "&lt;&gt;""") - COUNTIF($ED$2:$ED$92, ""))</f>
        <v>6.6666666666666666E-2</v>
      </c>
      <c r="EF237" s="36" t="str">
        <f t="shared" si="74"/>
        <v>Early</v>
      </c>
      <c r="EG237" s="207"/>
      <c r="EH237" s="194" t="e">
        <f t="shared" ca="1" si="75"/>
        <v>#NAME?</v>
      </c>
      <c r="EI237" s="194" t="e">
        <f t="shared" ca="1" si="76"/>
        <v>#NAME?</v>
      </c>
      <c r="EJ237" s="209" t="e">
        <f t="shared" ca="1" si="77"/>
        <v>#NAME?</v>
      </c>
      <c r="EK237" s="208" t="e">
        <f t="shared" ca="1" si="341"/>
        <v>#NAME?</v>
      </c>
      <c r="EL237" s="36" t="str">
        <f t="shared" si="79"/>
        <v>No</v>
      </c>
      <c r="EM237" s="207"/>
      <c r="EN237" s="192">
        <f t="shared" si="342"/>
        <v>1.5714285714285714</v>
      </c>
      <c r="EO237" s="192">
        <f t="shared" si="343"/>
        <v>1</v>
      </c>
      <c r="EP237" s="209">
        <f t="shared" si="82"/>
        <v>2.5714285714285712</v>
      </c>
      <c r="EQ237" s="210">
        <f t="shared" si="344"/>
        <v>1.4485981308411213</v>
      </c>
      <c r="ER237" s="36" t="e">
        <f t="shared" ca="1" si="84"/>
        <v>#NAME?</v>
      </c>
      <c r="ES237" s="40">
        <f ca="1">COUNTIF($ER$2:$ER$92, ER237)/(COUNTIF($ER$2:$ER$92, "&lt;&gt;""") - COUNTIF($ER$2:$ER$92, ""))</f>
        <v>1</v>
      </c>
      <c r="ET237" s="36">
        <f t="shared" si="85"/>
        <v>1</v>
      </c>
      <c r="EU237" s="40">
        <f>COUNTIF($ET$2:$ET$92, ET237)/(COUNTIF($ET$2:$ET$92, "&lt;&gt;""") - COUNTIF($ET$2:$ET$92, ""))</f>
        <v>0.45555555555555555</v>
      </c>
      <c r="EV237" s="36">
        <f t="shared" si="86"/>
        <v>1</v>
      </c>
      <c r="EW237" s="40">
        <f>COUNTIF($EV$2:$EV$92, EV237)/(COUNTIF($EV$2:$EV$92, "&lt;&gt;""") - COUNTIF($EV$2:$EV$92, ""))</f>
        <v>7.7777777777777779E-2</v>
      </c>
      <c r="EX237" s="36" t="str">
        <f t="shared" si="87"/>
        <v>Yes</v>
      </c>
      <c r="EY237" s="40">
        <f>COUNTIF($EX$2:$EX$92, EX237)/(COUNTIF($EX$2:$EX$92, "&lt;&gt;""") - COUNTIF($EX$2:$EX$92, ""))</f>
        <v>0.27777777777777779</v>
      </c>
      <c r="EZ237" s="36" t="str">
        <f t="shared" ref="EZ237:FB237" si="380">BM237</f>
        <v>No</v>
      </c>
      <c r="FA237" s="36" t="str">
        <f t="shared" si="380"/>
        <v>No</v>
      </c>
      <c r="FB237" s="36" t="str">
        <f t="shared" si="380"/>
        <v>No</v>
      </c>
      <c r="FC237" s="207"/>
      <c r="FD237" s="36" t="str">
        <f t="shared" si="89"/>
        <v>Transactional</v>
      </c>
      <c r="FE237" s="40">
        <f>COUNTIF($FD$2:$FD$92, FD237)/(COUNTIF($FD$2:$FD$92, "&lt;&gt;""") - COUNTIF($FD$2:$FD$92, ""))</f>
        <v>0.6</v>
      </c>
      <c r="FF237" s="36" t="str">
        <f t="shared" si="90"/>
        <v>B2B/B2C</v>
      </c>
      <c r="FG237" s="40">
        <f>COUNTIF($FF$2:$FF$92, FF237)/(COUNTIF($FF$2:$FF$92, "&lt;&gt;""") - COUNTIF($FF$2:$FF$92, ""))</f>
        <v>0.27777777777777779</v>
      </c>
      <c r="FH237" s="36" t="str">
        <f t="shared" si="91"/>
        <v>High</v>
      </c>
      <c r="FI237" s="40">
        <f>COUNTIF($FH$2:$FH$92, FH237)/(COUNTIF($FH$2:$FH$92, "&lt;&gt;""") - COUNTIF($FH$2:$FH$92, ""))</f>
        <v>0.53333333333333333</v>
      </c>
      <c r="FJ237" s="36" t="str">
        <f t="shared" si="92"/>
        <v>Low</v>
      </c>
      <c r="FK237" s="40">
        <f>COUNTIF($FJ$2:$FJ$92, FJ237)/(COUNTIF($FJ$2:$FJ$92, "&lt;&gt;""") - COUNTIF($FJ$2:$FJ$92, ""))</f>
        <v>0.41111111111111109</v>
      </c>
      <c r="FL237" s="207"/>
      <c r="FM237" s="192">
        <f t="shared" si="93"/>
        <v>1</v>
      </c>
      <c r="FN237" s="192" t="e">
        <f t="shared" ca="1" si="94"/>
        <v>#NAME?</v>
      </c>
      <c r="FO237" s="192" t="e">
        <f t="shared" ca="1" si="95"/>
        <v>#NAME?</v>
      </c>
      <c r="FP237" s="192" t="e">
        <f t="shared" ca="1" si="96"/>
        <v>#NAME?</v>
      </c>
      <c r="FQ237" s="209" t="e">
        <f t="shared" ca="1" si="97"/>
        <v>#NAME?</v>
      </c>
      <c r="FR237" s="208" t="e">
        <f t="shared" ca="1" si="346"/>
        <v>#NAME?</v>
      </c>
      <c r="FS237" s="36" t="str">
        <f t="shared" si="99"/>
        <v>Pre-Revenue</v>
      </c>
      <c r="FT237" s="196">
        <f>COUNTIF($FS$2:$FS$92, FS237)/(COUNTIF($FS$2:$FS$92, "&lt;&gt;""") - COUNTIF($FZ$2:$FZ$92, ""))</f>
        <v>0.2</v>
      </c>
      <c r="FU237" s="207"/>
      <c r="FV237" s="192" t="e">
        <f t="shared" ca="1" si="100"/>
        <v>#NAME?</v>
      </c>
      <c r="FW237" s="197" t="e">
        <f t="shared" ca="1" si="101"/>
        <v>#NAME?</v>
      </c>
      <c r="FX237" s="209" t="e">
        <f t="shared" ca="1" si="102"/>
        <v>#NAME?</v>
      </c>
      <c r="FY237" s="211" t="e">
        <f t="shared" ca="1" si="347"/>
        <v>#NAME?</v>
      </c>
      <c r="FZ237" s="36" t="str">
        <f t="shared" si="104"/>
        <v>No</v>
      </c>
      <c r="GA237" s="196">
        <f>COUNTIF($FZ$2:$FZ$92, FZ237)/(COUNTIF($FZ$2:$FZ$92, "&lt;&gt;""") - COUNTIF($FZ$2:$FZ$92, ""))</f>
        <v>0.76666666666666672</v>
      </c>
      <c r="GB237" s="196">
        <f t="shared" si="105"/>
        <v>0</v>
      </c>
      <c r="GC237" s="196">
        <f>COUNTIF($GB$2:$GB$92, GB237)/(COUNTIF($GB$2:$GB$92, "&lt;&gt;""") - COUNTIF($GB$2:$GB$92, ""))</f>
        <v>1.1111111111111112E-2</v>
      </c>
      <c r="GD237" s="196">
        <f t="shared" si="106"/>
        <v>0</v>
      </c>
      <c r="GE237" s="196">
        <f>COUNTIF($GD$2:$GD$92, GD237)/(COUNTIF($GD$2:$GD$92, "&lt;&gt;""") - COUNTIF($GD$2:$GD$92, ""))</f>
        <v>1.1111111111111112E-2</v>
      </c>
      <c r="GF237" s="207"/>
      <c r="GG237" s="36"/>
      <c r="GH237" s="209" t="e">
        <f t="shared" ca="1" si="107"/>
        <v>#NAME?</v>
      </c>
      <c r="GI237" s="212" t="e">
        <f t="shared" ca="1" si="348"/>
        <v>#NAME?</v>
      </c>
    </row>
    <row r="238" spans="1:191" ht="15.75" customHeight="1">
      <c r="A238" s="171"/>
      <c r="B238" s="171" t="s">
        <v>501</v>
      </c>
      <c r="C238" s="16">
        <v>1796295</v>
      </c>
      <c r="D238" s="233" t="s">
        <v>1714</v>
      </c>
      <c r="E238" s="234">
        <v>43832.477777777778</v>
      </c>
      <c r="F238" s="16" t="s">
        <v>341</v>
      </c>
      <c r="G238" s="235" t="s">
        <v>1715</v>
      </c>
      <c r="H238" s="235" t="s">
        <v>1716</v>
      </c>
      <c r="I238" s="271">
        <v>43888</v>
      </c>
      <c r="J238" s="233" t="s">
        <v>1717</v>
      </c>
      <c r="K238" s="233" t="s">
        <v>1718</v>
      </c>
      <c r="M238" s="29" t="s">
        <v>331</v>
      </c>
      <c r="N238" s="16" t="s">
        <v>315</v>
      </c>
      <c r="O238" s="16" t="s">
        <v>30</v>
      </c>
      <c r="P238" s="16" t="s">
        <v>31</v>
      </c>
      <c r="Q238" s="16" t="s">
        <v>35</v>
      </c>
      <c r="S238" s="16" t="s">
        <v>216</v>
      </c>
      <c r="T238" s="237"/>
      <c r="U238" s="213"/>
      <c r="V238" s="54">
        <v>4000000</v>
      </c>
      <c r="W238" s="54"/>
      <c r="X238" s="226"/>
      <c r="Y238" s="55" t="str">
        <f t="shared" si="158"/>
        <v/>
      </c>
      <c r="Z238" s="274">
        <f t="shared" si="159"/>
        <v>4000000</v>
      </c>
      <c r="AA238" s="183" t="e">
        <f t="shared" ca="1" si="160"/>
        <v>#NAME?</v>
      </c>
      <c r="AB238" s="16" t="s">
        <v>36</v>
      </c>
      <c r="AC238" s="16" t="s">
        <v>179</v>
      </c>
      <c r="AD238" s="16" t="s">
        <v>38</v>
      </c>
      <c r="AE238" s="16" t="s">
        <v>227</v>
      </c>
      <c r="AF238" s="16" t="s">
        <v>39</v>
      </c>
      <c r="AG238" s="16" t="s">
        <v>39</v>
      </c>
      <c r="AH238" s="16" t="s">
        <v>190</v>
      </c>
      <c r="AI238" s="54"/>
      <c r="AJ238" s="278">
        <v>220400000000</v>
      </c>
      <c r="AK238" s="224" t="e">
        <f t="shared" ca="1" si="161"/>
        <v>#NAME?</v>
      </c>
      <c r="AL238" s="278">
        <v>47730000000</v>
      </c>
      <c r="AM238" s="224" t="e">
        <f t="shared" ca="1" si="162"/>
        <v>#NAME?</v>
      </c>
      <c r="AN238" s="278">
        <v>0.3</v>
      </c>
      <c r="AO238" s="185" t="e">
        <f t="shared" ca="1" si="63"/>
        <v>#NAME?</v>
      </c>
      <c r="AP238" s="185" t="s">
        <v>192</v>
      </c>
      <c r="AQ238" s="16" t="s">
        <v>39</v>
      </c>
      <c r="AR238" s="16" t="s">
        <v>39</v>
      </c>
      <c r="AS238" s="16" t="s">
        <v>42</v>
      </c>
      <c r="AT238" s="159"/>
      <c r="AU238" s="159"/>
      <c r="AV238" s="16" t="s">
        <v>227</v>
      </c>
      <c r="AW238" s="16" t="s">
        <v>190</v>
      </c>
      <c r="AX238" s="16" t="s">
        <v>190</v>
      </c>
      <c r="AY238" s="16" t="s">
        <v>190</v>
      </c>
      <c r="AZ238" s="54">
        <v>0</v>
      </c>
      <c r="BA238" s="55" t="e">
        <f t="shared" ca="1" si="163"/>
        <v>#NAME?</v>
      </c>
      <c r="BB238" s="278">
        <v>9250</v>
      </c>
      <c r="BC238" s="278">
        <v>11000</v>
      </c>
      <c r="BD238" s="62" t="e">
        <f t="shared" ca="1" si="164"/>
        <v>#NAME?</v>
      </c>
      <c r="BE238" s="277">
        <f t="shared" si="165"/>
        <v>0.84090909090909094</v>
      </c>
      <c r="BF238" s="62" t="e">
        <f t="shared" ca="1" si="166"/>
        <v>#NAME?</v>
      </c>
      <c r="BG238" s="16" t="s">
        <v>183</v>
      </c>
      <c r="BI238" s="16" t="s">
        <v>190</v>
      </c>
      <c r="BJ238" s="16">
        <v>0</v>
      </c>
      <c r="BK238" s="278">
        <v>1</v>
      </c>
      <c r="BL238" s="16" t="s">
        <v>227</v>
      </c>
      <c r="BM238" s="16" t="s">
        <v>227</v>
      </c>
      <c r="BN238" s="16" t="s">
        <v>227</v>
      </c>
      <c r="BO238" s="16" t="s">
        <v>190</v>
      </c>
      <c r="BP238" s="16">
        <v>3</v>
      </c>
      <c r="BQ238" s="16">
        <v>1</v>
      </c>
      <c r="BR238" s="16">
        <v>0</v>
      </c>
      <c r="BS238" s="16">
        <v>0</v>
      </c>
      <c r="BT238" s="205"/>
      <c r="BU238" s="16">
        <v>20</v>
      </c>
      <c r="BV238" s="16">
        <v>0</v>
      </c>
      <c r="BW238" s="16">
        <v>42</v>
      </c>
      <c r="BX238" s="16" t="s">
        <v>227</v>
      </c>
      <c r="BY238" s="205"/>
      <c r="CD238" s="205"/>
      <c r="CI238" s="205"/>
      <c r="CN238" s="205"/>
      <c r="CS238" s="205"/>
      <c r="CX238" s="205"/>
      <c r="DC238" s="205"/>
      <c r="DH238" s="205"/>
      <c r="DM238" s="205"/>
      <c r="DN238" s="205"/>
      <c r="DO238" s="205"/>
      <c r="DQ238" s="206"/>
      <c r="DR238" s="188">
        <f t="shared" si="64"/>
        <v>20</v>
      </c>
      <c r="DS238" s="188"/>
      <c r="DT238" s="189">
        <f t="shared" si="65"/>
        <v>0</v>
      </c>
      <c r="DU238" s="189"/>
      <c r="DV238" s="188">
        <f t="shared" si="66"/>
        <v>42</v>
      </c>
      <c r="DW238" s="183" t="e">
        <f t="shared" ca="1" si="67"/>
        <v>#NAME?</v>
      </c>
      <c r="DX238" s="207"/>
      <c r="DY238" s="190" t="e">
        <f t="shared" ca="1" si="68"/>
        <v>#NAME?</v>
      </c>
      <c r="DZ238" s="191" t="str">
        <f t="shared" si="338"/>
        <v/>
      </c>
      <c r="EA238" s="191" t="str">
        <f t="shared" si="339"/>
        <v/>
      </c>
      <c r="EB238" s="191" t="str">
        <f t="shared" si="340"/>
        <v/>
      </c>
      <c r="EC238" s="208" t="e">
        <f t="shared" ca="1" si="72"/>
        <v>#NAME?</v>
      </c>
      <c r="ED238" s="36" t="str">
        <f t="shared" si="73"/>
        <v>Equity - Common</v>
      </c>
      <c r="EE238" s="193">
        <f>COUNTIF($ED$2:$ED$92, ED238)/(COUNTIF($ED$2:$ED$92, "&lt;&gt;""") - COUNTIF($ED$2:$ED$92, ""))</f>
        <v>0.32222222222222224</v>
      </c>
      <c r="EF238" s="36" t="str">
        <f t="shared" si="74"/>
        <v>Early</v>
      </c>
      <c r="EG238" s="207"/>
      <c r="EH238" s="194" t="e">
        <f t="shared" ca="1" si="75"/>
        <v>#NAME?</v>
      </c>
      <c r="EI238" s="194" t="e">
        <f t="shared" ca="1" si="76"/>
        <v>#NAME?</v>
      </c>
      <c r="EJ238" s="209" t="e">
        <f t="shared" ca="1" si="77"/>
        <v>#NAME?</v>
      </c>
      <c r="EK238" s="208" t="e">
        <f t="shared" ca="1" si="341"/>
        <v>#NAME?</v>
      </c>
      <c r="EL238" s="36" t="str">
        <f t="shared" si="79"/>
        <v>Yes</v>
      </c>
      <c r="EM238" s="207"/>
      <c r="EN238" s="192">
        <f t="shared" si="342"/>
        <v>2.9047619047619047</v>
      </c>
      <c r="EO238" s="192">
        <f t="shared" si="343"/>
        <v>1</v>
      </c>
      <c r="EP238" s="209">
        <f t="shared" si="82"/>
        <v>3.9047619047619047</v>
      </c>
      <c r="EQ238" s="210">
        <f t="shared" si="344"/>
        <v>2.4953271028037385</v>
      </c>
      <c r="ER238" s="36" t="e">
        <f t="shared" ca="1" si="84"/>
        <v>#NAME?</v>
      </c>
      <c r="ES238" s="40">
        <f ca="1">COUNTIF($ER$2:$ER$92, ER238)/(COUNTIF($ER$2:$ER$92, "&lt;&gt;""") - COUNTIF($ER$2:$ER$92, ""))</f>
        <v>1</v>
      </c>
      <c r="ET238" s="36">
        <f t="shared" si="85"/>
        <v>1</v>
      </c>
      <c r="EU238" s="40">
        <f>COUNTIF($ET$2:$ET$92, ET238)/(COUNTIF($ET$2:$ET$92, "&lt;&gt;""") - COUNTIF($ET$2:$ET$92, ""))</f>
        <v>0.45555555555555555</v>
      </c>
      <c r="EV238" s="36">
        <f t="shared" si="86"/>
        <v>1</v>
      </c>
      <c r="EW238" s="40">
        <f>COUNTIF($EV$2:$EV$92, EV238)/(COUNTIF($EV$2:$EV$92, "&lt;&gt;""") - COUNTIF($EV$2:$EV$92, ""))</f>
        <v>7.7777777777777779E-2</v>
      </c>
      <c r="EX238" s="36" t="str">
        <f t="shared" si="87"/>
        <v>Yes</v>
      </c>
      <c r="EY238" s="40">
        <f>COUNTIF($EX$2:$EX$92, EX238)/(COUNTIF($EX$2:$EX$92, "&lt;&gt;""") - COUNTIF($EX$2:$EX$92, ""))</f>
        <v>0.27777777777777779</v>
      </c>
      <c r="EZ238" s="36" t="str">
        <f t="shared" ref="EZ238:FB238" si="381">BM238</f>
        <v>Yes</v>
      </c>
      <c r="FA238" s="36" t="str">
        <f t="shared" si="381"/>
        <v>Yes</v>
      </c>
      <c r="FB238" s="36" t="str">
        <f t="shared" si="381"/>
        <v>No</v>
      </c>
      <c r="FC238" s="207"/>
      <c r="FD238" s="36" t="str">
        <f t="shared" si="89"/>
        <v>Transactional</v>
      </c>
      <c r="FE238" s="40">
        <f>COUNTIF($FD$2:$FD$92, FD238)/(COUNTIF($FD$2:$FD$92, "&lt;&gt;""") - COUNTIF($FD$2:$FD$92, ""))</f>
        <v>0.6</v>
      </c>
      <c r="FF238" s="36" t="str">
        <f t="shared" si="90"/>
        <v>B2C</v>
      </c>
      <c r="FG238" s="40">
        <f>COUNTIF($FF$2:$FF$92, FF238)/(COUNTIF($FF$2:$FF$92, "&lt;&gt;""") - COUNTIF($FF$2:$FF$92, ""))</f>
        <v>0.41111111111111109</v>
      </c>
      <c r="FH238" s="36" t="str">
        <f t="shared" si="91"/>
        <v>High</v>
      </c>
      <c r="FI238" s="40">
        <f>COUNTIF($FH$2:$FH$92, FH238)/(COUNTIF($FH$2:$FH$92, "&lt;&gt;""") - COUNTIF($FH$2:$FH$92, ""))</f>
        <v>0.53333333333333333</v>
      </c>
      <c r="FJ238" s="36" t="str">
        <f t="shared" si="92"/>
        <v>High</v>
      </c>
      <c r="FK238" s="40">
        <f>COUNTIF($FJ$2:$FJ$92, FJ238)/(COUNTIF($FJ$2:$FJ$92, "&lt;&gt;""") - COUNTIF($FJ$2:$FJ$92, ""))</f>
        <v>0.58888888888888891</v>
      </c>
      <c r="FL238" s="207"/>
      <c r="FM238" s="192">
        <f t="shared" si="93"/>
        <v>1</v>
      </c>
      <c r="FN238" s="192" t="e">
        <f t="shared" ca="1" si="94"/>
        <v>#NAME?</v>
      </c>
      <c r="FO238" s="192" t="e">
        <f t="shared" ca="1" si="95"/>
        <v>#NAME?</v>
      </c>
      <c r="FP238" s="192" t="e">
        <f t="shared" ca="1" si="96"/>
        <v>#NAME?</v>
      </c>
      <c r="FQ238" s="209" t="e">
        <f t="shared" ca="1" si="97"/>
        <v>#NAME?</v>
      </c>
      <c r="FR238" s="208" t="e">
        <f t="shared" ca="1" si="346"/>
        <v>#NAME?</v>
      </c>
      <c r="FS238" s="36" t="str">
        <f t="shared" si="99"/>
        <v>Pre-Revenue</v>
      </c>
      <c r="FT238" s="196">
        <f>COUNTIF($FS$2:$FS$92, FS238)/(COUNTIF($FS$2:$FS$92, "&lt;&gt;""") - COUNTIF($FZ$2:$FZ$92, ""))</f>
        <v>0.2</v>
      </c>
      <c r="FU238" s="207"/>
      <c r="FV238" s="192" t="e">
        <f t="shared" ca="1" si="100"/>
        <v>#NAME?</v>
      </c>
      <c r="FW238" s="197" t="e">
        <f t="shared" ca="1" si="101"/>
        <v>#NAME?</v>
      </c>
      <c r="FX238" s="209" t="e">
        <f t="shared" ca="1" si="102"/>
        <v>#NAME?</v>
      </c>
      <c r="FY238" s="211" t="e">
        <f t="shared" ca="1" si="347"/>
        <v>#NAME?</v>
      </c>
      <c r="FZ238" s="36" t="str">
        <f t="shared" si="104"/>
        <v>No</v>
      </c>
      <c r="GA238" s="196">
        <f>COUNTIF($FZ$2:$FZ$92, FZ238)/(COUNTIF($FZ$2:$FZ$92, "&lt;&gt;""") - COUNTIF($FZ$2:$FZ$92, ""))</f>
        <v>0.76666666666666672</v>
      </c>
      <c r="GB238" s="196">
        <f t="shared" si="105"/>
        <v>0</v>
      </c>
      <c r="GC238" s="196">
        <f>COUNTIF($GB$2:$GB$92, GB238)/(COUNTIF($GB$2:$GB$92, "&lt;&gt;""") - COUNTIF($GB$2:$GB$92, ""))</f>
        <v>1.1111111111111112E-2</v>
      </c>
      <c r="GD238" s="196">
        <f t="shared" si="106"/>
        <v>0</v>
      </c>
      <c r="GE238" s="196">
        <f>COUNTIF($GD$2:$GD$92, GD238)/(COUNTIF($GD$2:$GD$92, "&lt;&gt;""") - COUNTIF($GD$2:$GD$92, ""))</f>
        <v>1.1111111111111112E-2</v>
      </c>
      <c r="GF238" s="207"/>
      <c r="GG238" s="36"/>
      <c r="GH238" s="209" t="e">
        <f t="shared" ca="1" si="107"/>
        <v>#NAME?</v>
      </c>
      <c r="GI238" s="212" t="e">
        <f t="shared" ca="1" si="348"/>
        <v>#NAME?</v>
      </c>
    </row>
    <row r="239" spans="1:191" ht="15.75" customHeight="1">
      <c r="A239" s="171"/>
      <c r="B239" s="171" t="s">
        <v>501</v>
      </c>
      <c r="C239" s="16">
        <v>1788203</v>
      </c>
      <c r="D239" s="233" t="s">
        <v>1719</v>
      </c>
      <c r="E239" s="234">
        <v>43832.486111111109</v>
      </c>
      <c r="F239" s="16" t="s">
        <v>344</v>
      </c>
      <c r="G239" s="235" t="s">
        <v>1720</v>
      </c>
      <c r="H239" s="235" t="s">
        <v>1721</v>
      </c>
      <c r="I239" s="271">
        <v>43763</v>
      </c>
      <c r="J239" s="233" t="s">
        <v>1722</v>
      </c>
      <c r="K239" s="233" t="s">
        <v>1719</v>
      </c>
      <c r="M239" s="243" t="s">
        <v>28</v>
      </c>
      <c r="N239" s="16" t="s">
        <v>168</v>
      </c>
      <c r="O239" s="16" t="s">
        <v>30</v>
      </c>
      <c r="P239" s="16" t="s">
        <v>174</v>
      </c>
      <c r="Q239" s="16" t="s">
        <v>35</v>
      </c>
      <c r="S239" s="16" t="s">
        <v>269</v>
      </c>
      <c r="T239" s="237"/>
      <c r="U239" s="213"/>
      <c r="V239" s="54"/>
      <c r="W239" s="54">
        <v>4000000</v>
      </c>
      <c r="X239" s="226">
        <v>0.1</v>
      </c>
      <c r="Y239" s="55">
        <f t="shared" si="158"/>
        <v>3600000</v>
      </c>
      <c r="Z239" s="274">
        <f t="shared" si="159"/>
        <v>3600000</v>
      </c>
      <c r="AA239" s="183" t="e">
        <f t="shared" ca="1" si="160"/>
        <v>#NAME?</v>
      </c>
      <c r="AB239" s="16" t="s">
        <v>36</v>
      </c>
      <c r="AC239" s="16" t="s">
        <v>218</v>
      </c>
      <c r="AD239" s="16" t="s">
        <v>38</v>
      </c>
      <c r="AE239" s="16" t="s">
        <v>227</v>
      </c>
      <c r="AF239" s="16" t="s">
        <v>39</v>
      </c>
      <c r="AG239" s="16" t="s">
        <v>181</v>
      </c>
      <c r="AH239" s="16" t="s">
        <v>190</v>
      </c>
      <c r="AI239" s="54"/>
      <c r="AJ239" s="278">
        <v>3820000000</v>
      </c>
      <c r="AK239" s="224" t="e">
        <f t="shared" ca="1" si="161"/>
        <v>#NAME?</v>
      </c>
      <c r="AL239" s="278">
        <v>3820000000</v>
      </c>
      <c r="AM239" s="224" t="e">
        <f t="shared" ca="1" si="162"/>
        <v>#NAME?</v>
      </c>
      <c r="AN239" s="278">
        <v>0.26</v>
      </c>
      <c r="AO239" s="185" t="e">
        <f t="shared" ca="1" si="63"/>
        <v>#NAME?</v>
      </c>
      <c r="AP239" s="185" t="s">
        <v>169</v>
      </c>
      <c r="AQ239" s="16" t="s">
        <v>39</v>
      </c>
      <c r="AR239" s="16" t="s">
        <v>181</v>
      </c>
      <c r="AS239" s="16" t="s">
        <v>42</v>
      </c>
      <c r="AT239" s="159"/>
      <c r="AU239" s="159"/>
      <c r="AV239" s="16" t="s">
        <v>190</v>
      </c>
      <c r="AW239" s="16" t="s">
        <v>190</v>
      </c>
      <c r="AX239" s="16" t="s">
        <v>227</v>
      </c>
      <c r="AY239" s="16" t="s">
        <v>227</v>
      </c>
      <c r="AZ239" s="54">
        <v>57694</v>
      </c>
      <c r="BA239" s="55" t="e">
        <f t="shared" ca="1" si="163"/>
        <v>#NAME?</v>
      </c>
      <c r="BB239" s="278">
        <v>5993</v>
      </c>
      <c r="BC239" s="278">
        <v>81000</v>
      </c>
      <c r="BD239" s="62" t="e">
        <f t="shared" ca="1" si="164"/>
        <v>#NAME?</v>
      </c>
      <c r="BE239" s="277">
        <f t="shared" si="165"/>
        <v>7.3987654320987653E-2</v>
      </c>
      <c r="BF239" s="62" t="e">
        <f t="shared" ca="1" si="166"/>
        <v>#NAME?</v>
      </c>
      <c r="BG239" s="16" t="s">
        <v>202</v>
      </c>
      <c r="BI239" s="16" t="s">
        <v>227</v>
      </c>
      <c r="BJ239" s="16">
        <v>3</v>
      </c>
      <c r="BK239" s="278">
        <v>2</v>
      </c>
      <c r="BL239" s="16" t="s">
        <v>227</v>
      </c>
      <c r="BM239" s="16" t="s">
        <v>190</v>
      </c>
      <c r="BN239" s="16" t="s">
        <v>190</v>
      </c>
      <c r="BO239" s="16" t="s">
        <v>190</v>
      </c>
      <c r="BP239" s="16">
        <v>2</v>
      </c>
      <c r="BQ239" s="16">
        <v>2</v>
      </c>
      <c r="BR239" s="16">
        <v>0</v>
      </c>
      <c r="BS239" s="16">
        <v>0</v>
      </c>
      <c r="BT239" s="205"/>
      <c r="BU239" s="16">
        <v>3</v>
      </c>
      <c r="BV239" s="16">
        <v>0</v>
      </c>
      <c r="BW239" s="16">
        <v>29</v>
      </c>
      <c r="BX239" s="16" t="s">
        <v>227</v>
      </c>
      <c r="BY239" s="205"/>
      <c r="BZ239" s="16">
        <v>3</v>
      </c>
      <c r="CA239" s="16">
        <v>0</v>
      </c>
      <c r="CB239" s="16">
        <v>36</v>
      </c>
      <c r="CC239" s="16" t="s">
        <v>190</v>
      </c>
      <c r="CD239" s="205"/>
      <c r="CI239" s="205"/>
      <c r="CN239" s="205"/>
      <c r="CS239" s="205"/>
      <c r="CX239" s="205"/>
      <c r="DC239" s="205"/>
      <c r="DH239" s="205"/>
      <c r="DM239" s="205"/>
      <c r="DN239" s="205"/>
      <c r="DO239" s="205"/>
      <c r="DQ239" s="206"/>
      <c r="DR239" s="188">
        <f t="shared" si="64"/>
        <v>3</v>
      </c>
      <c r="DS239" s="188"/>
      <c r="DT239" s="189">
        <f t="shared" si="65"/>
        <v>0</v>
      </c>
      <c r="DU239" s="189"/>
      <c r="DV239" s="188">
        <f t="shared" si="66"/>
        <v>32.5</v>
      </c>
      <c r="DW239" s="183" t="e">
        <f t="shared" ca="1" si="67"/>
        <v>#NAME?</v>
      </c>
      <c r="DX239" s="207"/>
      <c r="DY239" s="190" t="e">
        <f t="shared" ca="1" si="68"/>
        <v>#NAME?</v>
      </c>
      <c r="DZ239" s="191">
        <f t="shared" si="338"/>
        <v>2.0526315789473681</v>
      </c>
      <c r="EA239" s="191" t="str">
        <f t="shared" si="339"/>
        <v/>
      </c>
      <c r="EB239" s="191" t="str">
        <f t="shared" si="340"/>
        <v/>
      </c>
      <c r="EC239" s="208" t="e">
        <f t="shared" ca="1" si="72"/>
        <v>#NAME?</v>
      </c>
      <c r="ED239" s="36" t="str">
        <f t="shared" si="73"/>
        <v>SAFE</v>
      </c>
      <c r="EE239" s="193">
        <f>COUNTIF($ED$2:$ED$92, ED239)/(COUNTIF($ED$2:$ED$92, "&lt;&gt;""") - COUNTIF($ED$2:$ED$92, ""))</f>
        <v>0.37777777777777777</v>
      </c>
      <c r="EF239" s="36" t="str">
        <f t="shared" si="74"/>
        <v>Early</v>
      </c>
      <c r="EG239" s="207"/>
      <c r="EH239" s="194" t="e">
        <f t="shared" ca="1" si="75"/>
        <v>#NAME?</v>
      </c>
      <c r="EI239" s="194" t="e">
        <f t="shared" ca="1" si="76"/>
        <v>#NAME?</v>
      </c>
      <c r="EJ239" s="209" t="e">
        <f t="shared" ca="1" si="77"/>
        <v>#NAME?</v>
      </c>
      <c r="EK239" s="208" t="e">
        <f t="shared" ca="1" si="341"/>
        <v>#NAME?</v>
      </c>
      <c r="EL239" s="36" t="str">
        <f t="shared" si="79"/>
        <v>No</v>
      </c>
      <c r="EM239" s="207"/>
      <c r="EN239" s="192">
        <f t="shared" si="342"/>
        <v>1.2857142857142856</v>
      </c>
      <c r="EO239" s="192">
        <f t="shared" si="343"/>
        <v>1</v>
      </c>
      <c r="EP239" s="209">
        <f t="shared" si="82"/>
        <v>2.2857142857142856</v>
      </c>
      <c r="EQ239" s="210">
        <f t="shared" si="344"/>
        <v>1.2242990654205608</v>
      </c>
      <c r="ER239" s="36" t="e">
        <f t="shared" ca="1" si="84"/>
        <v>#NAME?</v>
      </c>
      <c r="ES239" s="40">
        <f ca="1">COUNTIF($ER$2:$ER$92, ER239)/(COUNTIF($ER$2:$ER$92, "&lt;&gt;""") - COUNTIF($ER$2:$ER$92, ""))</f>
        <v>1</v>
      </c>
      <c r="ET239" s="36">
        <f t="shared" si="85"/>
        <v>2</v>
      </c>
      <c r="EU239" s="40">
        <f>COUNTIF($ET$2:$ET$92, ET239)/(COUNTIF($ET$2:$ET$92, "&lt;&gt;""") - COUNTIF($ET$2:$ET$92, ""))</f>
        <v>0.45555555555555555</v>
      </c>
      <c r="EV239" s="36">
        <f t="shared" si="86"/>
        <v>2</v>
      </c>
      <c r="EW239" s="40">
        <f>COUNTIF($EV$2:$EV$92, EV239)/(COUNTIF($EV$2:$EV$92, "&lt;&gt;""") - COUNTIF($EV$2:$EV$92, ""))</f>
        <v>0.15555555555555556</v>
      </c>
      <c r="EX239" s="36" t="str">
        <f t="shared" si="87"/>
        <v>Yes</v>
      </c>
      <c r="EY239" s="40">
        <f>COUNTIF($EX$2:$EX$92, EX239)/(COUNTIF($EX$2:$EX$92, "&lt;&gt;""") - COUNTIF($EX$2:$EX$92, ""))</f>
        <v>0.27777777777777779</v>
      </c>
      <c r="EZ239" s="36" t="str">
        <f t="shared" ref="EZ239:FB239" si="382">BM239</f>
        <v>No</v>
      </c>
      <c r="FA239" s="36" t="str">
        <f t="shared" si="382"/>
        <v>No</v>
      </c>
      <c r="FB239" s="36" t="str">
        <f t="shared" si="382"/>
        <v>No</v>
      </c>
      <c r="FC239" s="207"/>
      <c r="FD239" s="36" t="str">
        <f t="shared" si="89"/>
        <v>Transactional</v>
      </c>
      <c r="FE239" s="40">
        <f>COUNTIF($FD$2:$FD$92, FD239)/(COUNTIF($FD$2:$FD$92, "&lt;&gt;""") - COUNTIF($FD$2:$FD$92, ""))</f>
        <v>0.6</v>
      </c>
      <c r="FF239" s="36" t="str">
        <f t="shared" si="90"/>
        <v>B2B/B2C</v>
      </c>
      <c r="FG239" s="40">
        <f>COUNTIF($FF$2:$FF$92, FF239)/(COUNTIF($FF$2:$FF$92, "&lt;&gt;""") - COUNTIF($FF$2:$FF$92, ""))</f>
        <v>0.27777777777777779</v>
      </c>
      <c r="FH239" s="36" t="str">
        <f t="shared" si="91"/>
        <v>High</v>
      </c>
      <c r="FI239" s="40">
        <f>COUNTIF($FH$2:$FH$92, FH239)/(COUNTIF($FH$2:$FH$92, "&lt;&gt;""") - COUNTIF($FH$2:$FH$92, ""))</f>
        <v>0.53333333333333333</v>
      </c>
      <c r="FJ239" s="36" t="str">
        <f t="shared" si="92"/>
        <v>Low</v>
      </c>
      <c r="FK239" s="40">
        <f>COUNTIF($FJ$2:$FJ$92, FJ239)/(COUNTIF($FJ$2:$FJ$92, "&lt;&gt;""") - COUNTIF($FJ$2:$FJ$92, ""))</f>
        <v>0.41111111111111109</v>
      </c>
      <c r="FL239" s="207"/>
      <c r="FM239" s="192">
        <f t="shared" si="93"/>
        <v>5</v>
      </c>
      <c r="FN239" s="192" t="e">
        <f t="shared" ca="1" si="94"/>
        <v>#NAME?</v>
      </c>
      <c r="FO239" s="192" t="e">
        <f t="shared" ca="1" si="95"/>
        <v>#NAME?</v>
      </c>
      <c r="FP239" s="192" t="e">
        <f t="shared" ca="1" si="96"/>
        <v>#NAME?</v>
      </c>
      <c r="FQ239" s="209" t="e">
        <f t="shared" ca="1" si="97"/>
        <v>#NAME?</v>
      </c>
      <c r="FR239" s="208" t="e">
        <f t="shared" ca="1" si="346"/>
        <v>#NAME?</v>
      </c>
      <c r="FS239" s="36" t="str">
        <f t="shared" si="99"/>
        <v>Pre-Profit</v>
      </c>
      <c r="FT239" s="196">
        <f>COUNTIF($FS$2:$FS$92, FS239)/(COUNTIF($FS$2:$FS$92, "&lt;&gt;""") - COUNTIF($FZ$2:$FZ$92, ""))</f>
        <v>0.51111111111111107</v>
      </c>
      <c r="FU239" s="207"/>
      <c r="FV239" s="192">
        <f t="shared" si="100"/>
        <v>3</v>
      </c>
      <c r="FW239" s="197" t="e">
        <f t="shared" ca="1" si="101"/>
        <v>#NAME?</v>
      </c>
      <c r="FX239" s="209" t="e">
        <f t="shared" ca="1" si="102"/>
        <v>#NAME?</v>
      </c>
      <c r="FY239" s="211" t="e">
        <f t="shared" ca="1" si="347"/>
        <v>#NAME?</v>
      </c>
      <c r="FZ239" s="36" t="str">
        <f t="shared" si="104"/>
        <v>No</v>
      </c>
      <c r="GA239" s="196">
        <f>COUNTIF($FZ$2:$FZ$92, FZ239)/(COUNTIF($FZ$2:$FZ$92, "&lt;&gt;""") - COUNTIF($FZ$2:$FZ$92, ""))</f>
        <v>0.76666666666666672</v>
      </c>
      <c r="GB239" s="196">
        <f t="shared" si="105"/>
        <v>0</v>
      </c>
      <c r="GC239" s="196">
        <f>COUNTIF($GB$2:$GB$92, GB239)/(COUNTIF($GB$2:$GB$92, "&lt;&gt;""") - COUNTIF($GB$2:$GB$92, ""))</f>
        <v>1.1111111111111112E-2</v>
      </c>
      <c r="GD239" s="196">
        <f t="shared" si="106"/>
        <v>0</v>
      </c>
      <c r="GE239" s="196">
        <f>COUNTIF($GD$2:$GD$92, GD239)/(COUNTIF($GD$2:$GD$92, "&lt;&gt;""") - COUNTIF($GD$2:$GD$92, ""))</f>
        <v>1.1111111111111112E-2</v>
      </c>
      <c r="GF239" s="207"/>
      <c r="GG239" s="36"/>
      <c r="GH239" s="209" t="e">
        <f t="shared" ca="1" si="107"/>
        <v>#NAME?</v>
      </c>
      <c r="GI239" s="212" t="e">
        <f t="shared" ca="1" si="348"/>
        <v>#NAME?</v>
      </c>
    </row>
    <row r="240" spans="1:191" ht="15.75" customHeight="1">
      <c r="A240" s="171"/>
      <c r="B240" s="171" t="s">
        <v>501</v>
      </c>
      <c r="C240" s="16">
        <v>1767636</v>
      </c>
      <c r="D240" s="233" t="s">
        <v>1723</v>
      </c>
      <c r="E240" s="234">
        <v>43832.551388888889</v>
      </c>
      <c r="F240" s="16" t="s">
        <v>312</v>
      </c>
      <c r="G240" s="235" t="s">
        <v>1724</v>
      </c>
      <c r="H240" s="235" t="s">
        <v>1725</v>
      </c>
      <c r="I240" s="271">
        <v>43830</v>
      </c>
      <c r="J240" s="233" t="s">
        <v>1726</v>
      </c>
      <c r="K240" s="233" t="s">
        <v>1727</v>
      </c>
      <c r="M240" s="29" t="s">
        <v>747</v>
      </c>
      <c r="N240" s="16" t="s">
        <v>168</v>
      </c>
      <c r="O240" s="16" t="s">
        <v>30</v>
      </c>
      <c r="P240" s="16" t="s">
        <v>174</v>
      </c>
      <c r="Q240" s="16" t="s">
        <v>35</v>
      </c>
      <c r="S240" s="16" t="s">
        <v>216</v>
      </c>
      <c r="T240" s="237"/>
      <c r="U240" s="213"/>
      <c r="V240" s="54">
        <v>2500000</v>
      </c>
      <c r="W240" s="54"/>
      <c r="X240" s="226"/>
      <c r="Y240" s="55" t="str">
        <f t="shared" si="158"/>
        <v/>
      </c>
      <c r="Z240" s="274">
        <f t="shared" si="159"/>
        <v>2500000</v>
      </c>
      <c r="AA240" s="183" t="e">
        <f t="shared" ca="1" si="160"/>
        <v>#NAME?</v>
      </c>
      <c r="AB240" s="16" t="s">
        <v>178</v>
      </c>
      <c r="AC240" s="16" t="s">
        <v>179</v>
      </c>
      <c r="AD240" s="16" t="s">
        <v>38</v>
      </c>
      <c r="AE240" s="16" t="s">
        <v>227</v>
      </c>
      <c r="AF240" s="16" t="s">
        <v>181</v>
      </c>
      <c r="AG240" s="16" t="s">
        <v>181</v>
      </c>
      <c r="AH240" s="16" t="s">
        <v>190</v>
      </c>
      <c r="AI240" s="54"/>
      <c r="AJ240" s="278">
        <v>109600000000</v>
      </c>
      <c r="AK240" s="224" t="e">
        <f t="shared" ca="1" si="161"/>
        <v>#NAME?</v>
      </c>
      <c r="AL240" s="278">
        <v>40860000000</v>
      </c>
      <c r="AM240" s="224" t="e">
        <f t="shared" ca="1" si="162"/>
        <v>#NAME?</v>
      </c>
      <c r="AN240" s="278">
        <v>0.04</v>
      </c>
      <c r="AO240" s="185" t="e">
        <f t="shared" ca="1" si="63"/>
        <v>#NAME?</v>
      </c>
      <c r="AP240" s="185" t="s">
        <v>264</v>
      </c>
      <c r="AQ240" s="16" t="s">
        <v>39</v>
      </c>
      <c r="AR240" s="16" t="s">
        <v>181</v>
      </c>
      <c r="AS240" s="16" t="s">
        <v>42</v>
      </c>
      <c r="AT240" s="159"/>
      <c r="AU240" s="159"/>
      <c r="AV240" s="16" t="s">
        <v>227</v>
      </c>
      <c r="AW240" s="16" t="s">
        <v>190</v>
      </c>
      <c r="AX240" s="16" t="s">
        <v>227</v>
      </c>
      <c r="AY240" s="16" t="s">
        <v>227</v>
      </c>
      <c r="AZ240" s="54">
        <v>70379</v>
      </c>
      <c r="BA240" s="55" t="e">
        <f t="shared" ca="1" si="163"/>
        <v>#NAME?</v>
      </c>
      <c r="BB240" s="278">
        <v>1840</v>
      </c>
      <c r="BC240" s="278">
        <v>0</v>
      </c>
      <c r="BD240" s="62" t="e">
        <f t="shared" ca="1" si="164"/>
        <v>#NAME?</v>
      </c>
      <c r="BE240" s="277">
        <f t="shared" si="165"/>
        <v>1</v>
      </c>
      <c r="BF240" s="62" t="e">
        <f t="shared" ca="1" si="166"/>
        <v>#NAME?</v>
      </c>
      <c r="BG240" s="16" t="s">
        <v>219</v>
      </c>
      <c r="BI240" s="16" t="s">
        <v>190</v>
      </c>
      <c r="BJ240" s="16">
        <v>0</v>
      </c>
      <c r="BK240" s="278">
        <v>1</v>
      </c>
      <c r="BL240" s="16" t="s">
        <v>227</v>
      </c>
      <c r="BM240" s="16" t="s">
        <v>190</v>
      </c>
      <c r="BN240" s="16" t="s">
        <v>227</v>
      </c>
      <c r="BO240" s="16" t="s">
        <v>190</v>
      </c>
      <c r="BP240" s="16">
        <v>1</v>
      </c>
      <c r="BQ240" s="16">
        <v>2</v>
      </c>
      <c r="BR240" s="16">
        <v>0</v>
      </c>
      <c r="BS240" s="16">
        <v>0</v>
      </c>
      <c r="BT240" s="205"/>
      <c r="BU240" s="16">
        <v>0</v>
      </c>
      <c r="BV240" s="16">
        <v>0</v>
      </c>
      <c r="BW240" s="16">
        <v>42</v>
      </c>
      <c r="BX240" s="16" t="s">
        <v>190</v>
      </c>
      <c r="BY240" s="205"/>
      <c r="CD240" s="205"/>
      <c r="CI240" s="205"/>
      <c r="CN240" s="205"/>
      <c r="CS240" s="205"/>
      <c r="CX240" s="205"/>
      <c r="DC240" s="205"/>
      <c r="DH240" s="205"/>
      <c r="DM240" s="205"/>
      <c r="DN240" s="205"/>
      <c r="DO240" s="205"/>
      <c r="DQ240" s="206"/>
      <c r="DR240" s="188">
        <f t="shared" si="64"/>
        <v>0</v>
      </c>
      <c r="DS240" s="188"/>
      <c r="DT240" s="189">
        <f t="shared" si="65"/>
        <v>0</v>
      </c>
      <c r="DU240" s="189"/>
      <c r="DV240" s="188">
        <f t="shared" si="66"/>
        <v>42</v>
      </c>
      <c r="DW240" s="183" t="e">
        <f t="shared" ca="1" si="67"/>
        <v>#NAME?</v>
      </c>
      <c r="DX240" s="207"/>
      <c r="DY240" s="190" t="e">
        <f t="shared" ca="1" si="68"/>
        <v>#NAME?</v>
      </c>
      <c r="DZ240" s="191" t="str">
        <f t="shared" si="338"/>
        <v/>
      </c>
      <c r="EA240" s="191" t="str">
        <f t="shared" si="339"/>
        <v/>
      </c>
      <c r="EB240" s="191" t="str">
        <f t="shared" si="340"/>
        <v/>
      </c>
      <c r="EC240" s="208" t="e">
        <f t="shared" ca="1" si="72"/>
        <v>#NAME?</v>
      </c>
      <c r="ED240" s="36" t="str">
        <f t="shared" si="73"/>
        <v>Equity - Common</v>
      </c>
      <c r="EE240" s="193">
        <f>COUNTIF($ED$2:$ED$92, ED240)/(COUNTIF($ED$2:$ED$92, "&lt;&gt;""") - COUNTIF($ED$2:$ED$92, ""))</f>
        <v>0.32222222222222224</v>
      </c>
      <c r="EF240" s="36" t="str">
        <f t="shared" si="74"/>
        <v>Early</v>
      </c>
      <c r="EG240" s="207"/>
      <c r="EH240" s="194" t="e">
        <f t="shared" ca="1" si="75"/>
        <v>#NAME?</v>
      </c>
      <c r="EI240" s="194" t="e">
        <f t="shared" ca="1" si="76"/>
        <v>#NAME?</v>
      </c>
      <c r="EJ240" s="209" t="e">
        <f t="shared" ca="1" si="77"/>
        <v>#NAME?</v>
      </c>
      <c r="EK240" s="208" t="e">
        <f t="shared" ca="1" si="341"/>
        <v>#NAME?</v>
      </c>
      <c r="EL240" s="36" t="str">
        <f t="shared" si="79"/>
        <v>Yes</v>
      </c>
      <c r="EM240" s="207"/>
      <c r="EN240" s="192">
        <f t="shared" si="342"/>
        <v>1</v>
      </c>
      <c r="EO240" s="192">
        <f t="shared" si="343"/>
        <v>1</v>
      </c>
      <c r="EP240" s="209">
        <f t="shared" si="82"/>
        <v>2</v>
      </c>
      <c r="EQ240" s="210">
        <f t="shared" si="344"/>
        <v>1</v>
      </c>
      <c r="ER240" s="36" t="e">
        <f t="shared" ca="1" si="84"/>
        <v>#NAME?</v>
      </c>
      <c r="ES240" s="40">
        <f ca="1">COUNTIF($ER$2:$ER$92, ER240)/(COUNTIF($ER$2:$ER$92, "&lt;&gt;""") - COUNTIF($ER$2:$ER$92, ""))</f>
        <v>1</v>
      </c>
      <c r="ET240" s="36">
        <f t="shared" si="85"/>
        <v>1</v>
      </c>
      <c r="EU240" s="40">
        <f>COUNTIF($ET$2:$ET$92, ET240)/(COUNTIF($ET$2:$ET$92, "&lt;&gt;""") - COUNTIF($ET$2:$ET$92, ""))</f>
        <v>0.45555555555555555</v>
      </c>
      <c r="EV240" s="36">
        <f t="shared" si="86"/>
        <v>2</v>
      </c>
      <c r="EW240" s="40">
        <f>COUNTIF($EV$2:$EV$92, EV240)/(COUNTIF($EV$2:$EV$92, "&lt;&gt;""") - COUNTIF($EV$2:$EV$92, ""))</f>
        <v>0.15555555555555556</v>
      </c>
      <c r="EX240" s="36" t="str">
        <f t="shared" si="87"/>
        <v>Yes</v>
      </c>
      <c r="EY240" s="40">
        <f>COUNTIF($EX$2:$EX$92, EX240)/(COUNTIF($EX$2:$EX$92, "&lt;&gt;""") - COUNTIF($EX$2:$EX$92, ""))</f>
        <v>0.27777777777777779</v>
      </c>
      <c r="EZ240" s="36" t="str">
        <f t="shared" ref="EZ240:FB240" si="383">BM240</f>
        <v>No</v>
      </c>
      <c r="FA240" s="36" t="str">
        <f t="shared" si="383"/>
        <v>Yes</v>
      </c>
      <c r="FB240" s="36" t="str">
        <f t="shared" si="383"/>
        <v>No</v>
      </c>
      <c r="FC240" s="207"/>
      <c r="FD240" s="36" t="str">
        <f t="shared" si="89"/>
        <v>Recurring</v>
      </c>
      <c r="FE240" s="40">
        <f>COUNTIF($FD$2:$FD$92, FD240)/(COUNTIF($FD$2:$FD$92, "&lt;&gt;""") - COUNTIF($FD$2:$FD$92, ""))</f>
        <v>0.4</v>
      </c>
      <c r="FF240" s="36" t="str">
        <f t="shared" si="90"/>
        <v>B2C</v>
      </c>
      <c r="FG240" s="40">
        <f>COUNTIF($FF$2:$FF$92, FF240)/(COUNTIF($FF$2:$FF$92, "&lt;&gt;""") - COUNTIF($FF$2:$FF$92, ""))</f>
        <v>0.41111111111111109</v>
      </c>
      <c r="FH240" s="36" t="str">
        <f t="shared" si="91"/>
        <v>Low</v>
      </c>
      <c r="FI240" s="40">
        <f>COUNTIF($FH$2:$FH$92, FH240)/(COUNTIF($FH$2:$FH$92, "&lt;&gt;""") - COUNTIF($FH$2:$FH$92, ""))</f>
        <v>0.46666666666666667</v>
      </c>
      <c r="FJ240" s="36" t="str">
        <f t="shared" si="92"/>
        <v>Low</v>
      </c>
      <c r="FK240" s="40">
        <f>COUNTIF($FJ$2:$FJ$92, FJ240)/(COUNTIF($FJ$2:$FJ$92, "&lt;&gt;""") - COUNTIF($FJ$2:$FJ$92, ""))</f>
        <v>0.41111111111111109</v>
      </c>
      <c r="FL240" s="207"/>
      <c r="FM240" s="192">
        <f t="shared" si="93"/>
        <v>5</v>
      </c>
      <c r="FN240" s="192" t="e">
        <f t="shared" ca="1" si="94"/>
        <v>#NAME?</v>
      </c>
      <c r="FO240" s="192" t="e">
        <f t="shared" ca="1" si="95"/>
        <v>#NAME?</v>
      </c>
      <c r="FP240" s="192" t="e">
        <f t="shared" ca="1" si="96"/>
        <v>#NAME?</v>
      </c>
      <c r="FQ240" s="209" t="e">
        <f t="shared" ca="1" si="97"/>
        <v>#NAME?</v>
      </c>
      <c r="FR240" s="208" t="e">
        <f t="shared" ca="1" si="346"/>
        <v>#NAME?</v>
      </c>
      <c r="FS240" s="36" t="str">
        <f t="shared" si="99"/>
        <v>Profitable</v>
      </c>
      <c r="FT240" s="196">
        <f>COUNTIF($FS$2:$FS$92, FS240)/(COUNTIF($FS$2:$FS$92, "&lt;&gt;""") - COUNTIF($FZ$2:$FZ$92, ""))</f>
        <v>6.6666666666666666E-2</v>
      </c>
      <c r="FU240" s="207"/>
      <c r="FV240" s="192">
        <f t="shared" si="100"/>
        <v>3</v>
      </c>
      <c r="FW240" s="197" t="e">
        <f t="shared" ca="1" si="101"/>
        <v>#NAME?</v>
      </c>
      <c r="FX240" s="209" t="e">
        <f t="shared" ca="1" si="102"/>
        <v>#NAME?</v>
      </c>
      <c r="FY240" s="211" t="e">
        <f t="shared" ca="1" si="347"/>
        <v>#NAME?</v>
      </c>
      <c r="FZ240" s="36" t="str">
        <f t="shared" si="104"/>
        <v>No</v>
      </c>
      <c r="GA240" s="196">
        <f>COUNTIF($FZ$2:$FZ$92, FZ240)/(COUNTIF($FZ$2:$FZ$92, "&lt;&gt;""") - COUNTIF($FZ$2:$FZ$92, ""))</f>
        <v>0.76666666666666672</v>
      </c>
      <c r="GB240" s="196">
        <f t="shared" si="105"/>
        <v>0</v>
      </c>
      <c r="GC240" s="196">
        <f>COUNTIF($GB$2:$GB$92, GB240)/(COUNTIF($GB$2:$GB$92, "&lt;&gt;""") - COUNTIF($GB$2:$GB$92, ""))</f>
        <v>1.1111111111111112E-2</v>
      </c>
      <c r="GD240" s="196">
        <f t="shared" si="106"/>
        <v>0</v>
      </c>
      <c r="GE240" s="196">
        <f>COUNTIF($GD$2:$GD$92, GD240)/(COUNTIF($GD$2:$GD$92, "&lt;&gt;""") - COUNTIF($GD$2:$GD$92, ""))</f>
        <v>1.1111111111111112E-2</v>
      </c>
      <c r="GF240" s="207"/>
      <c r="GG240" s="36"/>
      <c r="GH240" s="209" t="e">
        <f t="shared" ca="1" si="107"/>
        <v>#NAME?</v>
      </c>
      <c r="GI240" s="212" t="e">
        <f t="shared" ca="1" si="348"/>
        <v>#NAME?</v>
      </c>
    </row>
    <row r="241" spans="1:191" ht="15.75" customHeight="1">
      <c r="A241" s="171"/>
      <c r="B241" s="171" t="s">
        <v>501</v>
      </c>
      <c r="C241" s="16">
        <v>1760049</v>
      </c>
      <c r="D241" s="233" t="s">
        <v>1728</v>
      </c>
      <c r="E241" s="234">
        <v>43832.553472222222</v>
      </c>
      <c r="F241" s="16" t="s">
        <v>312</v>
      </c>
      <c r="G241" s="235" t="s">
        <v>1729</v>
      </c>
      <c r="H241" s="235" t="s">
        <v>1730</v>
      </c>
      <c r="I241" s="271">
        <v>43887</v>
      </c>
      <c r="J241" s="233" t="s">
        <v>1731</v>
      </c>
      <c r="K241" s="233" t="s">
        <v>1728</v>
      </c>
      <c r="M241" s="16" t="s">
        <v>1732</v>
      </c>
      <c r="N241" s="16" t="s">
        <v>278</v>
      </c>
      <c r="O241" s="16" t="s">
        <v>30</v>
      </c>
      <c r="P241" s="16" t="s">
        <v>174</v>
      </c>
      <c r="Q241" s="16" t="s">
        <v>35</v>
      </c>
      <c r="S241" s="16" t="s">
        <v>269</v>
      </c>
      <c r="T241" s="237"/>
      <c r="U241" s="213"/>
      <c r="V241" s="54"/>
      <c r="W241" s="54">
        <v>6000000</v>
      </c>
      <c r="X241" s="226">
        <v>0.2</v>
      </c>
      <c r="Y241" s="55">
        <f t="shared" si="158"/>
        <v>4800000</v>
      </c>
      <c r="Z241" s="274">
        <f t="shared" si="159"/>
        <v>4800000</v>
      </c>
      <c r="AA241" s="183" t="e">
        <f t="shared" ca="1" si="160"/>
        <v>#NAME?</v>
      </c>
      <c r="AB241" s="16" t="s">
        <v>36</v>
      </c>
      <c r="AC241" s="16" t="s">
        <v>179</v>
      </c>
      <c r="AD241" s="16" t="s">
        <v>180</v>
      </c>
      <c r="AE241" s="16" t="s">
        <v>227</v>
      </c>
      <c r="AF241" s="16" t="s">
        <v>39</v>
      </c>
      <c r="AG241" s="16" t="s">
        <v>181</v>
      </c>
      <c r="AH241" s="16" t="s">
        <v>190</v>
      </c>
      <c r="AI241" s="54"/>
      <c r="AJ241" s="278">
        <v>697000000</v>
      </c>
      <c r="AK241" s="224" t="e">
        <f t="shared" ca="1" si="161"/>
        <v>#NAME?</v>
      </c>
      <c r="AL241" s="278">
        <v>697000000</v>
      </c>
      <c r="AM241" s="224" t="e">
        <f t="shared" ca="1" si="162"/>
        <v>#NAME?</v>
      </c>
      <c r="AN241" s="278">
        <v>0.05</v>
      </c>
      <c r="AO241" s="185" t="e">
        <f t="shared" ca="1" si="63"/>
        <v>#NAME?</v>
      </c>
      <c r="AP241" s="185" t="s">
        <v>192</v>
      </c>
      <c r="AQ241" s="16" t="s">
        <v>181</v>
      </c>
      <c r="AR241" s="16" t="s">
        <v>181</v>
      </c>
      <c r="AS241" s="16" t="s">
        <v>42</v>
      </c>
      <c r="AT241" s="159"/>
      <c r="AU241" s="159"/>
      <c r="AV241" s="16" t="s">
        <v>190</v>
      </c>
      <c r="AW241" s="16" t="s">
        <v>190</v>
      </c>
      <c r="AX241" s="16" t="s">
        <v>227</v>
      </c>
      <c r="AY241" s="16" t="s">
        <v>227</v>
      </c>
      <c r="AZ241" s="54">
        <v>279257</v>
      </c>
      <c r="BA241" s="55" t="e">
        <f t="shared" ca="1" si="163"/>
        <v>#NAME?</v>
      </c>
      <c r="BB241" s="278">
        <v>4759</v>
      </c>
      <c r="BC241" s="278">
        <v>63063</v>
      </c>
      <c r="BD241" s="62" t="e">
        <f t="shared" ca="1" si="164"/>
        <v>#NAME?</v>
      </c>
      <c r="BE241" s="277">
        <f t="shared" si="165"/>
        <v>7.5464218321361173E-2</v>
      </c>
      <c r="BF241" s="62" t="e">
        <f t="shared" ca="1" si="166"/>
        <v>#NAME?</v>
      </c>
      <c r="BG241" s="16" t="s">
        <v>202</v>
      </c>
      <c r="BI241" s="16" t="s">
        <v>190</v>
      </c>
      <c r="BJ241" s="16">
        <v>0</v>
      </c>
      <c r="BK241" s="278">
        <v>2</v>
      </c>
      <c r="BL241" s="16" t="s">
        <v>227</v>
      </c>
      <c r="BM241" s="16" t="s">
        <v>190</v>
      </c>
      <c r="BN241" s="16" t="s">
        <v>227</v>
      </c>
      <c r="BO241" s="16" t="s">
        <v>190</v>
      </c>
      <c r="BP241" s="16">
        <v>3</v>
      </c>
      <c r="BQ241" s="16">
        <v>5</v>
      </c>
      <c r="BR241" s="16">
        <v>0</v>
      </c>
      <c r="BS241" s="16">
        <v>0</v>
      </c>
      <c r="BT241" s="205"/>
      <c r="BU241" s="16">
        <v>3</v>
      </c>
      <c r="BV241" s="16">
        <v>0</v>
      </c>
      <c r="BW241" s="16">
        <v>42</v>
      </c>
      <c r="BX241" s="16" t="s">
        <v>190</v>
      </c>
      <c r="BY241" s="205"/>
      <c r="BZ241" s="16">
        <v>2</v>
      </c>
      <c r="CA241" s="16">
        <v>0</v>
      </c>
      <c r="CB241" s="16">
        <v>25</v>
      </c>
      <c r="CC241" s="16" t="s">
        <v>190</v>
      </c>
      <c r="CD241" s="205"/>
      <c r="CI241" s="205"/>
      <c r="CN241" s="205"/>
      <c r="CS241" s="205"/>
      <c r="CX241" s="205"/>
      <c r="DC241" s="205"/>
      <c r="DH241" s="205"/>
      <c r="DM241" s="205"/>
      <c r="DN241" s="205"/>
      <c r="DO241" s="205"/>
      <c r="DQ241" s="206"/>
      <c r="DR241" s="188">
        <f t="shared" si="64"/>
        <v>2.5</v>
      </c>
      <c r="DS241" s="188"/>
      <c r="DT241" s="189">
        <f t="shared" si="65"/>
        <v>0</v>
      </c>
      <c r="DU241" s="189"/>
      <c r="DV241" s="188">
        <f t="shared" si="66"/>
        <v>33.5</v>
      </c>
      <c r="DW241" s="183" t="e">
        <f t="shared" ca="1" si="67"/>
        <v>#NAME?</v>
      </c>
      <c r="DX241" s="207"/>
      <c r="DY241" s="190" t="e">
        <f t="shared" ca="1" si="68"/>
        <v>#NAME?</v>
      </c>
      <c r="DZ241" s="191">
        <f t="shared" si="338"/>
        <v>3.1052631578947367</v>
      </c>
      <c r="EA241" s="191" t="str">
        <f t="shared" si="339"/>
        <v/>
      </c>
      <c r="EB241" s="191" t="str">
        <f t="shared" si="340"/>
        <v/>
      </c>
      <c r="EC241" s="208" t="e">
        <f t="shared" ca="1" si="72"/>
        <v>#NAME?</v>
      </c>
      <c r="ED241" s="36" t="str">
        <f t="shared" si="73"/>
        <v>SAFE</v>
      </c>
      <c r="EE241" s="193">
        <f>COUNTIF($ED$2:$ED$92, ED241)/(COUNTIF($ED$2:$ED$92, "&lt;&gt;""") - COUNTIF($ED$2:$ED$92, ""))</f>
        <v>0.37777777777777777</v>
      </c>
      <c r="EF241" s="36" t="str">
        <f t="shared" si="74"/>
        <v>Early</v>
      </c>
      <c r="EG241" s="207"/>
      <c r="EH241" s="194" t="e">
        <f t="shared" ca="1" si="75"/>
        <v>#NAME?</v>
      </c>
      <c r="EI241" s="194" t="e">
        <f t="shared" ca="1" si="76"/>
        <v>#NAME?</v>
      </c>
      <c r="EJ241" s="209" t="e">
        <f t="shared" ca="1" si="77"/>
        <v>#NAME?</v>
      </c>
      <c r="EK241" s="208" t="e">
        <f t="shared" ca="1" si="341"/>
        <v>#NAME?</v>
      </c>
      <c r="EL241" s="36" t="str">
        <f t="shared" si="79"/>
        <v>No</v>
      </c>
      <c r="EM241" s="207"/>
      <c r="EN241" s="192">
        <f t="shared" si="342"/>
        <v>1.2380952380952381</v>
      </c>
      <c r="EO241" s="192">
        <f t="shared" si="343"/>
        <v>1</v>
      </c>
      <c r="EP241" s="209">
        <f t="shared" si="82"/>
        <v>2.2380952380952381</v>
      </c>
      <c r="EQ241" s="210">
        <f t="shared" si="344"/>
        <v>1.1869158878504673</v>
      </c>
      <c r="ER241" s="36" t="e">
        <f t="shared" ca="1" si="84"/>
        <v>#NAME?</v>
      </c>
      <c r="ES241" s="40">
        <f ca="1">COUNTIF($ER$2:$ER$92, ER241)/(COUNTIF($ER$2:$ER$92, "&lt;&gt;""") - COUNTIF($ER$2:$ER$92, ""))</f>
        <v>1</v>
      </c>
      <c r="ET241" s="36">
        <f t="shared" si="85"/>
        <v>2</v>
      </c>
      <c r="EU241" s="40">
        <f>COUNTIF($ET$2:$ET$92, ET241)/(COUNTIF($ET$2:$ET$92, "&lt;&gt;""") - COUNTIF($ET$2:$ET$92, ""))</f>
        <v>0.45555555555555555</v>
      </c>
      <c r="EV241" s="36">
        <f t="shared" si="86"/>
        <v>5</v>
      </c>
      <c r="EW241" s="40">
        <f>COUNTIF($EV$2:$EV$92, EV241)/(COUNTIF($EV$2:$EV$92, "&lt;&gt;""") - COUNTIF($EV$2:$EV$92, ""))</f>
        <v>0.13333333333333333</v>
      </c>
      <c r="EX241" s="36" t="str">
        <f t="shared" si="87"/>
        <v>Yes</v>
      </c>
      <c r="EY241" s="40">
        <f>COUNTIF($EX$2:$EX$92, EX241)/(COUNTIF($EX$2:$EX$92, "&lt;&gt;""") - COUNTIF($EX$2:$EX$92, ""))</f>
        <v>0.27777777777777779</v>
      </c>
      <c r="EZ241" s="36" t="str">
        <f t="shared" ref="EZ241:FB241" si="384">BM241</f>
        <v>No</v>
      </c>
      <c r="FA241" s="36" t="str">
        <f t="shared" si="384"/>
        <v>Yes</v>
      </c>
      <c r="FB241" s="36" t="str">
        <f t="shared" si="384"/>
        <v>No</v>
      </c>
      <c r="FC241" s="207"/>
      <c r="FD241" s="36" t="str">
        <f t="shared" si="89"/>
        <v>Transactional</v>
      </c>
      <c r="FE241" s="40">
        <f>COUNTIF($FD$2:$FD$92, FD241)/(COUNTIF($FD$2:$FD$92, "&lt;&gt;""") - COUNTIF($FD$2:$FD$92, ""))</f>
        <v>0.6</v>
      </c>
      <c r="FF241" s="36" t="str">
        <f t="shared" si="90"/>
        <v>B2C</v>
      </c>
      <c r="FG241" s="40">
        <f>COUNTIF($FF$2:$FF$92, FF241)/(COUNTIF($FF$2:$FF$92, "&lt;&gt;""") - COUNTIF($FF$2:$FF$92, ""))</f>
        <v>0.41111111111111109</v>
      </c>
      <c r="FH241" s="36" t="str">
        <f t="shared" si="91"/>
        <v>High</v>
      </c>
      <c r="FI241" s="40">
        <f>COUNTIF($FH$2:$FH$92, FH241)/(COUNTIF($FH$2:$FH$92, "&lt;&gt;""") - COUNTIF($FH$2:$FH$92, ""))</f>
        <v>0.53333333333333333</v>
      </c>
      <c r="FJ241" s="36" t="str">
        <f t="shared" si="92"/>
        <v>Low</v>
      </c>
      <c r="FK241" s="40">
        <f>COUNTIF($FJ$2:$FJ$92, FJ241)/(COUNTIF($FJ$2:$FJ$92, "&lt;&gt;""") - COUNTIF($FJ$2:$FJ$92, ""))</f>
        <v>0.41111111111111109</v>
      </c>
      <c r="FL241" s="207"/>
      <c r="FM241" s="192">
        <f t="shared" si="93"/>
        <v>5</v>
      </c>
      <c r="FN241" s="192" t="e">
        <f t="shared" ca="1" si="94"/>
        <v>#NAME?</v>
      </c>
      <c r="FO241" s="192" t="e">
        <f t="shared" ca="1" si="95"/>
        <v>#NAME?</v>
      </c>
      <c r="FP241" s="192" t="e">
        <f t="shared" ca="1" si="96"/>
        <v>#NAME?</v>
      </c>
      <c r="FQ241" s="209" t="e">
        <f t="shared" ca="1" si="97"/>
        <v>#NAME?</v>
      </c>
      <c r="FR241" s="208" t="e">
        <f t="shared" ca="1" si="346"/>
        <v>#NAME?</v>
      </c>
      <c r="FS241" s="36" t="str">
        <f t="shared" si="99"/>
        <v>Pre-Profit</v>
      </c>
      <c r="FT241" s="196">
        <f>COUNTIF($FS$2:$FS$92, FS241)/(COUNTIF($FS$2:$FS$92, "&lt;&gt;""") - COUNTIF($FZ$2:$FZ$92, ""))</f>
        <v>0.51111111111111107</v>
      </c>
      <c r="FU241" s="207"/>
      <c r="FV241" s="192" t="e">
        <f t="shared" ca="1" si="100"/>
        <v>#NAME?</v>
      </c>
      <c r="FW241" s="197" t="e">
        <f t="shared" ca="1" si="101"/>
        <v>#NAME?</v>
      </c>
      <c r="FX241" s="209" t="e">
        <f t="shared" ca="1" si="102"/>
        <v>#NAME?</v>
      </c>
      <c r="FY241" s="211" t="e">
        <f t="shared" ca="1" si="347"/>
        <v>#NAME?</v>
      </c>
      <c r="FZ241" s="36" t="str">
        <f t="shared" si="104"/>
        <v>No</v>
      </c>
      <c r="GA241" s="196">
        <f>COUNTIF($FZ$2:$FZ$92, FZ241)/(COUNTIF($FZ$2:$FZ$92, "&lt;&gt;""") - COUNTIF($FZ$2:$FZ$92, ""))</f>
        <v>0.76666666666666672</v>
      </c>
      <c r="GB241" s="196">
        <f t="shared" si="105"/>
        <v>0</v>
      </c>
      <c r="GC241" s="196">
        <f>COUNTIF($GB$2:$GB$92, GB241)/(COUNTIF($GB$2:$GB$92, "&lt;&gt;""") - COUNTIF($GB$2:$GB$92, ""))</f>
        <v>1.1111111111111112E-2</v>
      </c>
      <c r="GD241" s="196">
        <f t="shared" si="106"/>
        <v>0</v>
      </c>
      <c r="GE241" s="196">
        <f>COUNTIF($GD$2:$GD$92, GD241)/(COUNTIF($GD$2:$GD$92, "&lt;&gt;""") - COUNTIF($GD$2:$GD$92, ""))</f>
        <v>1.1111111111111112E-2</v>
      </c>
      <c r="GF241" s="207"/>
      <c r="GG241" s="36"/>
      <c r="GH241" s="209" t="e">
        <f t="shared" ca="1" si="107"/>
        <v>#NAME?</v>
      </c>
      <c r="GI241" s="212" t="e">
        <f t="shared" ca="1" si="348"/>
        <v>#NAME?</v>
      </c>
    </row>
    <row r="242" spans="1:191" ht="15.75" customHeight="1">
      <c r="A242" s="171"/>
      <c r="B242" s="171" t="s">
        <v>501</v>
      </c>
      <c r="C242" s="16">
        <v>1736423</v>
      </c>
      <c r="D242" s="233" t="s">
        <v>1733</v>
      </c>
      <c r="E242" s="270">
        <v>43853.367361111108</v>
      </c>
      <c r="F242" s="16" t="s">
        <v>329</v>
      </c>
      <c r="G242" s="235" t="s">
        <v>1734</v>
      </c>
      <c r="H242" s="235" t="s">
        <v>1735</v>
      </c>
      <c r="I242" s="271">
        <v>43852</v>
      </c>
      <c r="J242" s="233" t="s">
        <v>1736</v>
      </c>
      <c r="K242" s="233" t="s">
        <v>1733</v>
      </c>
      <c r="M242" s="16" t="s">
        <v>996</v>
      </c>
      <c r="N242" s="16" t="s">
        <v>320</v>
      </c>
      <c r="O242" s="16" t="s">
        <v>30</v>
      </c>
      <c r="P242" s="16" t="s">
        <v>174</v>
      </c>
      <c r="Q242" s="16" t="s">
        <v>35</v>
      </c>
      <c r="S242" s="16" t="s">
        <v>269</v>
      </c>
      <c r="T242" s="237"/>
      <c r="U242" s="213"/>
      <c r="V242" s="54"/>
      <c r="W242" s="54">
        <v>3000000</v>
      </c>
      <c r="X242" s="226">
        <v>0</v>
      </c>
      <c r="Y242" s="55">
        <f t="shared" si="158"/>
        <v>3000000</v>
      </c>
      <c r="Z242" s="274">
        <f t="shared" si="159"/>
        <v>3000000</v>
      </c>
      <c r="AA242" s="183" t="e">
        <f t="shared" ca="1" si="160"/>
        <v>#NAME?</v>
      </c>
      <c r="AB242" s="16" t="s">
        <v>178</v>
      </c>
      <c r="AC242" s="16" t="s">
        <v>179</v>
      </c>
      <c r="AD242" s="16" t="s">
        <v>180</v>
      </c>
      <c r="AE242" s="16" t="s">
        <v>227</v>
      </c>
      <c r="AF242" s="16" t="s">
        <v>39</v>
      </c>
      <c r="AG242" s="16" t="s">
        <v>181</v>
      </c>
      <c r="AH242" s="16" t="s">
        <v>227</v>
      </c>
      <c r="AI242" s="54"/>
      <c r="AJ242" s="278">
        <v>123000000000</v>
      </c>
      <c r="AK242" s="224" t="e">
        <f t="shared" ca="1" si="161"/>
        <v>#NAME?</v>
      </c>
      <c r="AL242" s="278">
        <v>123000000000</v>
      </c>
      <c r="AM242" s="224" t="e">
        <f t="shared" ca="1" si="162"/>
        <v>#NAME?</v>
      </c>
      <c r="AN242" s="278">
        <v>0.13</v>
      </c>
      <c r="AO242" s="185" t="e">
        <f t="shared" ca="1" si="63"/>
        <v>#NAME?</v>
      </c>
      <c r="AP242" s="185" t="s">
        <v>169</v>
      </c>
      <c r="AQ242" s="16" t="s">
        <v>39</v>
      </c>
      <c r="AR242" s="16" t="s">
        <v>181</v>
      </c>
      <c r="AS242" s="16" t="s">
        <v>182</v>
      </c>
      <c r="AT242" s="159"/>
      <c r="AU242" s="159"/>
      <c r="AV242" s="16" t="s">
        <v>190</v>
      </c>
      <c r="AW242" s="16" t="s">
        <v>190</v>
      </c>
      <c r="AX242" s="16" t="s">
        <v>227</v>
      </c>
      <c r="AY242" s="16" t="s">
        <v>190</v>
      </c>
      <c r="AZ242" s="54">
        <v>0</v>
      </c>
      <c r="BA242" s="55" t="e">
        <f t="shared" ca="1" si="163"/>
        <v>#NAME?</v>
      </c>
      <c r="BB242" s="278">
        <v>15415</v>
      </c>
      <c r="BC242" s="278">
        <v>320080</v>
      </c>
      <c r="BD242" s="62" t="e">
        <f t="shared" ca="1" si="164"/>
        <v>#NAME?</v>
      </c>
      <c r="BE242" s="277">
        <f t="shared" si="165"/>
        <v>4.815983504123969E-2</v>
      </c>
      <c r="BF242" s="62" t="e">
        <f t="shared" ca="1" si="166"/>
        <v>#NAME?</v>
      </c>
      <c r="BG242" s="16" t="s">
        <v>183</v>
      </c>
      <c r="BI242" s="16" t="s">
        <v>227</v>
      </c>
      <c r="BJ242" s="16">
        <v>1</v>
      </c>
      <c r="BK242" s="278">
        <v>2</v>
      </c>
      <c r="BL242" s="16" t="s">
        <v>190</v>
      </c>
      <c r="BM242" s="16" t="s">
        <v>227</v>
      </c>
      <c r="BN242" s="16" t="s">
        <v>227</v>
      </c>
      <c r="BO242" s="16" t="s">
        <v>190</v>
      </c>
      <c r="BP242" s="16">
        <v>3</v>
      </c>
      <c r="BQ242" s="16">
        <v>3</v>
      </c>
      <c r="BR242" s="16">
        <v>0</v>
      </c>
      <c r="BS242" s="16">
        <v>3</v>
      </c>
      <c r="BT242" s="205"/>
      <c r="BU242" s="16">
        <v>0</v>
      </c>
      <c r="BV242" s="16">
        <v>0</v>
      </c>
      <c r="BW242" s="16">
        <v>29</v>
      </c>
      <c r="BX242" s="16" t="s">
        <v>227</v>
      </c>
      <c r="BY242" s="205"/>
      <c r="BZ242" s="16">
        <v>0</v>
      </c>
      <c r="CA242" s="16">
        <v>0</v>
      </c>
      <c r="CB242" s="16">
        <v>30</v>
      </c>
      <c r="CC242" s="16" t="s">
        <v>227</v>
      </c>
      <c r="CD242" s="205"/>
      <c r="CI242" s="205"/>
      <c r="CN242" s="205"/>
      <c r="CS242" s="205"/>
      <c r="CX242" s="205"/>
      <c r="DC242" s="205"/>
      <c r="DH242" s="205"/>
      <c r="DM242" s="205"/>
      <c r="DN242" s="205"/>
      <c r="DO242" s="205"/>
      <c r="DQ242" s="206"/>
      <c r="DR242" s="188">
        <f t="shared" si="64"/>
        <v>0</v>
      </c>
      <c r="DS242" s="188"/>
      <c r="DT242" s="189">
        <f t="shared" si="65"/>
        <v>0</v>
      </c>
      <c r="DU242" s="189"/>
      <c r="DV242" s="188">
        <f t="shared" si="66"/>
        <v>29.5</v>
      </c>
      <c r="DW242" s="183" t="e">
        <f t="shared" ca="1" si="67"/>
        <v>#NAME?</v>
      </c>
      <c r="DX242" s="207"/>
      <c r="DY242" s="190" t="e">
        <f t="shared" ca="1" si="68"/>
        <v>#NAME?</v>
      </c>
      <c r="DZ242" s="191">
        <f t="shared" si="338"/>
        <v>1</v>
      </c>
      <c r="EA242" s="191" t="str">
        <f t="shared" si="339"/>
        <v/>
      </c>
      <c r="EB242" s="191" t="str">
        <f t="shared" si="340"/>
        <v/>
      </c>
      <c r="EC242" s="208" t="e">
        <f t="shared" ca="1" si="72"/>
        <v>#NAME?</v>
      </c>
      <c r="ED242" s="36" t="str">
        <f t="shared" si="73"/>
        <v>SAFE</v>
      </c>
      <c r="EE242" s="193">
        <f>COUNTIF($ED$2:$ED$92, ED242)/(COUNTIF($ED$2:$ED$92, "&lt;&gt;""") - COUNTIF($ED$2:$ED$92, ""))</f>
        <v>0.37777777777777777</v>
      </c>
      <c r="EF242" s="36" t="str">
        <f t="shared" si="74"/>
        <v>Early</v>
      </c>
      <c r="EG242" s="207"/>
      <c r="EH242" s="194" t="e">
        <f t="shared" ca="1" si="75"/>
        <v>#NAME?</v>
      </c>
      <c r="EI242" s="194" t="e">
        <f t="shared" ca="1" si="76"/>
        <v>#NAME?</v>
      </c>
      <c r="EJ242" s="209" t="e">
        <f t="shared" ca="1" si="77"/>
        <v>#NAME?</v>
      </c>
      <c r="EK242" s="208" t="e">
        <f t="shared" ca="1" si="341"/>
        <v>#NAME?</v>
      </c>
      <c r="EL242" s="36" t="str">
        <f t="shared" si="79"/>
        <v>No</v>
      </c>
      <c r="EM242" s="207"/>
      <c r="EN242" s="192">
        <f t="shared" si="342"/>
        <v>1</v>
      </c>
      <c r="EO242" s="192">
        <f t="shared" si="343"/>
        <v>1</v>
      </c>
      <c r="EP242" s="209">
        <f t="shared" si="82"/>
        <v>2</v>
      </c>
      <c r="EQ242" s="210">
        <f t="shared" si="344"/>
        <v>1</v>
      </c>
      <c r="ER242" s="36" t="e">
        <f t="shared" ca="1" si="84"/>
        <v>#NAME?</v>
      </c>
      <c r="ES242" s="40">
        <f ca="1">COUNTIF($ER$2:$ER$92, ER242)/(COUNTIF($ER$2:$ER$92, "&lt;&gt;""") - COUNTIF($ER$2:$ER$92, ""))</f>
        <v>1</v>
      </c>
      <c r="ET242" s="36">
        <f t="shared" si="85"/>
        <v>2</v>
      </c>
      <c r="EU242" s="40">
        <f>COUNTIF($ET$2:$ET$92, ET242)/(COUNTIF($ET$2:$ET$92, "&lt;&gt;""") - COUNTIF($ET$2:$ET$92, ""))</f>
        <v>0.45555555555555555</v>
      </c>
      <c r="EV242" s="36">
        <f t="shared" si="86"/>
        <v>3</v>
      </c>
      <c r="EW242" s="40">
        <f>COUNTIF($EV$2:$EV$92, EV242)/(COUNTIF($EV$2:$EV$92, "&lt;&gt;""") - COUNTIF($EV$2:$EV$92, ""))</f>
        <v>8.8888888888888892E-2</v>
      </c>
      <c r="EX242" s="36" t="str">
        <f t="shared" si="87"/>
        <v>No</v>
      </c>
      <c r="EY242" s="40">
        <f>COUNTIF($EX$2:$EX$92, EX242)/(COUNTIF($EX$2:$EX$92, "&lt;&gt;""") - COUNTIF($EX$2:$EX$92, ""))</f>
        <v>0.72222222222222221</v>
      </c>
      <c r="EZ242" s="36" t="str">
        <f t="shared" ref="EZ242:FB242" si="385">BM242</f>
        <v>Yes</v>
      </c>
      <c r="FA242" s="36" t="str">
        <f t="shared" si="385"/>
        <v>Yes</v>
      </c>
      <c r="FB242" s="36" t="str">
        <f t="shared" si="385"/>
        <v>No</v>
      </c>
      <c r="FC242" s="207"/>
      <c r="FD242" s="36" t="str">
        <f t="shared" si="89"/>
        <v>Recurring</v>
      </c>
      <c r="FE242" s="40">
        <f>COUNTIF($FD$2:$FD$92, FD242)/(COUNTIF($FD$2:$FD$92, "&lt;&gt;""") - COUNTIF($FD$2:$FD$92, ""))</f>
        <v>0.4</v>
      </c>
      <c r="FF242" s="36" t="str">
        <f t="shared" si="90"/>
        <v>B2C</v>
      </c>
      <c r="FG242" s="40">
        <f>COUNTIF($FF$2:$FF$92, FF242)/(COUNTIF($FF$2:$FF$92, "&lt;&gt;""") - COUNTIF($FF$2:$FF$92, ""))</f>
        <v>0.41111111111111109</v>
      </c>
      <c r="FH242" s="36" t="str">
        <f t="shared" si="91"/>
        <v>High</v>
      </c>
      <c r="FI242" s="40">
        <f>COUNTIF($FH$2:$FH$92, FH242)/(COUNTIF($FH$2:$FH$92, "&lt;&gt;""") - COUNTIF($FH$2:$FH$92, ""))</f>
        <v>0.53333333333333333</v>
      </c>
      <c r="FJ242" s="36" t="str">
        <f t="shared" si="92"/>
        <v>Low</v>
      </c>
      <c r="FK242" s="40">
        <f>COUNTIF($FJ$2:$FJ$92, FJ242)/(COUNTIF($FJ$2:$FJ$92, "&lt;&gt;""") - COUNTIF($FJ$2:$FJ$92, ""))</f>
        <v>0.41111111111111109</v>
      </c>
      <c r="FL242" s="207"/>
      <c r="FM242" s="192">
        <f t="shared" si="93"/>
        <v>3</v>
      </c>
      <c r="FN242" s="192" t="e">
        <f t="shared" ca="1" si="94"/>
        <v>#NAME?</v>
      </c>
      <c r="FO242" s="192" t="e">
        <f t="shared" ca="1" si="95"/>
        <v>#NAME?</v>
      </c>
      <c r="FP242" s="192" t="e">
        <f t="shared" ca="1" si="96"/>
        <v>#NAME?</v>
      </c>
      <c r="FQ242" s="209" t="e">
        <f t="shared" ca="1" si="97"/>
        <v>#NAME?</v>
      </c>
      <c r="FR242" s="208" t="e">
        <f t="shared" ca="1" si="346"/>
        <v>#NAME?</v>
      </c>
      <c r="FS242" s="36" t="str">
        <f t="shared" si="99"/>
        <v>Pre-Revenue</v>
      </c>
      <c r="FT242" s="196">
        <f>COUNTIF($FS$2:$FS$92, FS242)/(COUNTIF($FS$2:$FS$92, "&lt;&gt;""") - COUNTIF($FZ$2:$FZ$92, ""))</f>
        <v>0.2</v>
      </c>
      <c r="FU242" s="207"/>
      <c r="FV242" s="192">
        <f t="shared" si="100"/>
        <v>3</v>
      </c>
      <c r="FW242" s="197" t="e">
        <f t="shared" ca="1" si="101"/>
        <v>#NAME?</v>
      </c>
      <c r="FX242" s="209" t="e">
        <f t="shared" ca="1" si="102"/>
        <v>#NAME?</v>
      </c>
      <c r="FY242" s="211" t="e">
        <f t="shared" ca="1" si="347"/>
        <v>#NAME?</v>
      </c>
      <c r="FZ242" s="36" t="str">
        <f t="shared" si="104"/>
        <v>No</v>
      </c>
      <c r="GA242" s="196">
        <f>COUNTIF($FZ$2:$FZ$92, FZ242)/(COUNTIF($FZ$2:$FZ$92, "&lt;&gt;""") - COUNTIF($FZ$2:$FZ$92, ""))</f>
        <v>0.76666666666666672</v>
      </c>
      <c r="GB242" s="196">
        <f t="shared" si="105"/>
        <v>0</v>
      </c>
      <c r="GC242" s="196">
        <f>COUNTIF($GB$2:$GB$92, GB242)/(COUNTIF($GB$2:$GB$92, "&lt;&gt;""") - COUNTIF($GB$2:$GB$92, ""))</f>
        <v>1.1111111111111112E-2</v>
      </c>
      <c r="GD242" s="196">
        <f t="shared" si="106"/>
        <v>0</v>
      </c>
      <c r="GE242" s="196">
        <f>COUNTIF($GD$2:$GD$92, GD242)/(COUNTIF($GD$2:$GD$92, "&lt;&gt;""") - COUNTIF($GD$2:$GD$92, ""))</f>
        <v>1.1111111111111112E-2</v>
      </c>
      <c r="GF242" s="207"/>
      <c r="GG242" s="36"/>
      <c r="GH242" s="209" t="e">
        <f t="shared" ca="1" si="107"/>
        <v>#NAME?</v>
      </c>
      <c r="GI242" s="212" t="e">
        <f t="shared" ca="1" si="348"/>
        <v>#NAME?</v>
      </c>
    </row>
    <row r="243" spans="1:191" ht="15.75" customHeight="1">
      <c r="A243" s="171"/>
      <c r="B243" s="171" t="s">
        <v>501</v>
      </c>
      <c r="C243" s="16">
        <v>1794073</v>
      </c>
      <c r="D243" s="233" t="s">
        <v>1737</v>
      </c>
      <c r="E243" s="270">
        <v>43853.37222222222</v>
      </c>
      <c r="F243" s="16" t="s">
        <v>344</v>
      </c>
      <c r="G243" s="235" t="s">
        <v>1738</v>
      </c>
      <c r="H243" s="235" t="s">
        <v>1739</v>
      </c>
      <c r="I243" s="271">
        <v>43846</v>
      </c>
      <c r="J243" s="233" t="s">
        <v>1740</v>
      </c>
      <c r="K243" s="233" t="s">
        <v>1737</v>
      </c>
      <c r="M243" s="35" t="s">
        <v>293</v>
      </c>
      <c r="N243" s="16" t="s">
        <v>168</v>
      </c>
      <c r="O243" s="16" t="s">
        <v>173</v>
      </c>
      <c r="P243" s="16" t="s">
        <v>197</v>
      </c>
      <c r="Q243" s="16" t="s">
        <v>35</v>
      </c>
      <c r="S243" s="16" t="s">
        <v>232</v>
      </c>
      <c r="T243" s="237"/>
      <c r="U243" s="213"/>
      <c r="V243" s="54">
        <v>11050000</v>
      </c>
      <c r="W243" s="54"/>
      <c r="X243" s="226"/>
      <c r="Y243" s="55" t="str">
        <f t="shared" si="158"/>
        <v/>
      </c>
      <c r="Z243" s="274">
        <f t="shared" si="159"/>
        <v>11050000</v>
      </c>
      <c r="AA243" s="183" t="e">
        <f t="shared" ca="1" si="160"/>
        <v>#NAME?</v>
      </c>
      <c r="AB243" s="16" t="s">
        <v>36</v>
      </c>
      <c r="AC243" s="16" t="s">
        <v>218</v>
      </c>
      <c r="AD243" s="16" t="s">
        <v>38</v>
      </c>
      <c r="AE243" s="16" t="s">
        <v>227</v>
      </c>
      <c r="AF243" s="16" t="s">
        <v>181</v>
      </c>
      <c r="AG243" s="16" t="s">
        <v>181</v>
      </c>
      <c r="AH243" s="16" t="s">
        <v>190</v>
      </c>
      <c r="AI243" s="54"/>
      <c r="AJ243" s="278">
        <v>114200000000</v>
      </c>
      <c r="AK243" s="224" t="e">
        <f t="shared" ca="1" si="161"/>
        <v>#NAME?</v>
      </c>
      <c r="AL243" s="278">
        <v>27600000000</v>
      </c>
      <c r="AM243" s="224" t="e">
        <f t="shared" ca="1" si="162"/>
        <v>#NAME?</v>
      </c>
      <c r="AN243" s="278">
        <v>0.04</v>
      </c>
      <c r="AO243" s="185" t="e">
        <f t="shared" ca="1" si="63"/>
        <v>#NAME?</v>
      </c>
      <c r="AP243" s="185" t="s">
        <v>264</v>
      </c>
      <c r="AQ243" s="16" t="s">
        <v>181</v>
      </c>
      <c r="AR243" s="16" t="s">
        <v>181</v>
      </c>
      <c r="AS243" s="16" t="s">
        <v>42</v>
      </c>
      <c r="AT243" s="159"/>
      <c r="AU243" s="159"/>
      <c r="AV243" s="16" t="s">
        <v>190</v>
      </c>
      <c r="AW243" s="16" t="s">
        <v>190</v>
      </c>
      <c r="AX243" s="16" t="s">
        <v>227</v>
      </c>
      <c r="AY243" s="16" t="s">
        <v>227</v>
      </c>
      <c r="AZ243" s="54">
        <v>2904698</v>
      </c>
      <c r="BA243" s="55" t="e">
        <f t="shared" ca="1" si="163"/>
        <v>#NAME?</v>
      </c>
      <c r="BB243" s="278">
        <v>19202</v>
      </c>
      <c r="BC243" s="278">
        <v>925000</v>
      </c>
      <c r="BD243" s="62" t="e">
        <f t="shared" ca="1" si="164"/>
        <v>#NAME?</v>
      </c>
      <c r="BE243" s="277">
        <f t="shared" si="165"/>
        <v>2.0758918918918918E-2</v>
      </c>
      <c r="BF243" s="62" t="e">
        <f t="shared" ca="1" si="166"/>
        <v>#NAME?</v>
      </c>
      <c r="BG243" s="16" t="s">
        <v>202</v>
      </c>
      <c r="BI243" s="16" t="s">
        <v>190</v>
      </c>
      <c r="BJ243" s="16">
        <v>0</v>
      </c>
      <c r="BK243" s="278">
        <v>1</v>
      </c>
      <c r="BL243" s="16" t="s">
        <v>227</v>
      </c>
      <c r="BM243" s="16" t="s">
        <v>190</v>
      </c>
      <c r="BN243" s="16" t="s">
        <v>190</v>
      </c>
      <c r="BO243" s="16" t="s">
        <v>190</v>
      </c>
      <c r="BP243" s="16">
        <v>1</v>
      </c>
      <c r="BQ243" s="16">
        <v>50</v>
      </c>
      <c r="BR243" s="16">
        <v>0</v>
      </c>
      <c r="BS243" s="16">
        <v>0</v>
      </c>
      <c r="BT243" s="205"/>
      <c r="BU243" s="16">
        <v>11</v>
      </c>
      <c r="BV243" s="16">
        <v>0</v>
      </c>
      <c r="BW243" s="16">
        <v>37</v>
      </c>
      <c r="BX243" s="16" t="s">
        <v>227</v>
      </c>
      <c r="BY243" s="205"/>
      <c r="CD243" s="205"/>
      <c r="CI243" s="205"/>
      <c r="CN243" s="205"/>
      <c r="CS243" s="205"/>
      <c r="CX243" s="205"/>
      <c r="DC243" s="205"/>
      <c r="DH243" s="205"/>
      <c r="DM243" s="205"/>
      <c r="DN243" s="205"/>
      <c r="DO243" s="205"/>
      <c r="DQ243" s="206"/>
      <c r="DR243" s="188">
        <f t="shared" si="64"/>
        <v>11</v>
      </c>
      <c r="DS243" s="188"/>
      <c r="DT243" s="189">
        <f t="shared" si="65"/>
        <v>0</v>
      </c>
      <c r="DU243" s="189"/>
      <c r="DV243" s="188">
        <f t="shared" si="66"/>
        <v>37</v>
      </c>
      <c r="DW243" s="183" t="e">
        <f t="shared" ca="1" si="67"/>
        <v>#NAME?</v>
      </c>
      <c r="DX243" s="207"/>
      <c r="DY243" s="190" t="e">
        <f t="shared" ca="1" si="68"/>
        <v>#NAME?</v>
      </c>
      <c r="DZ243" s="191" t="str">
        <f t="shared" si="338"/>
        <v/>
      </c>
      <c r="EA243" s="191" t="str">
        <f t="shared" si="339"/>
        <v/>
      </c>
      <c r="EB243" s="191" t="str">
        <f t="shared" si="340"/>
        <v/>
      </c>
      <c r="EC243" s="208" t="e">
        <f t="shared" ca="1" si="72"/>
        <v>#NAME?</v>
      </c>
      <c r="ED243" s="36" t="str">
        <f t="shared" si="73"/>
        <v>Equity - Preferred</v>
      </c>
      <c r="EE243" s="193">
        <f>COUNTIF($ED$2:$ED$92, ED243)/(COUNTIF($ED$2:$ED$92, "&lt;&gt;""") - COUNTIF($ED$2:$ED$92, ""))</f>
        <v>6.6666666666666666E-2</v>
      </c>
      <c r="EF243" s="36" t="str">
        <f t="shared" si="74"/>
        <v>Growth</v>
      </c>
      <c r="EG243" s="207"/>
      <c r="EH243" s="194" t="e">
        <f t="shared" ca="1" si="75"/>
        <v>#NAME?</v>
      </c>
      <c r="EI243" s="194" t="e">
        <f t="shared" ca="1" si="76"/>
        <v>#NAME?</v>
      </c>
      <c r="EJ243" s="209" t="e">
        <f t="shared" ca="1" si="77"/>
        <v>#NAME?</v>
      </c>
      <c r="EK243" s="208" t="e">
        <f t="shared" ca="1" si="341"/>
        <v>#NAME?</v>
      </c>
      <c r="EL243" s="36" t="str">
        <f t="shared" si="79"/>
        <v>No</v>
      </c>
      <c r="EM243" s="207"/>
      <c r="EN243" s="192">
        <f t="shared" si="342"/>
        <v>2.0476190476190474</v>
      </c>
      <c r="EO243" s="192">
        <f t="shared" si="343"/>
        <v>1</v>
      </c>
      <c r="EP243" s="209">
        <f t="shared" si="82"/>
        <v>3.0476190476190474</v>
      </c>
      <c r="EQ243" s="210">
        <f t="shared" si="344"/>
        <v>1.8224299065420559</v>
      </c>
      <c r="ER243" s="36" t="e">
        <f t="shared" ca="1" si="84"/>
        <v>#NAME?</v>
      </c>
      <c r="ES243" s="40">
        <f ca="1">COUNTIF($ER$2:$ER$92, ER243)/(COUNTIF($ER$2:$ER$92, "&lt;&gt;""") - COUNTIF($ER$2:$ER$92, ""))</f>
        <v>1</v>
      </c>
      <c r="ET243" s="36">
        <f t="shared" si="85"/>
        <v>1</v>
      </c>
      <c r="EU243" s="40">
        <f>COUNTIF($ET$2:$ET$92, ET243)/(COUNTIF($ET$2:$ET$92, "&lt;&gt;""") - COUNTIF($ET$2:$ET$92, ""))</f>
        <v>0.45555555555555555</v>
      </c>
      <c r="EV243" s="36">
        <f t="shared" si="86"/>
        <v>50</v>
      </c>
      <c r="EW243" s="40">
        <f>COUNTIF($EV$2:$EV$92, EV243)/(COUNTIF($EV$2:$EV$92, "&lt;&gt;""") - COUNTIF($EV$2:$EV$92, ""))</f>
        <v>0</v>
      </c>
      <c r="EX243" s="36" t="str">
        <f t="shared" si="87"/>
        <v>Yes</v>
      </c>
      <c r="EY243" s="40">
        <f>COUNTIF($EX$2:$EX$92, EX243)/(COUNTIF($EX$2:$EX$92, "&lt;&gt;""") - COUNTIF($EX$2:$EX$92, ""))</f>
        <v>0.27777777777777779</v>
      </c>
      <c r="EZ243" s="36" t="str">
        <f t="shared" ref="EZ243:FB243" si="386">BM243</f>
        <v>No</v>
      </c>
      <c r="FA243" s="36" t="str">
        <f t="shared" si="386"/>
        <v>No</v>
      </c>
      <c r="FB243" s="36" t="str">
        <f t="shared" si="386"/>
        <v>No</v>
      </c>
      <c r="FC243" s="207"/>
      <c r="FD243" s="36" t="str">
        <f t="shared" si="89"/>
        <v>Transactional</v>
      </c>
      <c r="FE243" s="40">
        <f>COUNTIF($FD$2:$FD$92, FD243)/(COUNTIF($FD$2:$FD$92, "&lt;&gt;""") - COUNTIF($FD$2:$FD$92, ""))</f>
        <v>0.6</v>
      </c>
      <c r="FF243" s="36" t="str">
        <f t="shared" si="90"/>
        <v>B2B/B2C</v>
      </c>
      <c r="FG243" s="40">
        <f>COUNTIF($FF$2:$FF$92, FF243)/(COUNTIF($FF$2:$FF$92, "&lt;&gt;""") - COUNTIF($FF$2:$FF$92, ""))</f>
        <v>0.27777777777777779</v>
      </c>
      <c r="FH243" s="36" t="str">
        <f t="shared" si="91"/>
        <v>Low</v>
      </c>
      <c r="FI243" s="40">
        <f>COUNTIF($FH$2:$FH$92, FH243)/(COUNTIF($FH$2:$FH$92, "&lt;&gt;""") - COUNTIF($FH$2:$FH$92, ""))</f>
        <v>0.46666666666666667</v>
      </c>
      <c r="FJ243" s="36" t="str">
        <f t="shared" si="92"/>
        <v>Low</v>
      </c>
      <c r="FK243" s="40">
        <f>COUNTIF($FJ$2:$FJ$92, FJ243)/(COUNTIF($FJ$2:$FJ$92, "&lt;&gt;""") - COUNTIF($FJ$2:$FJ$92, ""))</f>
        <v>0.41111111111111109</v>
      </c>
      <c r="FL243" s="207"/>
      <c r="FM243" s="192">
        <f t="shared" si="93"/>
        <v>5</v>
      </c>
      <c r="FN243" s="192" t="e">
        <f t="shared" ca="1" si="94"/>
        <v>#NAME?</v>
      </c>
      <c r="FO243" s="192" t="e">
        <f t="shared" ca="1" si="95"/>
        <v>#NAME?</v>
      </c>
      <c r="FP243" s="192" t="e">
        <f t="shared" ca="1" si="96"/>
        <v>#NAME?</v>
      </c>
      <c r="FQ243" s="209" t="e">
        <f t="shared" ca="1" si="97"/>
        <v>#NAME?</v>
      </c>
      <c r="FR243" s="208" t="e">
        <f t="shared" ca="1" si="346"/>
        <v>#NAME?</v>
      </c>
      <c r="FS243" s="36" t="str">
        <f t="shared" si="99"/>
        <v>Pre-Profit</v>
      </c>
      <c r="FT243" s="196">
        <f>COUNTIF($FS$2:$FS$92, FS243)/(COUNTIF($FS$2:$FS$92, "&lt;&gt;""") - COUNTIF($FZ$2:$FZ$92, ""))</f>
        <v>0.51111111111111107</v>
      </c>
      <c r="FU243" s="207"/>
      <c r="FV243" s="192" t="e">
        <f t="shared" ca="1" si="100"/>
        <v>#NAME?</v>
      </c>
      <c r="FW243" s="197" t="e">
        <f t="shared" ca="1" si="101"/>
        <v>#NAME?</v>
      </c>
      <c r="FX243" s="209" t="e">
        <f t="shared" ca="1" si="102"/>
        <v>#NAME?</v>
      </c>
      <c r="FY243" s="211" t="e">
        <f t="shared" ca="1" si="347"/>
        <v>#NAME?</v>
      </c>
      <c r="FZ243" s="36" t="str">
        <f t="shared" si="104"/>
        <v>No</v>
      </c>
      <c r="GA243" s="196">
        <f>COUNTIF($FZ$2:$FZ$92, FZ243)/(COUNTIF($FZ$2:$FZ$92, "&lt;&gt;""") - COUNTIF($FZ$2:$FZ$92, ""))</f>
        <v>0.76666666666666672</v>
      </c>
      <c r="GB243" s="196">
        <f t="shared" si="105"/>
        <v>0</v>
      </c>
      <c r="GC243" s="196">
        <f>COUNTIF($GB$2:$GB$92, GB243)/(COUNTIF($GB$2:$GB$92, "&lt;&gt;""") - COUNTIF($GB$2:$GB$92, ""))</f>
        <v>1.1111111111111112E-2</v>
      </c>
      <c r="GD243" s="196">
        <f t="shared" si="106"/>
        <v>0</v>
      </c>
      <c r="GE243" s="196">
        <f>COUNTIF($GD$2:$GD$92, GD243)/(COUNTIF($GD$2:$GD$92, "&lt;&gt;""") - COUNTIF($GD$2:$GD$92, ""))</f>
        <v>1.1111111111111112E-2</v>
      </c>
      <c r="GF243" s="207"/>
      <c r="GG243" s="36"/>
      <c r="GH243" s="209" t="e">
        <f t="shared" ca="1" si="107"/>
        <v>#NAME?</v>
      </c>
      <c r="GI243" s="212" t="e">
        <f t="shared" ca="1" si="348"/>
        <v>#NAME?</v>
      </c>
    </row>
    <row r="244" spans="1:191" ht="15.75" customHeight="1">
      <c r="A244" s="171"/>
      <c r="B244" s="171" t="s">
        <v>501</v>
      </c>
      <c r="C244" s="16">
        <v>1795240</v>
      </c>
      <c r="D244" s="233" t="s">
        <v>1741</v>
      </c>
      <c r="E244" s="270">
        <v>43853.381249999999</v>
      </c>
      <c r="F244" s="16" t="s">
        <v>344</v>
      </c>
      <c r="G244" s="235" t="s">
        <v>1742</v>
      </c>
      <c r="H244" s="235" t="s">
        <v>1743</v>
      </c>
      <c r="I244" s="271">
        <v>43844</v>
      </c>
      <c r="J244" s="233" t="s">
        <v>1744</v>
      </c>
      <c r="K244" s="233" t="s">
        <v>1745</v>
      </c>
      <c r="M244" s="16" t="s">
        <v>323</v>
      </c>
      <c r="N244" s="16" t="s">
        <v>168</v>
      </c>
      <c r="O244" s="16" t="s">
        <v>30</v>
      </c>
      <c r="P244" s="16" t="s">
        <v>174</v>
      </c>
      <c r="Q244" s="16" t="s">
        <v>35</v>
      </c>
      <c r="S244" s="16" t="s">
        <v>216</v>
      </c>
      <c r="T244" s="237"/>
      <c r="U244" s="213"/>
      <c r="V244" s="54">
        <v>5000000</v>
      </c>
      <c r="W244" s="54"/>
      <c r="X244" s="226"/>
      <c r="Y244" s="55" t="str">
        <f t="shared" si="158"/>
        <v/>
      </c>
      <c r="Z244" s="274">
        <f t="shared" si="159"/>
        <v>5000000</v>
      </c>
      <c r="AA244" s="183" t="e">
        <f t="shared" ca="1" si="160"/>
        <v>#NAME?</v>
      </c>
      <c r="AB244" s="16" t="s">
        <v>36</v>
      </c>
      <c r="AC244" s="16" t="s">
        <v>218</v>
      </c>
      <c r="AD244" s="16" t="s">
        <v>38</v>
      </c>
      <c r="AE244" s="16" t="s">
        <v>227</v>
      </c>
      <c r="AF244" s="16" t="s">
        <v>181</v>
      </c>
      <c r="AG244" s="16" t="s">
        <v>181</v>
      </c>
      <c r="AH244" s="16" t="s">
        <v>190</v>
      </c>
      <c r="AI244" s="54"/>
      <c r="AJ244" s="278">
        <v>5000000000</v>
      </c>
      <c r="AK244" s="224" t="e">
        <f t="shared" ca="1" si="161"/>
        <v>#NAME?</v>
      </c>
      <c r="AL244" s="278">
        <v>1000000000</v>
      </c>
      <c r="AM244" s="224" t="e">
        <f t="shared" ca="1" si="162"/>
        <v>#NAME?</v>
      </c>
      <c r="AN244" s="278">
        <v>0.06</v>
      </c>
      <c r="AO244" s="185" t="e">
        <f t="shared" ca="1" si="63"/>
        <v>#NAME?</v>
      </c>
      <c r="AP244" s="185" t="s">
        <v>169</v>
      </c>
      <c r="AQ244" s="16" t="s">
        <v>181</v>
      </c>
      <c r="AR244" s="16" t="s">
        <v>39</v>
      </c>
      <c r="AS244" s="16" t="s">
        <v>182</v>
      </c>
      <c r="AT244" s="159"/>
      <c r="AU244" s="159"/>
      <c r="AV244" s="16" t="s">
        <v>190</v>
      </c>
      <c r="AW244" s="16" t="s">
        <v>190</v>
      </c>
      <c r="AX244" s="16" t="s">
        <v>227</v>
      </c>
      <c r="AY244" s="16" t="s">
        <v>227</v>
      </c>
      <c r="AZ244" s="54">
        <v>13080</v>
      </c>
      <c r="BA244" s="55" t="e">
        <f t="shared" ca="1" si="163"/>
        <v>#NAME?</v>
      </c>
      <c r="BB244" s="278">
        <v>3019</v>
      </c>
      <c r="BC244" s="278">
        <v>99933</v>
      </c>
      <c r="BD244" s="62" t="e">
        <f t="shared" ca="1" si="164"/>
        <v>#NAME?</v>
      </c>
      <c r="BE244" s="277">
        <f t="shared" si="165"/>
        <v>3.0210240861377122E-2</v>
      </c>
      <c r="BF244" s="62" t="e">
        <f t="shared" ca="1" si="166"/>
        <v>#NAME?</v>
      </c>
      <c r="BG244" s="16" t="s">
        <v>202</v>
      </c>
      <c r="BI244" s="16" t="s">
        <v>190</v>
      </c>
      <c r="BJ244" s="16">
        <v>0</v>
      </c>
      <c r="BK244" s="278">
        <v>1</v>
      </c>
      <c r="BL244" s="16" t="s">
        <v>227</v>
      </c>
      <c r="BM244" s="16" t="s">
        <v>190</v>
      </c>
      <c r="BN244" s="16" t="s">
        <v>227</v>
      </c>
      <c r="BO244" s="16" t="s">
        <v>190</v>
      </c>
      <c r="BP244" s="16">
        <v>0</v>
      </c>
      <c r="BQ244" s="16">
        <v>1</v>
      </c>
      <c r="BR244" s="16">
        <v>1</v>
      </c>
      <c r="BS244" s="16">
        <v>0</v>
      </c>
      <c r="BT244" s="205"/>
      <c r="BU244" s="16">
        <v>6</v>
      </c>
      <c r="BV244" s="16">
        <v>0</v>
      </c>
      <c r="BW244" s="16">
        <v>46</v>
      </c>
      <c r="BX244" s="16" t="s">
        <v>190</v>
      </c>
      <c r="BY244" s="205"/>
      <c r="CD244" s="205"/>
      <c r="CI244" s="205"/>
      <c r="CN244" s="205"/>
      <c r="CS244" s="205"/>
      <c r="CX244" s="205"/>
      <c r="DC244" s="205"/>
      <c r="DH244" s="205"/>
      <c r="DM244" s="205"/>
      <c r="DN244" s="205"/>
      <c r="DO244" s="205"/>
      <c r="DQ244" s="206"/>
      <c r="DR244" s="188">
        <f t="shared" si="64"/>
        <v>6</v>
      </c>
      <c r="DS244" s="188"/>
      <c r="DT244" s="189">
        <f t="shared" si="65"/>
        <v>0</v>
      </c>
      <c r="DU244" s="189"/>
      <c r="DV244" s="188">
        <f t="shared" si="66"/>
        <v>46</v>
      </c>
      <c r="DW244" s="183" t="e">
        <f t="shared" ca="1" si="67"/>
        <v>#NAME?</v>
      </c>
      <c r="DX244" s="207"/>
      <c r="DY244" s="190" t="e">
        <f t="shared" ca="1" si="68"/>
        <v>#NAME?</v>
      </c>
      <c r="DZ244" s="191" t="str">
        <f t="shared" si="338"/>
        <v/>
      </c>
      <c r="EA244" s="191" t="str">
        <f t="shared" si="339"/>
        <v/>
      </c>
      <c r="EB244" s="191" t="str">
        <f t="shared" si="340"/>
        <v/>
      </c>
      <c r="EC244" s="208" t="e">
        <f t="shared" ca="1" si="72"/>
        <v>#NAME?</v>
      </c>
      <c r="ED244" s="36" t="str">
        <f t="shared" si="73"/>
        <v>Equity - Common</v>
      </c>
      <c r="EE244" s="193">
        <f>COUNTIF($ED$2:$ED$92, ED244)/(COUNTIF($ED$2:$ED$92, "&lt;&gt;""") - COUNTIF($ED$2:$ED$92, ""))</f>
        <v>0.32222222222222224</v>
      </c>
      <c r="EF244" s="36" t="str">
        <f t="shared" si="74"/>
        <v>Early</v>
      </c>
      <c r="EG244" s="207"/>
      <c r="EH244" s="194" t="e">
        <f t="shared" ca="1" si="75"/>
        <v>#NAME?</v>
      </c>
      <c r="EI244" s="194" t="e">
        <f t="shared" ca="1" si="76"/>
        <v>#NAME?</v>
      </c>
      <c r="EJ244" s="209" t="e">
        <f t="shared" ca="1" si="77"/>
        <v>#NAME?</v>
      </c>
      <c r="EK244" s="208" t="e">
        <f t="shared" ca="1" si="341"/>
        <v>#NAME?</v>
      </c>
      <c r="EL244" s="36" t="str">
        <f t="shared" si="79"/>
        <v>No</v>
      </c>
      <c r="EM244" s="207"/>
      <c r="EN244" s="192">
        <f t="shared" si="342"/>
        <v>1.5714285714285714</v>
      </c>
      <c r="EO244" s="192">
        <f t="shared" si="343"/>
        <v>1</v>
      </c>
      <c r="EP244" s="209">
        <f t="shared" si="82"/>
        <v>2.5714285714285712</v>
      </c>
      <c r="EQ244" s="210">
        <f t="shared" si="344"/>
        <v>1.4485981308411213</v>
      </c>
      <c r="ER244" s="36" t="e">
        <f t="shared" ca="1" si="84"/>
        <v>#NAME?</v>
      </c>
      <c r="ES244" s="40">
        <f ca="1">COUNTIF($ER$2:$ER$92, ER244)/(COUNTIF($ER$2:$ER$92, "&lt;&gt;""") - COUNTIF($ER$2:$ER$92, ""))</f>
        <v>1</v>
      </c>
      <c r="ET244" s="36">
        <f t="shared" si="85"/>
        <v>1</v>
      </c>
      <c r="EU244" s="40">
        <f>COUNTIF($ET$2:$ET$92, ET244)/(COUNTIF($ET$2:$ET$92, "&lt;&gt;""") - COUNTIF($ET$2:$ET$92, ""))</f>
        <v>0.45555555555555555</v>
      </c>
      <c r="EV244" s="36">
        <f t="shared" si="86"/>
        <v>1</v>
      </c>
      <c r="EW244" s="40">
        <f>COUNTIF($EV$2:$EV$92, EV244)/(COUNTIF($EV$2:$EV$92, "&lt;&gt;""") - COUNTIF($EV$2:$EV$92, ""))</f>
        <v>7.7777777777777779E-2</v>
      </c>
      <c r="EX244" s="36" t="str">
        <f t="shared" si="87"/>
        <v>Yes</v>
      </c>
      <c r="EY244" s="40">
        <f>COUNTIF($EX$2:$EX$92, EX244)/(COUNTIF($EX$2:$EX$92, "&lt;&gt;""") - COUNTIF($EX$2:$EX$92, ""))</f>
        <v>0.27777777777777779</v>
      </c>
      <c r="EZ244" s="36" t="str">
        <f t="shared" ref="EZ244:FB244" si="387">BM244</f>
        <v>No</v>
      </c>
      <c r="FA244" s="36" t="str">
        <f t="shared" si="387"/>
        <v>Yes</v>
      </c>
      <c r="FB244" s="36" t="str">
        <f t="shared" si="387"/>
        <v>No</v>
      </c>
      <c r="FC244" s="207"/>
      <c r="FD244" s="36" t="str">
        <f t="shared" si="89"/>
        <v>Transactional</v>
      </c>
      <c r="FE244" s="40">
        <f>COUNTIF($FD$2:$FD$92, FD244)/(COUNTIF($FD$2:$FD$92, "&lt;&gt;""") - COUNTIF($FD$2:$FD$92, ""))</f>
        <v>0.6</v>
      </c>
      <c r="FF244" s="36" t="str">
        <f t="shared" si="90"/>
        <v>B2B/B2C</v>
      </c>
      <c r="FG244" s="40">
        <f>COUNTIF($FF$2:$FF$92, FF244)/(COUNTIF($FF$2:$FF$92, "&lt;&gt;""") - COUNTIF($FF$2:$FF$92, ""))</f>
        <v>0.27777777777777779</v>
      </c>
      <c r="FH244" s="36" t="str">
        <f t="shared" si="91"/>
        <v>Low</v>
      </c>
      <c r="FI244" s="40">
        <f>COUNTIF($FH$2:$FH$92, FH244)/(COUNTIF($FH$2:$FH$92, "&lt;&gt;""") - COUNTIF($FH$2:$FH$92, ""))</f>
        <v>0.46666666666666667</v>
      </c>
      <c r="FJ244" s="36" t="str">
        <f t="shared" si="92"/>
        <v>Low</v>
      </c>
      <c r="FK244" s="40">
        <f>COUNTIF($FJ$2:$FJ$92, FJ244)/(COUNTIF($FJ$2:$FJ$92, "&lt;&gt;""") - COUNTIF($FJ$2:$FJ$92, ""))</f>
        <v>0.41111111111111109</v>
      </c>
      <c r="FL244" s="207"/>
      <c r="FM244" s="192">
        <f t="shared" si="93"/>
        <v>5</v>
      </c>
      <c r="FN244" s="192" t="e">
        <f t="shared" ca="1" si="94"/>
        <v>#NAME?</v>
      </c>
      <c r="FO244" s="192" t="e">
        <f t="shared" ca="1" si="95"/>
        <v>#NAME?</v>
      </c>
      <c r="FP244" s="192" t="e">
        <f t="shared" ca="1" si="96"/>
        <v>#NAME?</v>
      </c>
      <c r="FQ244" s="209" t="e">
        <f t="shared" ca="1" si="97"/>
        <v>#NAME?</v>
      </c>
      <c r="FR244" s="208" t="e">
        <f t="shared" ca="1" si="346"/>
        <v>#NAME?</v>
      </c>
      <c r="FS244" s="36" t="str">
        <f t="shared" si="99"/>
        <v>Pre-Profit</v>
      </c>
      <c r="FT244" s="196">
        <f>COUNTIF($FS$2:$FS$92, FS244)/(COUNTIF($FS$2:$FS$92, "&lt;&gt;""") - COUNTIF($FZ$2:$FZ$92, ""))</f>
        <v>0.51111111111111107</v>
      </c>
      <c r="FU244" s="207"/>
      <c r="FV244" s="192">
        <f t="shared" si="100"/>
        <v>3</v>
      </c>
      <c r="FW244" s="197" t="e">
        <f t="shared" ca="1" si="101"/>
        <v>#NAME?</v>
      </c>
      <c r="FX244" s="209" t="e">
        <f t="shared" ca="1" si="102"/>
        <v>#NAME?</v>
      </c>
      <c r="FY244" s="211" t="e">
        <f t="shared" ca="1" si="347"/>
        <v>#NAME?</v>
      </c>
      <c r="FZ244" s="36" t="str">
        <f t="shared" si="104"/>
        <v>No</v>
      </c>
      <c r="GA244" s="196">
        <f>COUNTIF($FZ$2:$FZ$92, FZ244)/(COUNTIF($FZ$2:$FZ$92, "&lt;&gt;""") - COUNTIF($FZ$2:$FZ$92, ""))</f>
        <v>0.76666666666666672</v>
      </c>
      <c r="GB244" s="196">
        <f t="shared" si="105"/>
        <v>0</v>
      </c>
      <c r="GC244" s="196">
        <f>COUNTIF($GB$2:$GB$92, GB244)/(COUNTIF($GB$2:$GB$92, "&lt;&gt;""") - COUNTIF($GB$2:$GB$92, ""))</f>
        <v>1.1111111111111112E-2</v>
      </c>
      <c r="GD244" s="196">
        <f t="shared" si="106"/>
        <v>0</v>
      </c>
      <c r="GE244" s="196">
        <f>COUNTIF($GD$2:$GD$92, GD244)/(COUNTIF($GD$2:$GD$92, "&lt;&gt;""") - COUNTIF($GD$2:$GD$92, ""))</f>
        <v>1.1111111111111112E-2</v>
      </c>
      <c r="GF244" s="207"/>
      <c r="GG244" s="36"/>
      <c r="GH244" s="209" t="e">
        <f t="shared" ca="1" si="107"/>
        <v>#NAME?</v>
      </c>
      <c r="GI244" s="212" t="e">
        <f t="shared" ca="1" si="348"/>
        <v>#NAME?</v>
      </c>
    </row>
    <row r="245" spans="1:191" ht="15.75" customHeight="1">
      <c r="A245" s="171"/>
      <c r="B245" s="171" t="s">
        <v>501</v>
      </c>
      <c r="C245" s="16">
        <v>1763323</v>
      </c>
      <c r="D245" s="233" t="s">
        <v>1746</v>
      </c>
      <c r="E245" s="270">
        <v>43853.386111111111</v>
      </c>
      <c r="F245" s="16" t="s">
        <v>325</v>
      </c>
      <c r="G245" s="235" t="s">
        <v>1747</v>
      </c>
      <c r="H245" s="235" t="s">
        <v>1748</v>
      </c>
      <c r="I245" s="271">
        <v>43852</v>
      </c>
      <c r="J245" s="233" t="s">
        <v>1749</v>
      </c>
      <c r="K245" s="233" t="s">
        <v>1746</v>
      </c>
      <c r="M245" s="29" t="s">
        <v>747</v>
      </c>
      <c r="N245" s="16" t="s">
        <v>168</v>
      </c>
      <c r="O245" s="16" t="s">
        <v>30</v>
      </c>
      <c r="P245" s="16" t="s">
        <v>174</v>
      </c>
      <c r="Q245" s="16" t="s">
        <v>35</v>
      </c>
      <c r="S245" s="16" t="s">
        <v>34</v>
      </c>
      <c r="T245" s="237"/>
      <c r="U245" s="213"/>
      <c r="V245" s="54"/>
      <c r="W245" s="54">
        <v>3977777</v>
      </c>
      <c r="X245" s="226">
        <v>0</v>
      </c>
      <c r="Y245" s="55">
        <f t="shared" si="158"/>
        <v>3977777</v>
      </c>
      <c r="Z245" s="274">
        <f t="shared" si="159"/>
        <v>3977777</v>
      </c>
      <c r="AA245" s="183" t="e">
        <f t="shared" ca="1" si="160"/>
        <v>#NAME?</v>
      </c>
      <c r="AB245" s="16" t="s">
        <v>36</v>
      </c>
      <c r="AC245" s="16" t="s">
        <v>218</v>
      </c>
      <c r="AD245" s="16" t="s">
        <v>38</v>
      </c>
      <c r="AE245" s="16" t="s">
        <v>227</v>
      </c>
      <c r="AF245" s="16" t="s">
        <v>39</v>
      </c>
      <c r="AG245" s="16" t="s">
        <v>181</v>
      </c>
      <c r="AH245" s="16" t="s">
        <v>190</v>
      </c>
      <c r="AI245" s="54"/>
      <c r="AJ245" s="278">
        <v>49540000000</v>
      </c>
      <c r="AK245" s="224" t="e">
        <f t="shared" ca="1" si="161"/>
        <v>#NAME?</v>
      </c>
      <c r="AL245" s="278">
        <v>15190000000</v>
      </c>
      <c r="AM245" s="224" t="e">
        <f t="shared" ca="1" si="162"/>
        <v>#NAME?</v>
      </c>
      <c r="AN245" s="278">
        <v>0.06</v>
      </c>
      <c r="AO245" s="185" t="e">
        <f t="shared" ca="1" si="63"/>
        <v>#NAME?</v>
      </c>
      <c r="AP245" s="185" t="s">
        <v>264</v>
      </c>
      <c r="AQ245" s="16" t="s">
        <v>181</v>
      </c>
      <c r="AR245" s="16" t="s">
        <v>181</v>
      </c>
      <c r="AS245" s="16" t="s">
        <v>42</v>
      </c>
      <c r="AT245" s="159"/>
      <c r="AU245" s="159"/>
      <c r="AV245" s="16" t="s">
        <v>190</v>
      </c>
      <c r="AW245" s="16" t="s">
        <v>227</v>
      </c>
      <c r="AX245" s="16" t="s">
        <v>227</v>
      </c>
      <c r="AY245" s="16" t="s">
        <v>227</v>
      </c>
      <c r="AZ245" s="54">
        <v>19793</v>
      </c>
      <c r="BA245" s="55" t="e">
        <f t="shared" ca="1" si="163"/>
        <v>#NAME?</v>
      </c>
      <c r="BB245" s="278">
        <v>19211</v>
      </c>
      <c r="BC245" s="278">
        <v>106803</v>
      </c>
      <c r="BD245" s="62" t="e">
        <f t="shared" ca="1" si="164"/>
        <v>#NAME?</v>
      </c>
      <c r="BE245" s="277">
        <f t="shared" si="165"/>
        <v>0.17987322453489135</v>
      </c>
      <c r="BF245" s="62" t="e">
        <f t="shared" ca="1" si="166"/>
        <v>#NAME?</v>
      </c>
      <c r="BG245" s="16" t="s">
        <v>202</v>
      </c>
      <c r="BI245" s="16" t="s">
        <v>190</v>
      </c>
      <c r="BJ245" s="16">
        <v>0</v>
      </c>
      <c r="BK245" s="278">
        <v>1</v>
      </c>
      <c r="BL245" s="16" t="s">
        <v>227</v>
      </c>
      <c r="BM245" s="16" t="s">
        <v>190</v>
      </c>
      <c r="BN245" s="16" t="s">
        <v>190</v>
      </c>
      <c r="BO245" s="16" t="s">
        <v>190</v>
      </c>
      <c r="BP245" s="16">
        <v>1</v>
      </c>
      <c r="BQ245" s="16">
        <v>3</v>
      </c>
      <c r="BR245" s="16">
        <v>0</v>
      </c>
      <c r="BS245" s="16">
        <v>0</v>
      </c>
      <c r="BT245" s="205"/>
      <c r="BU245" s="16">
        <v>7</v>
      </c>
      <c r="BV245" s="16">
        <v>0</v>
      </c>
      <c r="BW245" s="16">
        <v>42</v>
      </c>
      <c r="BX245" s="16" t="s">
        <v>190</v>
      </c>
      <c r="BY245" s="205"/>
      <c r="CD245" s="205"/>
      <c r="CI245" s="205"/>
      <c r="CN245" s="205"/>
      <c r="CS245" s="205"/>
      <c r="CX245" s="205"/>
      <c r="DC245" s="205"/>
      <c r="DH245" s="205"/>
      <c r="DM245" s="205"/>
      <c r="DN245" s="205"/>
      <c r="DO245" s="205"/>
      <c r="DQ245" s="206"/>
      <c r="DR245" s="188">
        <f t="shared" si="64"/>
        <v>7</v>
      </c>
      <c r="DS245" s="188"/>
      <c r="DT245" s="189">
        <f t="shared" si="65"/>
        <v>0</v>
      </c>
      <c r="DU245" s="189"/>
      <c r="DV245" s="188">
        <f t="shared" si="66"/>
        <v>42</v>
      </c>
      <c r="DW245" s="183" t="e">
        <f t="shared" ca="1" si="67"/>
        <v>#NAME?</v>
      </c>
      <c r="DX245" s="207"/>
      <c r="DY245" s="190" t="e">
        <f t="shared" ca="1" si="68"/>
        <v>#NAME?</v>
      </c>
      <c r="DZ245" s="191">
        <f t="shared" si="338"/>
        <v>1</v>
      </c>
      <c r="EA245" s="191" t="str">
        <f t="shared" si="339"/>
        <v/>
      </c>
      <c r="EB245" s="191" t="str">
        <f t="shared" si="340"/>
        <v/>
      </c>
      <c r="EC245" s="208" t="e">
        <f t="shared" ca="1" si="72"/>
        <v>#NAME?</v>
      </c>
      <c r="ED245" s="36" t="str">
        <f t="shared" si="73"/>
        <v>CAFES</v>
      </c>
      <c r="EE245" s="193">
        <f>COUNTIF($ED$2:$ED$92, ED245)/(COUNTIF($ED$2:$ED$92, "&lt;&gt;""") - COUNTIF($ED$2:$ED$92, ""))</f>
        <v>0.1</v>
      </c>
      <c r="EF245" s="36" t="str">
        <f t="shared" si="74"/>
        <v>Early</v>
      </c>
      <c r="EG245" s="207"/>
      <c r="EH245" s="194" t="e">
        <f t="shared" ca="1" si="75"/>
        <v>#NAME?</v>
      </c>
      <c r="EI245" s="194" t="e">
        <f t="shared" ca="1" si="76"/>
        <v>#NAME?</v>
      </c>
      <c r="EJ245" s="209" t="e">
        <f t="shared" ca="1" si="77"/>
        <v>#NAME?</v>
      </c>
      <c r="EK245" s="208" t="e">
        <f t="shared" ca="1" si="341"/>
        <v>#NAME?</v>
      </c>
      <c r="EL245" s="36" t="str">
        <f t="shared" si="79"/>
        <v>No</v>
      </c>
      <c r="EM245" s="207"/>
      <c r="EN245" s="192">
        <f t="shared" si="342"/>
        <v>1.6666666666666665</v>
      </c>
      <c r="EO245" s="192">
        <f t="shared" si="343"/>
        <v>1</v>
      </c>
      <c r="EP245" s="209">
        <f t="shared" si="82"/>
        <v>2.6666666666666665</v>
      </c>
      <c r="EQ245" s="210">
        <f t="shared" si="344"/>
        <v>1.5233644859813085</v>
      </c>
      <c r="ER245" s="36" t="e">
        <f t="shared" ca="1" si="84"/>
        <v>#NAME?</v>
      </c>
      <c r="ES245" s="40">
        <f ca="1">COUNTIF($ER$2:$ER$92, ER245)/(COUNTIF($ER$2:$ER$92, "&lt;&gt;""") - COUNTIF($ER$2:$ER$92, ""))</f>
        <v>1</v>
      </c>
      <c r="ET245" s="36">
        <f t="shared" si="85"/>
        <v>1</v>
      </c>
      <c r="EU245" s="40">
        <f>COUNTIF($ET$2:$ET$92, ET245)/(COUNTIF($ET$2:$ET$92, "&lt;&gt;""") - COUNTIF($ET$2:$ET$92, ""))</f>
        <v>0.45555555555555555</v>
      </c>
      <c r="EV245" s="36">
        <f t="shared" si="86"/>
        <v>3</v>
      </c>
      <c r="EW245" s="40">
        <f>COUNTIF($EV$2:$EV$92, EV245)/(COUNTIF($EV$2:$EV$92, "&lt;&gt;""") - COUNTIF($EV$2:$EV$92, ""))</f>
        <v>8.8888888888888892E-2</v>
      </c>
      <c r="EX245" s="36" t="str">
        <f t="shared" si="87"/>
        <v>Yes</v>
      </c>
      <c r="EY245" s="40">
        <f>COUNTIF($EX$2:$EX$92, EX245)/(COUNTIF($EX$2:$EX$92, "&lt;&gt;""") - COUNTIF($EX$2:$EX$92, ""))</f>
        <v>0.27777777777777779</v>
      </c>
      <c r="EZ245" s="36" t="str">
        <f t="shared" ref="EZ245:FB245" si="388">BM245</f>
        <v>No</v>
      </c>
      <c r="FA245" s="36" t="str">
        <f t="shared" si="388"/>
        <v>No</v>
      </c>
      <c r="FB245" s="36" t="str">
        <f t="shared" si="388"/>
        <v>No</v>
      </c>
      <c r="FC245" s="207"/>
      <c r="FD245" s="36" t="str">
        <f t="shared" si="89"/>
        <v>Transactional</v>
      </c>
      <c r="FE245" s="40">
        <f>COUNTIF($FD$2:$FD$92, FD245)/(COUNTIF($FD$2:$FD$92, "&lt;&gt;""") - COUNTIF($FD$2:$FD$92, ""))</f>
        <v>0.6</v>
      </c>
      <c r="FF245" s="36" t="str">
        <f t="shared" si="90"/>
        <v>B2B/B2C</v>
      </c>
      <c r="FG245" s="40">
        <f>COUNTIF($FF$2:$FF$92, FF245)/(COUNTIF($FF$2:$FF$92, "&lt;&gt;""") - COUNTIF($FF$2:$FF$92, ""))</f>
        <v>0.27777777777777779</v>
      </c>
      <c r="FH245" s="36" t="str">
        <f t="shared" si="91"/>
        <v>High</v>
      </c>
      <c r="FI245" s="40">
        <f>COUNTIF($FH$2:$FH$92, FH245)/(COUNTIF($FH$2:$FH$92, "&lt;&gt;""") - COUNTIF($FH$2:$FH$92, ""))</f>
        <v>0.53333333333333333</v>
      </c>
      <c r="FJ245" s="36" t="str">
        <f t="shared" si="92"/>
        <v>Low</v>
      </c>
      <c r="FK245" s="40">
        <f>COUNTIF($FJ$2:$FJ$92, FJ245)/(COUNTIF($FJ$2:$FJ$92, "&lt;&gt;""") - COUNTIF($FJ$2:$FJ$92, ""))</f>
        <v>0.41111111111111109</v>
      </c>
      <c r="FL245" s="207"/>
      <c r="FM245" s="192">
        <f t="shared" si="93"/>
        <v>5</v>
      </c>
      <c r="FN245" s="192" t="e">
        <f t="shared" ca="1" si="94"/>
        <v>#NAME?</v>
      </c>
      <c r="FO245" s="192" t="e">
        <f t="shared" ca="1" si="95"/>
        <v>#NAME?</v>
      </c>
      <c r="FP245" s="192" t="e">
        <f t="shared" ca="1" si="96"/>
        <v>#NAME?</v>
      </c>
      <c r="FQ245" s="209" t="e">
        <f t="shared" ca="1" si="97"/>
        <v>#NAME?</v>
      </c>
      <c r="FR245" s="208" t="e">
        <f t="shared" ca="1" si="346"/>
        <v>#NAME?</v>
      </c>
      <c r="FS245" s="36" t="str">
        <f t="shared" si="99"/>
        <v>Pre-Profit</v>
      </c>
      <c r="FT245" s="196">
        <f>COUNTIF($FS$2:$FS$92, FS245)/(COUNTIF($FS$2:$FS$92, "&lt;&gt;""") - COUNTIF($FZ$2:$FZ$92, ""))</f>
        <v>0.51111111111111107</v>
      </c>
      <c r="FU245" s="207"/>
      <c r="FV245" s="192" t="e">
        <f t="shared" ca="1" si="100"/>
        <v>#NAME?</v>
      </c>
      <c r="FW245" s="197" t="e">
        <f t="shared" ca="1" si="101"/>
        <v>#NAME?</v>
      </c>
      <c r="FX245" s="209" t="e">
        <f t="shared" ca="1" si="102"/>
        <v>#NAME?</v>
      </c>
      <c r="FY245" s="211" t="e">
        <f t="shared" ca="1" si="347"/>
        <v>#NAME?</v>
      </c>
      <c r="FZ245" s="36" t="str">
        <f t="shared" si="104"/>
        <v>Yes</v>
      </c>
      <c r="GA245" s="196">
        <f>COUNTIF($FZ$2:$FZ$92, FZ245)/(COUNTIF($FZ$2:$FZ$92, "&lt;&gt;""") - COUNTIF($FZ$2:$FZ$92, ""))</f>
        <v>0.23333333333333334</v>
      </c>
      <c r="GB245" s="196">
        <f t="shared" si="105"/>
        <v>0</v>
      </c>
      <c r="GC245" s="196">
        <f>COUNTIF($GB$2:$GB$92, GB245)/(COUNTIF($GB$2:$GB$92, "&lt;&gt;""") - COUNTIF($GB$2:$GB$92, ""))</f>
        <v>1.1111111111111112E-2</v>
      </c>
      <c r="GD245" s="196">
        <f t="shared" si="106"/>
        <v>0</v>
      </c>
      <c r="GE245" s="196">
        <f>COUNTIF($GD$2:$GD$92, GD245)/(COUNTIF($GD$2:$GD$92, "&lt;&gt;""") - COUNTIF($GD$2:$GD$92, ""))</f>
        <v>1.1111111111111112E-2</v>
      </c>
      <c r="GF245" s="207"/>
      <c r="GG245" s="36"/>
      <c r="GH245" s="209" t="e">
        <f t="shared" ca="1" si="107"/>
        <v>#NAME?</v>
      </c>
      <c r="GI245" s="212" t="e">
        <f t="shared" ca="1" si="348"/>
        <v>#NAME?</v>
      </c>
    </row>
    <row r="246" spans="1:191" ht="15.75" customHeight="1">
      <c r="A246" s="171"/>
      <c r="B246" s="171" t="s">
        <v>501</v>
      </c>
      <c r="C246" s="16">
        <v>1792640</v>
      </c>
      <c r="D246" s="233" t="s">
        <v>1750</v>
      </c>
      <c r="E246" s="270">
        <v>43857.665277777778</v>
      </c>
      <c r="F246" s="16" t="s">
        <v>270</v>
      </c>
      <c r="G246" s="235" t="s">
        <v>1751</v>
      </c>
      <c r="H246" s="235" t="s">
        <v>1752</v>
      </c>
      <c r="I246" s="271">
        <v>43894</v>
      </c>
      <c r="J246" s="233" t="s">
        <v>1753</v>
      </c>
      <c r="K246" s="233" t="s">
        <v>1754</v>
      </c>
      <c r="M246" s="29" t="s">
        <v>331</v>
      </c>
      <c r="N246" s="16" t="s">
        <v>168</v>
      </c>
      <c r="O246" s="16" t="s">
        <v>30</v>
      </c>
      <c r="P246" s="16" t="s">
        <v>31</v>
      </c>
      <c r="Q246" s="16" t="s">
        <v>35</v>
      </c>
      <c r="S246" s="16" t="s">
        <v>176</v>
      </c>
      <c r="T246" s="237"/>
      <c r="U246" s="213"/>
      <c r="W246" s="54">
        <v>2339270</v>
      </c>
      <c r="X246" s="226">
        <v>0</v>
      </c>
      <c r="Y246" s="55">
        <f t="shared" si="158"/>
        <v>2339270</v>
      </c>
      <c r="Z246" s="274">
        <f t="shared" si="159"/>
        <v>2339270</v>
      </c>
      <c r="AA246" s="183" t="e">
        <f t="shared" ca="1" si="160"/>
        <v>#NAME?</v>
      </c>
      <c r="AB246" s="16" t="s">
        <v>178</v>
      </c>
      <c r="AC246" s="16" t="s">
        <v>37</v>
      </c>
      <c r="AD246" s="16" t="s">
        <v>38</v>
      </c>
      <c r="AE246" s="16" t="s">
        <v>227</v>
      </c>
      <c r="AF246" s="16" t="s">
        <v>39</v>
      </c>
      <c r="AG246" s="16" t="s">
        <v>39</v>
      </c>
      <c r="AH246" s="16" t="s">
        <v>190</v>
      </c>
      <c r="AI246" s="54"/>
      <c r="AJ246" s="278">
        <v>200000000000</v>
      </c>
      <c r="AK246" s="224" t="e">
        <f t="shared" ca="1" si="161"/>
        <v>#NAME?</v>
      </c>
      <c r="AL246" s="278">
        <v>4710000000</v>
      </c>
      <c r="AM246" s="224" t="e">
        <f t="shared" ca="1" si="162"/>
        <v>#NAME?</v>
      </c>
      <c r="AN246" s="278">
        <v>0.16</v>
      </c>
      <c r="AO246" s="185" t="e">
        <f t="shared" ca="1" si="63"/>
        <v>#NAME?</v>
      </c>
      <c r="AP246" s="185" t="s">
        <v>192</v>
      </c>
      <c r="AQ246" s="16" t="s">
        <v>39</v>
      </c>
      <c r="AR246" s="16" t="s">
        <v>181</v>
      </c>
      <c r="AS246" s="16" t="s">
        <v>42</v>
      </c>
      <c r="AT246" s="159"/>
      <c r="AU246" s="159"/>
      <c r="AV246" s="16" t="s">
        <v>190</v>
      </c>
      <c r="AW246" s="16" t="s">
        <v>190</v>
      </c>
      <c r="AX246" s="16" t="s">
        <v>190</v>
      </c>
      <c r="AY246" s="16" t="s">
        <v>190</v>
      </c>
      <c r="AZ246" s="54">
        <v>0</v>
      </c>
      <c r="BA246" s="55" t="e">
        <f t="shared" ca="1" si="163"/>
        <v>#NAME?</v>
      </c>
      <c r="BB246" s="278">
        <v>19</v>
      </c>
      <c r="BC246" s="278">
        <v>0</v>
      </c>
      <c r="BD246" s="62" t="e">
        <f t="shared" ca="1" si="164"/>
        <v>#NAME?</v>
      </c>
      <c r="BE246" s="277">
        <f t="shared" si="165"/>
        <v>1</v>
      </c>
      <c r="BF246" s="62" t="e">
        <f t="shared" ca="1" si="166"/>
        <v>#NAME?</v>
      </c>
      <c r="BG246" s="16" t="s">
        <v>43</v>
      </c>
      <c r="BI246" s="16" t="s">
        <v>190</v>
      </c>
      <c r="BJ246" s="16">
        <v>0</v>
      </c>
      <c r="BK246" s="278">
        <v>1</v>
      </c>
      <c r="BL246" s="16" t="s">
        <v>227</v>
      </c>
      <c r="BM246" s="16" t="s">
        <v>190</v>
      </c>
      <c r="BN246" s="16" t="s">
        <v>190</v>
      </c>
      <c r="BO246" s="16" t="s">
        <v>190</v>
      </c>
      <c r="BP246" s="16">
        <v>1</v>
      </c>
      <c r="BQ246" s="16">
        <v>1</v>
      </c>
      <c r="BR246" s="16">
        <v>0</v>
      </c>
      <c r="BS246" s="16">
        <v>0</v>
      </c>
      <c r="BT246" s="205"/>
      <c r="BU246" s="16">
        <v>3</v>
      </c>
      <c r="BV246" s="16">
        <v>0</v>
      </c>
      <c r="BW246" s="16">
        <v>42</v>
      </c>
      <c r="BX246" s="16" t="s">
        <v>190</v>
      </c>
      <c r="BY246" s="205"/>
      <c r="CD246" s="205"/>
      <c r="CI246" s="205"/>
      <c r="CN246" s="205"/>
      <c r="CS246" s="205"/>
      <c r="CX246" s="205"/>
      <c r="DC246" s="205"/>
      <c r="DH246" s="205"/>
      <c r="DM246" s="205"/>
      <c r="DN246" s="205"/>
      <c r="DO246" s="205"/>
      <c r="DQ246" s="206"/>
      <c r="DR246" s="188">
        <f t="shared" si="64"/>
        <v>3</v>
      </c>
      <c r="DS246" s="188"/>
      <c r="DT246" s="189">
        <f t="shared" si="65"/>
        <v>0</v>
      </c>
      <c r="DU246" s="189"/>
      <c r="DV246" s="188">
        <f t="shared" si="66"/>
        <v>42</v>
      </c>
      <c r="DW246" s="183" t="e">
        <f t="shared" ca="1" si="67"/>
        <v>#NAME?</v>
      </c>
      <c r="DX246" s="207"/>
      <c r="DY246" s="190" t="e">
        <f t="shared" ca="1" si="68"/>
        <v>#NAME?</v>
      </c>
      <c r="DZ246" s="191">
        <f t="shared" si="338"/>
        <v>1</v>
      </c>
      <c r="EA246" s="191" t="str">
        <f t="shared" si="339"/>
        <v/>
      </c>
      <c r="EB246" s="191" t="str">
        <f t="shared" si="340"/>
        <v/>
      </c>
      <c r="EC246" s="208" t="e">
        <f t="shared" ca="1" si="72"/>
        <v>#NAME?</v>
      </c>
      <c r="ED246" s="36" t="str">
        <f t="shared" si="73"/>
        <v>Convertible Note</v>
      </c>
      <c r="EE246" s="193">
        <f>COUNTIF($ED$2:$ED$92, ED246)/(COUNTIF($ED$2:$ED$92, "&lt;&gt;""") - COUNTIF($ED$2:$ED$92, ""))</f>
        <v>0.13333333333333333</v>
      </c>
      <c r="EF246" s="36" t="str">
        <f t="shared" si="74"/>
        <v>Early</v>
      </c>
      <c r="EG246" s="207"/>
      <c r="EH246" s="194" t="e">
        <f t="shared" ca="1" si="75"/>
        <v>#NAME?</v>
      </c>
      <c r="EI246" s="194" t="e">
        <f t="shared" ca="1" si="76"/>
        <v>#NAME?</v>
      </c>
      <c r="EJ246" s="209" t="e">
        <f t="shared" ca="1" si="77"/>
        <v>#NAME?</v>
      </c>
      <c r="EK246" s="208" t="e">
        <f t="shared" ca="1" si="341"/>
        <v>#NAME?</v>
      </c>
      <c r="EL246" s="36" t="str">
        <f t="shared" si="79"/>
        <v>No</v>
      </c>
      <c r="EM246" s="207"/>
      <c r="EN246" s="192">
        <f t="shared" si="342"/>
        <v>1.2857142857142856</v>
      </c>
      <c r="EO246" s="192">
        <f t="shared" si="343"/>
        <v>1</v>
      </c>
      <c r="EP246" s="209">
        <f t="shared" si="82"/>
        <v>2.2857142857142856</v>
      </c>
      <c r="EQ246" s="210">
        <f t="shared" si="344"/>
        <v>1.2242990654205608</v>
      </c>
      <c r="ER246" s="36" t="e">
        <f t="shared" ca="1" si="84"/>
        <v>#NAME?</v>
      </c>
      <c r="ES246" s="40">
        <f ca="1">COUNTIF($ER$2:$ER$92, ER246)/(COUNTIF($ER$2:$ER$92, "&lt;&gt;""") - COUNTIF($ER$2:$ER$92, ""))</f>
        <v>1</v>
      </c>
      <c r="ET246" s="36">
        <f t="shared" si="85"/>
        <v>1</v>
      </c>
      <c r="EU246" s="40">
        <f>COUNTIF($ET$2:$ET$92, ET246)/(COUNTIF($ET$2:$ET$92, "&lt;&gt;""") - COUNTIF($ET$2:$ET$92, ""))</f>
        <v>0.45555555555555555</v>
      </c>
      <c r="EV246" s="36">
        <f t="shared" si="86"/>
        <v>1</v>
      </c>
      <c r="EW246" s="40">
        <f>COUNTIF($EV$2:$EV$92, EV246)/(COUNTIF($EV$2:$EV$92, "&lt;&gt;""") - COUNTIF($EV$2:$EV$92, ""))</f>
        <v>7.7777777777777779E-2</v>
      </c>
      <c r="EX246" s="36" t="str">
        <f t="shared" si="87"/>
        <v>Yes</v>
      </c>
      <c r="EY246" s="40">
        <f>COUNTIF($EX$2:$EX$92, EX246)/(COUNTIF($EX$2:$EX$92, "&lt;&gt;""") - COUNTIF($EX$2:$EX$92, ""))</f>
        <v>0.27777777777777779</v>
      </c>
      <c r="EZ246" s="36" t="str">
        <f t="shared" ref="EZ246:FB246" si="389">BM246</f>
        <v>No</v>
      </c>
      <c r="FA246" s="36" t="str">
        <f t="shared" si="389"/>
        <v>No</v>
      </c>
      <c r="FB246" s="36" t="str">
        <f t="shared" si="389"/>
        <v>No</v>
      </c>
      <c r="FC246" s="207"/>
      <c r="FD246" s="36" t="str">
        <f t="shared" si="89"/>
        <v>Recurring</v>
      </c>
      <c r="FE246" s="40">
        <f>COUNTIF($FD$2:$FD$92, FD246)/(COUNTIF($FD$2:$FD$92, "&lt;&gt;""") - COUNTIF($FD$2:$FD$92, ""))</f>
        <v>0.4</v>
      </c>
      <c r="FF246" s="36" t="str">
        <f t="shared" si="90"/>
        <v>B2B</v>
      </c>
      <c r="FG246" s="40">
        <f>COUNTIF($FF$2:$FF$92, FF246)/(COUNTIF($FF$2:$FF$92, "&lt;&gt;""") - COUNTIF($FF$2:$FF$92, ""))</f>
        <v>0.24444444444444444</v>
      </c>
      <c r="FH246" s="36" t="str">
        <f t="shared" si="91"/>
        <v>High</v>
      </c>
      <c r="FI246" s="40">
        <f>COUNTIF($FH$2:$FH$92, FH246)/(COUNTIF($FH$2:$FH$92, "&lt;&gt;""") - COUNTIF($FH$2:$FH$92, ""))</f>
        <v>0.53333333333333333</v>
      </c>
      <c r="FJ246" s="36" t="str">
        <f t="shared" si="92"/>
        <v>High</v>
      </c>
      <c r="FK246" s="40">
        <f>COUNTIF($FJ$2:$FJ$92, FJ246)/(COUNTIF($FJ$2:$FJ$92, "&lt;&gt;""") - COUNTIF($FJ$2:$FJ$92, ""))</f>
        <v>0.58888888888888891</v>
      </c>
      <c r="FL246" s="207"/>
      <c r="FM246" s="192">
        <f t="shared" si="93"/>
        <v>1</v>
      </c>
      <c r="FN246" s="192" t="e">
        <f t="shared" ca="1" si="94"/>
        <v>#NAME?</v>
      </c>
      <c r="FO246" s="192" t="e">
        <f t="shared" ca="1" si="95"/>
        <v>#NAME?</v>
      </c>
      <c r="FP246" s="192" t="e">
        <f t="shared" ca="1" si="96"/>
        <v>#NAME?</v>
      </c>
      <c r="FQ246" s="209" t="e">
        <f t="shared" ca="1" si="97"/>
        <v>#NAME?</v>
      </c>
      <c r="FR246" s="208" t="e">
        <f t="shared" ca="1" si="346"/>
        <v>#NAME?</v>
      </c>
      <c r="FS246" s="36" t="str">
        <f t="shared" si="99"/>
        <v>Pre-Product</v>
      </c>
      <c r="FT246" s="196">
        <f>COUNTIF($FS$2:$FS$92, FS246)/(COUNTIF($FS$2:$FS$92, "&lt;&gt;""") - COUNTIF($FZ$2:$FZ$92, ""))</f>
        <v>0.22222222222222221</v>
      </c>
      <c r="FU246" s="207"/>
      <c r="FV246" s="192">
        <f t="shared" si="100"/>
        <v>3</v>
      </c>
      <c r="FW246" s="197" t="e">
        <f t="shared" ca="1" si="101"/>
        <v>#NAME?</v>
      </c>
      <c r="FX246" s="209" t="e">
        <f t="shared" ca="1" si="102"/>
        <v>#NAME?</v>
      </c>
      <c r="FY246" s="211" t="e">
        <f t="shared" ca="1" si="347"/>
        <v>#NAME?</v>
      </c>
      <c r="FZ246" s="36" t="str">
        <f t="shared" si="104"/>
        <v>No</v>
      </c>
      <c r="GA246" s="196">
        <f>COUNTIF($FZ$2:$FZ$92, FZ246)/(COUNTIF($FZ$2:$FZ$92, "&lt;&gt;""") - COUNTIF($FZ$2:$FZ$92, ""))</f>
        <v>0.76666666666666672</v>
      </c>
      <c r="GB246" s="196">
        <f t="shared" si="105"/>
        <v>0</v>
      </c>
      <c r="GC246" s="196">
        <f>COUNTIF($GB$2:$GB$92, GB246)/(COUNTIF($GB$2:$GB$92, "&lt;&gt;""") - COUNTIF($GB$2:$GB$92, ""))</f>
        <v>1.1111111111111112E-2</v>
      </c>
      <c r="GD246" s="196">
        <f t="shared" si="106"/>
        <v>0</v>
      </c>
      <c r="GE246" s="196">
        <f>COUNTIF($GD$2:$GD$92, GD246)/(COUNTIF($GD$2:$GD$92, "&lt;&gt;""") - COUNTIF($GD$2:$GD$92, ""))</f>
        <v>1.1111111111111112E-2</v>
      </c>
      <c r="GF246" s="207"/>
      <c r="GG246" s="36"/>
      <c r="GH246" s="209" t="e">
        <f t="shared" ca="1" si="107"/>
        <v>#NAME?</v>
      </c>
      <c r="GI246" s="212" t="e">
        <f t="shared" ca="1" si="348"/>
        <v>#NAME?</v>
      </c>
    </row>
    <row r="247" spans="1:191" ht="15.75" customHeight="1">
      <c r="A247" s="171"/>
      <c r="B247" s="171" t="s">
        <v>501</v>
      </c>
      <c r="C247" s="16">
        <v>1700943</v>
      </c>
      <c r="D247" s="233" t="s">
        <v>1755</v>
      </c>
      <c r="E247" s="270">
        <v>43857.668749999997</v>
      </c>
      <c r="F247" s="16" t="s">
        <v>329</v>
      </c>
      <c r="G247" s="235" t="s">
        <v>1756</v>
      </c>
      <c r="H247" s="235" t="s">
        <v>1757</v>
      </c>
      <c r="I247" s="271">
        <v>43853</v>
      </c>
      <c r="J247" s="233" t="s">
        <v>1758</v>
      </c>
      <c r="K247" s="233" t="s">
        <v>1755</v>
      </c>
      <c r="M247" s="16" t="s">
        <v>323</v>
      </c>
      <c r="N247" s="16" t="s">
        <v>315</v>
      </c>
      <c r="O247" s="16" t="s">
        <v>30</v>
      </c>
      <c r="P247" s="16" t="s">
        <v>174</v>
      </c>
      <c r="Q247" s="16" t="s">
        <v>35</v>
      </c>
      <c r="S247" s="16" t="s">
        <v>269</v>
      </c>
      <c r="T247" s="237"/>
      <c r="U247" s="213"/>
      <c r="V247" s="54"/>
      <c r="W247" s="54">
        <v>10000000</v>
      </c>
      <c r="X247" s="226">
        <v>0.2</v>
      </c>
      <c r="Y247" s="55">
        <f t="shared" si="158"/>
        <v>8000000</v>
      </c>
      <c r="Z247" s="274">
        <f t="shared" si="159"/>
        <v>8000000</v>
      </c>
      <c r="AA247" s="183" t="e">
        <f t="shared" ca="1" si="160"/>
        <v>#NAME?</v>
      </c>
      <c r="AB247" s="16" t="s">
        <v>178</v>
      </c>
      <c r="AC247" s="16" t="s">
        <v>37</v>
      </c>
      <c r="AD247" s="16" t="s">
        <v>38</v>
      </c>
      <c r="AE247" s="16" t="s">
        <v>227</v>
      </c>
      <c r="AF247" s="16" t="s">
        <v>39</v>
      </c>
      <c r="AG247" s="16" t="s">
        <v>181</v>
      </c>
      <c r="AH247" s="16" t="s">
        <v>190</v>
      </c>
      <c r="AI247" s="54"/>
      <c r="AJ247" s="278">
        <v>27800000000</v>
      </c>
      <c r="AK247" s="224" t="e">
        <f t="shared" ca="1" si="161"/>
        <v>#NAME?</v>
      </c>
      <c r="AL247" s="278">
        <v>2500000000</v>
      </c>
      <c r="AM247" s="224" t="e">
        <f t="shared" ca="1" si="162"/>
        <v>#NAME?</v>
      </c>
      <c r="AN247" s="278">
        <v>0.01</v>
      </c>
      <c r="AO247" s="185" t="e">
        <f t="shared" ca="1" si="63"/>
        <v>#NAME?</v>
      </c>
      <c r="AP247" s="185" t="s">
        <v>169</v>
      </c>
      <c r="AQ247" s="16" t="s">
        <v>39</v>
      </c>
      <c r="AR247" s="16" t="s">
        <v>181</v>
      </c>
      <c r="AS247" s="16" t="s">
        <v>182</v>
      </c>
      <c r="AT247" s="159"/>
      <c r="AU247" s="159"/>
      <c r="AV247" s="16" t="s">
        <v>190</v>
      </c>
      <c r="AW247" s="16" t="s">
        <v>190</v>
      </c>
      <c r="AX247" s="16" t="s">
        <v>227</v>
      </c>
      <c r="AY247" s="16" t="s">
        <v>227</v>
      </c>
      <c r="AZ247" s="54">
        <v>18031</v>
      </c>
      <c r="BA247" s="55" t="e">
        <f t="shared" ca="1" si="163"/>
        <v>#NAME?</v>
      </c>
      <c r="BB247" s="278">
        <v>14399</v>
      </c>
      <c r="BC247" s="278">
        <v>165974</v>
      </c>
      <c r="BD247" s="62" t="e">
        <f t="shared" ca="1" si="164"/>
        <v>#NAME?</v>
      </c>
      <c r="BE247" s="277">
        <f t="shared" si="165"/>
        <v>8.6754551917770248E-2</v>
      </c>
      <c r="BF247" s="62" t="e">
        <f t="shared" ca="1" si="166"/>
        <v>#NAME?</v>
      </c>
      <c r="BG247" s="16" t="s">
        <v>202</v>
      </c>
      <c r="BI247" s="16" t="s">
        <v>227</v>
      </c>
      <c r="BJ247" s="16">
        <v>0</v>
      </c>
      <c r="BK247" s="278">
        <v>2</v>
      </c>
      <c r="BL247" s="16" t="s">
        <v>190</v>
      </c>
      <c r="BM247" s="16" t="s">
        <v>190</v>
      </c>
      <c r="BN247" s="16" t="s">
        <v>227</v>
      </c>
      <c r="BO247" s="16" t="s">
        <v>190</v>
      </c>
      <c r="BP247" s="16">
        <v>2</v>
      </c>
      <c r="BQ247" s="16">
        <v>2</v>
      </c>
      <c r="BR247" s="16">
        <v>0</v>
      </c>
      <c r="BS247" s="16">
        <v>0</v>
      </c>
      <c r="BT247" s="205"/>
      <c r="BU247" s="16">
        <v>0</v>
      </c>
      <c r="BV247" s="16">
        <v>0</v>
      </c>
      <c r="BW247" s="16">
        <v>27</v>
      </c>
      <c r="BX247" s="16" t="s">
        <v>190</v>
      </c>
      <c r="BY247" s="205"/>
      <c r="BZ247" s="16">
        <v>0</v>
      </c>
      <c r="CA247" s="16">
        <v>0</v>
      </c>
      <c r="CB247" s="16">
        <v>32</v>
      </c>
      <c r="CC247" s="16" t="s">
        <v>190</v>
      </c>
      <c r="CD247" s="205"/>
      <c r="CI247" s="205"/>
      <c r="CN247" s="205"/>
      <c r="CS247" s="205"/>
      <c r="CX247" s="205"/>
      <c r="DC247" s="205"/>
      <c r="DH247" s="205"/>
      <c r="DM247" s="205"/>
      <c r="DN247" s="205"/>
      <c r="DO247" s="205"/>
      <c r="DQ247" s="206"/>
      <c r="DR247" s="188">
        <f t="shared" si="64"/>
        <v>0</v>
      </c>
      <c r="DS247" s="188"/>
      <c r="DT247" s="189">
        <f t="shared" si="65"/>
        <v>0</v>
      </c>
      <c r="DU247" s="189"/>
      <c r="DV247" s="188">
        <f t="shared" si="66"/>
        <v>29.5</v>
      </c>
      <c r="DW247" s="183" t="e">
        <f t="shared" ca="1" si="67"/>
        <v>#NAME?</v>
      </c>
      <c r="DX247" s="207"/>
      <c r="DY247" s="190" t="e">
        <f t="shared" ca="1" si="68"/>
        <v>#NAME?</v>
      </c>
      <c r="DZ247" s="191">
        <f t="shared" si="338"/>
        <v>3.1052631578947367</v>
      </c>
      <c r="EA247" s="191" t="str">
        <f t="shared" si="339"/>
        <v/>
      </c>
      <c r="EB247" s="191" t="str">
        <f t="shared" si="340"/>
        <v/>
      </c>
      <c r="EC247" s="208" t="e">
        <f t="shared" ca="1" si="72"/>
        <v>#NAME?</v>
      </c>
      <c r="ED247" s="36" t="str">
        <f t="shared" si="73"/>
        <v>SAFE</v>
      </c>
      <c r="EE247" s="193">
        <f>COUNTIF($ED$2:$ED$92, ED247)/(COUNTIF($ED$2:$ED$92, "&lt;&gt;""") - COUNTIF($ED$2:$ED$92, ""))</f>
        <v>0.37777777777777777</v>
      </c>
      <c r="EF247" s="36" t="str">
        <f t="shared" si="74"/>
        <v>Early</v>
      </c>
      <c r="EG247" s="207"/>
      <c r="EH247" s="194" t="e">
        <f t="shared" ca="1" si="75"/>
        <v>#NAME?</v>
      </c>
      <c r="EI247" s="194" t="e">
        <f t="shared" ca="1" si="76"/>
        <v>#NAME?</v>
      </c>
      <c r="EJ247" s="209" t="e">
        <f t="shared" ca="1" si="77"/>
        <v>#NAME?</v>
      </c>
      <c r="EK247" s="208" t="e">
        <f t="shared" ca="1" si="341"/>
        <v>#NAME?</v>
      </c>
      <c r="EL247" s="36" t="str">
        <f t="shared" si="79"/>
        <v>No</v>
      </c>
      <c r="EM247" s="207"/>
      <c r="EN247" s="192">
        <f t="shared" si="342"/>
        <v>1</v>
      </c>
      <c r="EO247" s="192">
        <f t="shared" si="343"/>
        <v>1</v>
      </c>
      <c r="EP247" s="209">
        <f t="shared" si="82"/>
        <v>2</v>
      </c>
      <c r="EQ247" s="210">
        <f t="shared" si="344"/>
        <v>1</v>
      </c>
      <c r="ER247" s="36" t="e">
        <f t="shared" ca="1" si="84"/>
        <v>#NAME?</v>
      </c>
      <c r="ES247" s="40">
        <f ca="1">COUNTIF($ER$2:$ER$92, ER247)/(COUNTIF($ER$2:$ER$92, "&lt;&gt;""") - COUNTIF($ER$2:$ER$92, ""))</f>
        <v>1</v>
      </c>
      <c r="ET247" s="36">
        <f t="shared" si="85"/>
        <v>2</v>
      </c>
      <c r="EU247" s="40">
        <f>COUNTIF($ET$2:$ET$92, ET247)/(COUNTIF($ET$2:$ET$92, "&lt;&gt;""") - COUNTIF($ET$2:$ET$92, ""))</f>
        <v>0.45555555555555555</v>
      </c>
      <c r="EV247" s="36">
        <f t="shared" si="86"/>
        <v>2</v>
      </c>
      <c r="EW247" s="40">
        <f>COUNTIF($EV$2:$EV$92, EV247)/(COUNTIF($EV$2:$EV$92, "&lt;&gt;""") - COUNTIF($EV$2:$EV$92, ""))</f>
        <v>0.15555555555555556</v>
      </c>
      <c r="EX247" s="36" t="str">
        <f t="shared" si="87"/>
        <v>No</v>
      </c>
      <c r="EY247" s="40">
        <f>COUNTIF($EX$2:$EX$92, EX247)/(COUNTIF($EX$2:$EX$92, "&lt;&gt;""") - COUNTIF($EX$2:$EX$92, ""))</f>
        <v>0.72222222222222221</v>
      </c>
      <c r="EZ247" s="36" t="str">
        <f t="shared" ref="EZ247:FB247" si="390">BM247</f>
        <v>No</v>
      </c>
      <c r="FA247" s="36" t="str">
        <f t="shared" si="390"/>
        <v>Yes</v>
      </c>
      <c r="FB247" s="36" t="str">
        <f t="shared" si="390"/>
        <v>No</v>
      </c>
      <c r="FC247" s="207"/>
      <c r="FD247" s="36" t="str">
        <f t="shared" si="89"/>
        <v>Recurring</v>
      </c>
      <c r="FE247" s="40">
        <f>COUNTIF($FD$2:$FD$92, FD247)/(COUNTIF($FD$2:$FD$92, "&lt;&gt;""") - COUNTIF($FD$2:$FD$92, ""))</f>
        <v>0.4</v>
      </c>
      <c r="FF247" s="36" t="str">
        <f t="shared" si="90"/>
        <v>B2B</v>
      </c>
      <c r="FG247" s="40">
        <f>COUNTIF($FF$2:$FF$92, FF247)/(COUNTIF($FF$2:$FF$92, "&lt;&gt;""") - COUNTIF($FF$2:$FF$92, ""))</f>
        <v>0.24444444444444444</v>
      </c>
      <c r="FH247" s="36" t="str">
        <f t="shared" si="91"/>
        <v>High</v>
      </c>
      <c r="FI247" s="40">
        <f>COUNTIF($FH$2:$FH$92, FH247)/(COUNTIF($FH$2:$FH$92, "&lt;&gt;""") - COUNTIF($FH$2:$FH$92, ""))</f>
        <v>0.53333333333333333</v>
      </c>
      <c r="FJ247" s="36" t="str">
        <f t="shared" si="92"/>
        <v>Low</v>
      </c>
      <c r="FK247" s="40">
        <f>COUNTIF($FJ$2:$FJ$92, FJ247)/(COUNTIF($FJ$2:$FJ$92, "&lt;&gt;""") - COUNTIF($FJ$2:$FJ$92, ""))</f>
        <v>0.41111111111111109</v>
      </c>
      <c r="FL247" s="207"/>
      <c r="FM247" s="192">
        <f t="shared" si="93"/>
        <v>5</v>
      </c>
      <c r="FN247" s="192" t="e">
        <f t="shared" ca="1" si="94"/>
        <v>#NAME?</v>
      </c>
      <c r="FO247" s="192" t="e">
        <f t="shared" ca="1" si="95"/>
        <v>#NAME?</v>
      </c>
      <c r="FP247" s="192" t="e">
        <f t="shared" ca="1" si="96"/>
        <v>#NAME?</v>
      </c>
      <c r="FQ247" s="209" t="e">
        <f t="shared" ca="1" si="97"/>
        <v>#NAME?</v>
      </c>
      <c r="FR247" s="208" t="e">
        <f t="shared" ca="1" si="346"/>
        <v>#NAME?</v>
      </c>
      <c r="FS247" s="36" t="str">
        <f t="shared" si="99"/>
        <v>Pre-Profit</v>
      </c>
      <c r="FT247" s="196">
        <f>COUNTIF($FS$2:$FS$92, FS247)/(COUNTIF($FS$2:$FS$92, "&lt;&gt;""") - COUNTIF($FZ$2:$FZ$92, ""))</f>
        <v>0.51111111111111107</v>
      </c>
      <c r="FU247" s="207"/>
      <c r="FV247" s="192">
        <f t="shared" si="100"/>
        <v>3</v>
      </c>
      <c r="FW247" s="197" t="e">
        <f t="shared" ca="1" si="101"/>
        <v>#NAME?</v>
      </c>
      <c r="FX247" s="209" t="e">
        <f t="shared" ca="1" si="102"/>
        <v>#NAME?</v>
      </c>
      <c r="FY247" s="211" t="e">
        <f t="shared" ca="1" si="347"/>
        <v>#NAME?</v>
      </c>
      <c r="FZ247" s="36" t="str">
        <f t="shared" si="104"/>
        <v>No</v>
      </c>
      <c r="GA247" s="196">
        <f>COUNTIF($FZ$2:$FZ$92, FZ247)/(COUNTIF($FZ$2:$FZ$92, "&lt;&gt;""") - COUNTIF($FZ$2:$FZ$92, ""))</f>
        <v>0.76666666666666672</v>
      </c>
      <c r="GB247" s="196">
        <f t="shared" si="105"/>
        <v>0</v>
      </c>
      <c r="GC247" s="196">
        <f>COUNTIF($GB$2:$GB$92, GB247)/(COUNTIF($GB$2:$GB$92, "&lt;&gt;""") - COUNTIF($GB$2:$GB$92, ""))</f>
        <v>1.1111111111111112E-2</v>
      </c>
      <c r="GD247" s="196">
        <f t="shared" si="106"/>
        <v>0</v>
      </c>
      <c r="GE247" s="196">
        <f>COUNTIF($GD$2:$GD$92, GD247)/(COUNTIF($GD$2:$GD$92, "&lt;&gt;""") - COUNTIF($GD$2:$GD$92, ""))</f>
        <v>1.1111111111111112E-2</v>
      </c>
      <c r="GF247" s="207"/>
      <c r="GG247" s="36"/>
      <c r="GH247" s="209" t="e">
        <f t="shared" ca="1" si="107"/>
        <v>#NAME?</v>
      </c>
      <c r="GI247" s="212" t="e">
        <f t="shared" ca="1" si="348"/>
        <v>#NAME?</v>
      </c>
    </row>
    <row r="248" spans="1:191" ht="15.75" customHeight="1">
      <c r="A248" s="171"/>
      <c r="B248" s="171" t="s">
        <v>501</v>
      </c>
      <c r="C248" s="16">
        <v>1785115</v>
      </c>
      <c r="D248" s="233" t="s">
        <v>1759</v>
      </c>
      <c r="E248" s="270">
        <v>43857.67083333333</v>
      </c>
      <c r="F248" s="16" t="s">
        <v>329</v>
      </c>
      <c r="G248" s="235" t="s">
        <v>1760</v>
      </c>
      <c r="H248" s="235" t="s">
        <v>1761</v>
      </c>
      <c r="I248" s="271">
        <v>43854</v>
      </c>
      <c r="J248" s="233" t="s">
        <v>1762</v>
      </c>
      <c r="K248" s="233" t="s">
        <v>1759</v>
      </c>
      <c r="M248" s="243" t="s">
        <v>28</v>
      </c>
      <c r="N248" s="16" t="s">
        <v>168</v>
      </c>
      <c r="O248" s="16" t="s">
        <v>30</v>
      </c>
      <c r="P248" s="16" t="s">
        <v>174</v>
      </c>
      <c r="Q248" s="16" t="s">
        <v>35</v>
      </c>
      <c r="S248" s="16" t="s">
        <v>269</v>
      </c>
      <c r="T248" s="237"/>
      <c r="U248" s="213"/>
      <c r="V248" s="54"/>
      <c r="W248" s="54">
        <v>3500000</v>
      </c>
      <c r="X248" s="226">
        <v>0.2</v>
      </c>
      <c r="Y248" s="55">
        <f t="shared" si="158"/>
        <v>2800000</v>
      </c>
      <c r="Z248" s="274">
        <f t="shared" si="159"/>
        <v>2800000</v>
      </c>
      <c r="AA248" s="183" t="e">
        <f t="shared" ca="1" si="160"/>
        <v>#NAME?</v>
      </c>
      <c r="AB248" s="16" t="s">
        <v>36</v>
      </c>
      <c r="AC248" s="16" t="s">
        <v>218</v>
      </c>
      <c r="AD248" s="16" t="s">
        <v>38</v>
      </c>
      <c r="AE248" s="16" t="s">
        <v>227</v>
      </c>
      <c r="AF248" s="16" t="s">
        <v>181</v>
      </c>
      <c r="AG248" s="16" t="s">
        <v>181</v>
      </c>
      <c r="AH248" s="16" t="s">
        <v>227</v>
      </c>
      <c r="AI248" s="54"/>
      <c r="AJ248" s="278">
        <v>200000000000</v>
      </c>
      <c r="AK248" s="224" t="e">
        <f t="shared" ca="1" si="161"/>
        <v>#NAME?</v>
      </c>
      <c r="AL248" s="278">
        <v>10200000000</v>
      </c>
      <c r="AM248" s="224" t="e">
        <f t="shared" ca="1" si="162"/>
        <v>#NAME?</v>
      </c>
      <c r="AN248" s="278">
        <v>0.19</v>
      </c>
      <c r="AO248" s="185" t="e">
        <f t="shared" ca="1" si="63"/>
        <v>#NAME?</v>
      </c>
      <c r="AP248" s="185" t="s">
        <v>264</v>
      </c>
      <c r="AQ248" s="16" t="s">
        <v>181</v>
      </c>
      <c r="AR248" s="16" t="s">
        <v>181</v>
      </c>
      <c r="AS248" s="16" t="s">
        <v>42</v>
      </c>
      <c r="AT248" s="159"/>
      <c r="AU248" s="159"/>
      <c r="AV248" s="16" t="s">
        <v>190</v>
      </c>
      <c r="AW248" s="16" t="s">
        <v>190</v>
      </c>
      <c r="AX248" s="16" t="s">
        <v>227</v>
      </c>
      <c r="AY248" s="16" t="s">
        <v>227</v>
      </c>
      <c r="AZ248" s="54">
        <v>26014</v>
      </c>
      <c r="BA248" s="55" t="e">
        <f t="shared" ca="1" si="163"/>
        <v>#NAME?</v>
      </c>
      <c r="BB248" s="278">
        <v>24926</v>
      </c>
      <c r="BC248" s="278">
        <v>339124</v>
      </c>
      <c r="BD248" s="62" t="e">
        <f t="shared" ca="1" si="164"/>
        <v>#NAME?</v>
      </c>
      <c r="BE248" s="277">
        <f t="shared" si="165"/>
        <v>7.3501138226725327E-2</v>
      </c>
      <c r="BF248" s="62" t="e">
        <f t="shared" ca="1" si="166"/>
        <v>#NAME?</v>
      </c>
      <c r="BG248" s="16" t="s">
        <v>202</v>
      </c>
      <c r="BI248" s="16" t="s">
        <v>227</v>
      </c>
      <c r="BJ248" s="16">
        <v>0</v>
      </c>
      <c r="BK248" s="278">
        <v>2</v>
      </c>
      <c r="BL248" s="16" t="s">
        <v>227</v>
      </c>
      <c r="BM248" s="16" t="s">
        <v>227</v>
      </c>
      <c r="BN248" s="16" t="s">
        <v>190</v>
      </c>
      <c r="BO248" s="16" t="s">
        <v>190</v>
      </c>
      <c r="BP248" s="16">
        <v>1</v>
      </c>
      <c r="BQ248" s="16">
        <v>2</v>
      </c>
      <c r="BR248" s="16">
        <v>3</v>
      </c>
      <c r="BS248" s="16">
        <v>0</v>
      </c>
      <c r="BT248" s="205"/>
      <c r="BU248" s="16">
        <v>2</v>
      </c>
      <c r="BV248" s="16">
        <v>1</v>
      </c>
      <c r="BW248" s="16">
        <v>42</v>
      </c>
      <c r="BX248" s="16" t="s">
        <v>190</v>
      </c>
      <c r="BY248" s="205"/>
      <c r="BZ248" s="16">
        <v>2</v>
      </c>
      <c r="CA248" s="16">
        <v>1</v>
      </c>
      <c r="CB248" s="16">
        <v>46</v>
      </c>
      <c r="CC248" s="16" t="s">
        <v>190</v>
      </c>
      <c r="CD248" s="205"/>
      <c r="CI248" s="205"/>
      <c r="CN248" s="205"/>
      <c r="CS248" s="205"/>
      <c r="CX248" s="205"/>
      <c r="DC248" s="205"/>
      <c r="DH248" s="205"/>
      <c r="DM248" s="205"/>
      <c r="DN248" s="205"/>
      <c r="DO248" s="205"/>
      <c r="DQ248" s="206"/>
      <c r="DR248" s="188">
        <f t="shared" si="64"/>
        <v>2</v>
      </c>
      <c r="DS248" s="188"/>
      <c r="DT248" s="189">
        <f t="shared" si="65"/>
        <v>2</v>
      </c>
      <c r="DU248" s="189"/>
      <c r="DV248" s="188">
        <f t="shared" si="66"/>
        <v>44</v>
      </c>
      <c r="DW248" s="183" t="e">
        <f t="shared" ca="1" si="67"/>
        <v>#NAME?</v>
      </c>
      <c r="DX248" s="207"/>
      <c r="DY248" s="190" t="e">
        <f t="shared" ca="1" si="68"/>
        <v>#NAME?</v>
      </c>
      <c r="DZ248" s="191">
        <f t="shared" si="338"/>
        <v>3.1052631578947367</v>
      </c>
      <c r="EA248" s="191" t="str">
        <f t="shared" si="339"/>
        <v/>
      </c>
      <c r="EB248" s="191" t="str">
        <f t="shared" si="340"/>
        <v/>
      </c>
      <c r="EC248" s="208" t="e">
        <f t="shared" ca="1" si="72"/>
        <v>#NAME?</v>
      </c>
      <c r="ED248" s="36" t="str">
        <f t="shared" si="73"/>
        <v>SAFE</v>
      </c>
      <c r="EE248" s="193">
        <f>COUNTIF($ED$2:$ED$92, ED248)/(COUNTIF($ED$2:$ED$92, "&lt;&gt;""") - COUNTIF($ED$2:$ED$92, ""))</f>
        <v>0.37777777777777777</v>
      </c>
      <c r="EF248" s="36" t="str">
        <f t="shared" si="74"/>
        <v>Early</v>
      </c>
      <c r="EG248" s="207"/>
      <c r="EH248" s="194" t="e">
        <f t="shared" ca="1" si="75"/>
        <v>#NAME?</v>
      </c>
      <c r="EI248" s="194" t="e">
        <f t="shared" ca="1" si="76"/>
        <v>#NAME?</v>
      </c>
      <c r="EJ248" s="209" t="e">
        <f t="shared" ca="1" si="77"/>
        <v>#NAME?</v>
      </c>
      <c r="EK248" s="208" t="e">
        <f t="shared" ca="1" si="341"/>
        <v>#NAME?</v>
      </c>
      <c r="EL248" s="36" t="str">
        <f t="shared" si="79"/>
        <v>No</v>
      </c>
      <c r="EM248" s="207"/>
      <c r="EN248" s="192">
        <f t="shared" si="342"/>
        <v>1.1904761904761905</v>
      </c>
      <c r="EO248" s="192">
        <f t="shared" si="343"/>
        <v>3</v>
      </c>
      <c r="EP248" s="209">
        <f t="shared" si="82"/>
        <v>4.1904761904761907</v>
      </c>
      <c r="EQ248" s="210">
        <f t="shared" si="344"/>
        <v>2.7196261682242993</v>
      </c>
      <c r="ER248" s="36" t="e">
        <f t="shared" ca="1" si="84"/>
        <v>#NAME?</v>
      </c>
      <c r="ES248" s="40">
        <f ca="1">COUNTIF($ER$2:$ER$92, ER248)/(COUNTIF($ER$2:$ER$92, "&lt;&gt;""") - COUNTIF($ER$2:$ER$92, ""))</f>
        <v>1</v>
      </c>
      <c r="ET248" s="36">
        <f t="shared" si="85"/>
        <v>2</v>
      </c>
      <c r="EU248" s="40">
        <f>COUNTIF($ET$2:$ET$92, ET248)/(COUNTIF($ET$2:$ET$92, "&lt;&gt;""") - COUNTIF($ET$2:$ET$92, ""))</f>
        <v>0.45555555555555555</v>
      </c>
      <c r="EV248" s="36">
        <f t="shared" si="86"/>
        <v>2</v>
      </c>
      <c r="EW248" s="40">
        <f>COUNTIF($EV$2:$EV$92, EV248)/(COUNTIF($EV$2:$EV$92, "&lt;&gt;""") - COUNTIF($EV$2:$EV$92, ""))</f>
        <v>0.15555555555555556</v>
      </c>
      <c r="EX248" s="36" t="str">
        <f t="shared" si="87"/>
        <v>Yes</v>
      </c>
      <c r="EY248" s="40">
        <f>COUNTIF($EX$2:$EX$92, EX248)/(COUNTIF($EX$2:$EX$92, "&lt;&gt;""") - COUNTIF($EX$2:$EX$92, ""))</f>
        <v>0.27777777777777779</v>
      </c>
      <c r="EZ248" s="36" t="str">
        <f t="shared" ref="EZ248:FB248" si="391">BM248</f>
        <v>Yes</v>
      </c>
      <c r="FA248" s="36" t="str">
        <f t="shared" si="391"/>
        <v>No</v>
      </c>
      <c r="FB248" s="36" t="str">
        <f t="shared" si="391"/>
        <v>No</v>
      </c>
      <c r="FC248" s="207"/>
      <c r="FD248" s="36" t="str">
        <f t="shared" si="89"/>
        <v>Transactional</v>
      </c>
      <c r="FE248" s="40">
        <f>COUNTIF($FD$2:$FD$92, FD248)/(COUNTIF($FD$2:$FD$92, "&lt;&gt;""") - COUNTIF($FD$2:$FD$92, ""))</f>
        <v>0.6</v>
      </c>
      <c r="FF248" s="36" t="str">
        <f t="shared" si="90"/>
        <v>B2B/B2C</v>
      </c>
      <c r="FG248" s="40">
        <f>COUNTIF($FF$2:$FF$92, FF248)/(COUNTIF($FF$2:$FF$92, "&lt;&gt;""") - COUNTIF($FF$2:$FF$92, ""))</f>
        <v>0.27777777777777779</v>
      </c>
      <c r="FH248" s="36" t="str">
        <f t="shared" si="91"/>
        <v>Low</v>
      </c>
      <c r="FI248" s="40">
        <f>COUNTIF($FH$2:$FH$92, FH248)/(COUNTIF($FH$2:$FH$92, "&lt;&gt;""") - COUNTIF($FH$2:$FH$92, ""))</f>
        <v>0.46666666666666667</v>
      </c>
      <c r="FJ248" s="36" t="str">
        <f t="shared" si="92"/>
        <v>Low</v>
      </c>
      <c r="FK248" s="40">
        <f>COUNTIF($FJ$2:$FJ$92, FJ248)/(COUNTIF($FJ$2:$FJ$92, "&lt;&gt;""") - COUNTIF($FJ$2:$FJ$92, ""))</f>
        <v>0.41111111111111109</v>
      </c>
      <c r="FL248" s="207"/>
      <c r="FM248" s="192">
        <f t="shared" si="93"/>
        <v>5</v>
      </c>
      <c r="FN248" s="192" t="e">
        <f t="shared" ca="1" si="94"/>
        <v>#NAME?</v>
      </c>
      <c r="FO248" s="192" t="e">
        <f t="shared" ca="1" si="95"/>
        <v>#NAME?</v>
      </c>
      <c r="FP248" s="192" t="e">
        <f t="shared" ca="1" si="96"/>
        <v>#NAME?</v>
      </c>
      <c r="FQ248" s="209" t="e">
        <f t="shared" ca="1" si="97"/>
        <v>#NAME?</v>
      </c>
      <c r="FR248" s="208" t="e">
        <f t="shared" ca="1" si="346"/>
        <v>#NAME?</v>
      </c>
      <c r="FS248" s="36" t="str">
        <f t="shared" si="99"/>
        <v>Pre-Profit</v>
      </c>
      <c r="FT248" s="196">
        <f>COUNTIF($FS$2:$FS$92, FS248)/(COUNTIF($FS$2:$FS$92, "&lt;&gt;""") - COUNTIF($FZ$2:$FZ$92, ""))</f>
        <v>0.51111111111111107</v>
      </c>
      <c r="FU248" s="207"/>
      <c r="FV248" s="192" t="e">
        <f t="shared" ca="1" si="100"/>
        <v>#NAME?</v>
      </c>
      <c r="FW248" s="197" t="e">
        <f t="shared" ca="1" si="101"/>
        <v>#NAME?</v>
      </c>
      <c r="FX248" s="209" t="e">
        <f t="shared" ca="1" si="102"/>
        <v>#NAME?</v>
      </c>
      <c r="FY248" s="211" t="e">
        <f t="shared" ca="1" si="347"/>
        <v>#NAME?</v>
      </c>
      <c r="FZ248" s="36" t="str">
        <f t="shared" si="104"/>
        <v>No</v>
      </c>
      <c r="GA248" s="196">
        <f>COUNTIF($FZ$2:$FZ$92, FZ248)/(COUNTIF($FZ$2:$FZ$92, "&lt;&gt;""") - COUNTIF($FZ$2:$FZ$92, ""))</f>
        <v>0.76666666666666672</v>
      </c>
      <c r="GB248" s="196">
        <f t="shared" si="105"/>
        <v>0</v>
      </c>
      <c r="GC248" s="196">
        <f>COUNTIF($GB$2:$GB$92, GB248)/(COUNTIF($GB$2:$GB$92, "&lt;&gt;""") - COUNTIF($GB$2:$GB$92, ""))</f>
        <v>1.1111111111111112E-2</v>
      </c>
      <c r="GD248" s="196">
        <f t="shared" si="106"/>
        <v>0</v>
      </c>
      <c r="GE248" s="196">
        <f>COUNTIF($GD$2:$GD$92, GD248)/(COUNTIF($GD$2:$GD$92, "&lt;&gt;""") - COUNTIF($GD$2:$GD$92, ""))</f>
        <v>1.1111111111111112E-2</v>
      </c>
      <c r="GF248" s="207"/>
      <c r="GG248" s="36"/>
      <c r="GH248" s="209" t="e">
        <f t="shared" ca="1" si="107"/>
        <v>#NAME?</v>
      </c>
      <c r="GI248" s="212" t="e">
        <f t="shared" ca="1" si="348"/>
        <v>#NAME?</v>
      </c>
    </row>
    <row r="249" spans="1:191" ht="15.75" customHeight="1">
      <c r="A249" s="171"/>
      <c r="B249" s="171" t="s">
        <v>501</v>
      </c>
      <c r="C249" s="16">
        <v>1795289</v>
      </c>
      <c r="D249" s="233" t="s">
        <v>1763</v>
      </c>
      <c r="E249" s="270">
        <v>43858.796527777777</v>
      </c>
      <c r="F249" s="16" t="s">
        <v>847</v>
      </c>
      <c r="G249" s="235" t="s">
        <v>1764</v>
      </c>
      <c r="H249" s="235" t="s">
        <v>1765</v>
      </c>
      <c r="I249" s="271">
        <v>43901</v>
      </c>
      <c r="J249" s="233" t="s">
        <v>1766</v>
      </c>
      <c r="K249" s="233" t="s">
        <v>1763</v>
      </c>
      <c r="M249" s="243" t="s">
        <v>28</v>
      </c>
      <c r="N249" s="16" t="s">
        <v>230</v>
      </c>
      <c r="O249" s="16" t="s">
        <v>30</v>
      </c>
      <c r="P249" s="16" t="s">
        <v>174</v>
      </c>
      <c r="Q249" s="16" t="s">
        <v>35</v>
      </c>
      <c r="S249" s="16" t="s">
        <v>269</v>
      </c>
      <c r="T249" s="237"/>
      <c r="U249" s="213"/>
      <c r="V249" s="54"/>
      <c r="W249" s="54">
        <v>6000000</v>
      </c>
      <c r="X249" s="226">
        <v>0.2</v>
      </c>
      <c r="Y249" s="55">
        <f t="shared" si="158"/>
        <v>4800000</v>
      </c>
      <c r="Z249" s="274">
        <f t="shared" si="159"/>
        <v>4800000</v>
      </c>
      <c r="AA249" s="183" t="e">
        <f t="shared" ca="1" si="160"/>
        <v>#NAME?</v>
      </c>
      <c r="AB249" s="16" t="s">
        <v>36</v>
      </c>
      <c r="AC249" s="16" t="s">
        <v>37</v>
      </c>
      <c r="AD249" s="16" t="s">
        <v>38</v>
      </c>
      <c r="AE249" s="16" t="s">
        <v>227</v>
      </c>
      <c r="AF249" s="16" t="s">
        <v>39</v>
      </c>
      <c r="AG249" s="16" t="s">
        <v>181</v>
      </c>
      <c r="AH249" s="16" t="s">
        <v>190</v>
      </c>
      <c r="AI249" s="54"/>
      <c r="AJ249" s="278">
        <v>200000000000</v>
      </c>
      <c r="AK249" s="224" t="e">
        <f t="shared" ca="1" si="161"/>
        <v>#NAME?</v>
      </c>
      <c r="AL249" s="278">
        <v>200000000000</v>
      </c>
      <c r="AM249" s="224" t="e">
        <f t="shared" ca="1" si="162"/>
        <v>#NAME?</v>
      </c>
      <c r="AN249" s="278">
        <v>0.13</v>
      </c>
      <c r="AO249" s="185" t="e">
        <f t="shared" ca="1" si="63"/>
        <v>#NAME?</v>
      </c>
      <c r="AP249" s="185" t="s">
        <v>192</v>
      </c>
      <c r="AQ249" s="16" t="s">
        <v>181</v>
      </c>
      <c r="AR249" s="16" t="s">
        <v>181</v>
      </c>
      <c r="AS249" s="16" t="s">
        <v>42</v>
      </c>
      <c r="AT249" s="159"/>
      <c r="AU249" s="159"/>
      <c r="AV249" s="16" t="s">
        <v>190</v>
      </c>
      <c r="AW249" s="16" t="s">
        <v>190</v>
      </c>
      <c r="AX249" s="16" t="s">
        <v>227</v>
      </c>
      <c r="AY249" s="16" t="s">
        <v>227</v>
      </c>
      <c r="AZ249" s="54">
        <v>47110</v>
      </c>
      <c r="BA249" s="55" t="e">
        <f t="shared" ca="1" si="163"/>
        <v>#NAME?</v>
      </c>
      <c r="BB249" s="278">
        <v>6968</v>
      </c>
      <c r="BC249" s="278">
        <v>292186</v>
      </c>
      <c r="BD249" s="62" t="e">
        <f t="shared" ca="1" si="164"/>
        <v>#NAME?</v>
      </c>
      <c r="BE249" s="277">
        <f t="shared" si="165"/>
        <v>2.3847822962085794E-2</v>
      </c>
      <c r="BF249" s="62" t="e">
        <f t="shared" ca="1" si="166"/>
        <v>#NAME?</v>
      </c>
      <c r="BG249" s="16" t="s">
        <v>202</v>
      </c>
      <c r="BI249" s="16" t="s">
        <v>227</v>
      </c>
      <c r="BJ249" s="16">
        <v>0</v>
      </c>
      <c r="BK249" s="278">
        <v>4</v>
      </c>
      <c r="BL249" s="16" t="s">
        <v>227</v>
      </c>
      <c r="BM249" s="16" t="s">
        <v>190</v>
      </c>
      <c r="BN249" s="16" t="s">
        <v>190</v>
      </c>
      <c r="BO249" s="16" t="s">
        <v>190</v>
      </c>
      <c r="BP249" s="16">
        <v>5</v>
      </c>
      <c r="BQ249" s="16">
        <v>4</v>
      </c>
      <c r="BR249" s="16">
        <v>0</v>
      </c>
      <c r="BS249" s="16">
        <v>0</v>
      </c>
      <c r="BT249" s="205"/>
      <c r="BU249" s="16">
        <v>6</v>
      </c>
      <c r="BV249" s="16">
        <v>0</v>
      </c>
      <c r="BW249" s="16">
        <v>34</v>
      </c>
      <c r="BX249" s="16" t="s">
        <v>190</v>
      </c>
      <c r="BY249" s="205"/>
      <c r="BZ249" s="16">
        <v>0</v>
      </c>
      <c r="CA249" s="16">
        <v>0</v>
      </c>
      <c r="CB249" s="16">
        <v>39</v>
      </c>
      <c r="CC249" s="16" t="s">
        <v>227</v>
      </c>
      <c r="CD249" s="205"/>
      <c r="CE249" s="16">
        <v>0</v>
      </c>
      <c r="CF249" s="16">
        <v>0</v>
      </c>
      <c r="CG249" s="16">
        <v>37</v>
      </c>
      <c r="CH249" s="16" t="s">
        <v>190</v>
      </c>
      <c r="CI249" s="205"/>
      <c r="CJ249" s="16">
        <v>0</v>
      </c>
      <c r="CK249" s="16">
        <v>0</v>
      </c>
      <c r="CM249" s="16">
        <v>0</v>
      </c>
      <c r="CN249" s="205"/>
      <c r="CS249" s="205"/>
      <c r="CX249" s="205"/>
      <c r="DC249" s="205"/>
      <c r="DH249" s="205"/>
      <c r="DM249" s="205"/>
      <c r="DN249" s="205"/>
      <c r="DO249" s="205"/>
      <c r="DQ249" s="206"/>
      <c r="DR249" s="188">
        <f t="shared" si="64"/>
        <v>1.5</v>
      </c>
      <c r="DS249" s="188"/>
      <c r="DT249" s="189">
        <f t="shared" si="65"/>
        <v>0</v>
      </c>
      <c r="DU249" s="189"/>
      <c r="DV249" s="188">
        <f t="shared" si="66"/>
        <v>36.666666666666664</v>
      </c>
      <c r="DW249" s="183" t="e">
        <f t="shared" ca="1" si="67"/>
        <v>#NAME?</v>
      </c>
      <c r="DX249" s="207"/>
      <c r="DY249" s="190" t="e">
        <f t="shared" ca="1" si="68"/>
        <v>#NAME?</v>
      </c>
      <c r="DZ249" s="191">
        <f t="shared" si="338"/>
        <v>3.1052631578947367</v>
      </c>
      <c r="EA249" s="191" t="str">
        <f t="shared" si="339"/>
        <v/>
      </c>
      <c r="EB249" s="191" t="str">
        <f t="shared" si="340"/>
        <v/>
      </c>
      <c r="EC249" s="208" t="e">
        <f t="shared" ca="1" si="72"/>
        <v>#NAME?</v>
      </c>
      <c r="ED249" s="36" t="str">
        <f t="shared" si="73"/>
        <v>SAFE</v>
      </c>
      <c r="EE249" s="193">
        <f>COUNTIF($ED$2:$ED$92, ED249)/(COUNTIF($ED$2:$ED$92, "&lt;&gt;""") - COUNTIF($ED$2:$ED$92, ""))</f>
        <v>0.37777777777777777</v>
      </c>
      <c r="EF249" s="36" t="str">
        <f t="shared" si="74"/>
        <v>Early</v>
      </c>
      <c r="EG249" s="207"/>
      <c r="EH249" s="194" t="e">
        <f t="shared" ca="1" si="75"/>
        <v>#NAME?</v>
      </c>
      <c r="EI249" s="194" t="e">
        <f t="shared" ca="1" si="76"/>
        <v>#NAME?</v>
      </c>
      <c r="EJ249" s="209" t="e">
        <f t="shared" ca="1" si="77"/>
        <v>#NAME?</v>
      </c>
      <c r="EK249" s="208" t="e">
        <f t="shared" ca="1" si="341"/>
        <v>#NAME?</v>
      </c>
      <c r="EL249" s="36" t="str">
        <f t="shared" si="79"/>
        <v>No</v>
      </c>
      <c r="EM249" s="207"/>
      <c r="EN249" s="192">
        <f t="shared" si="342"/>
        <v>1.1428571428571428</v>
      </c>
      <c r="EO249" s="192">
        <f t="shared" si="343"/>
        <v>1</v>
      </c>
      <c r="EP249" s="209">
        <f t="shared" si="82"/>
        <v>2.1428571428571428</v>
      </c>
      <c r="EQ249" s="210">
        <f t="shared" si="344"/>
        <v>1.1121495327102804</v>
      </c>
      <c r="ER249" s="36" t="e">
        <f t="shared" ca="1" si="84"/>
        <v>#NAME?</v>
      </c>
      <c r="ES249" s="40">
        <f ca="1">COUNTIF($ER$2:$ER$92, ER249)/(COUNTIF($ER$2:$ER$92, "&lt;&gt;""") - COUNTIF($ER$2:$ER$92, ""))</f>
        <v>1</v>
      </c>
      <c r="ET249" s="36">
        <f t="shared" si="85"/>
        <v>4</v>
      </c>
      <c r="EU249" s="40">
        <f>COUNTIF($ET$2:$ET$92, ET249)/(COUNTIF($ET$2:$ET$92, "&lt;&gt;""") - COUNTIF($ET$2:$ET$92, ""))</f>
        <v>4.4444444444444446E-2</v>
      </c>
      <c r="EV249" s="36">
        <f t="shared" si="86"/>
        <v>4</v>
      </c>
      <c r="EW249" s="40">
        <f>COUNTIF($EV$2:$EV$92, EV249)/(COUNTIF($EV$2:$EV$92, "&lt;&gt;""") - COUNTIF($EV$2:$EV$92, ""))</f>
        <v>0.12222222222222222</v>
      </c>
      <c r="EX249" s="36" t="str">
        <f t="shared" si="87"/>
        <v>Yes</v>
      </c>
      <c r="EY249" s="40">
        <f>COUNTIF($EX$2:$EX$92, EX249)/(COUNTIF($EX$2:$EX$92, "&lt;&gt;""") - COUNTIF($EX$2:$EX$92, ""))</f>
        <v>0.27777777777777779</v>
      </c>
      <c r="EZ249" s="36" t="str">
        <f t="shared" ref="EZ249:FB249" si="392">BM249</f>
        <v>No</v>
      </c>
      <c r="FA249" s="36" t="str">
        <f t="shared" si="392"/>
        <v>No</v>
      </c>
      <c r="FB249" s="36" t="str">
        <f t="shared" si="392"/>
        <v>No</v>
      </c>
      <c r="FC249" s="207"/>
      <c r="FD249" s="36" t="str">
        <f t="shared" si="89"/>
        <v>Transactional</v>
      </c>
      <c r="FE249" s="40">
        <f>COUNTIF($FD$2:$FD$92, FD249)/(COUNTIF($FD$2:$FD$92, "&lt;&gt;""") - COUNTIF($FD$2:$FD$92, ""))</f>
        <v>0.6</v>
      </c>
      <c r="FF249" s="36" t="str">
        <f t="shared" si="90"/>
        <v>B2B</v>
      </c>
      <c r="FG249" s="40">
        <f>COUNTIF($FF$2:$FF$92, FF249)/(COUNTIF($FF$2:$FF$92, "&lt;&gt;""") - COUNTIF($FF$2:$FF$92, ""))</f>
        <v>0.24444444444444444</v>
      </c>
      <c r="FH249" s="36" t="str">
        <f t="shared" si="91"/>
        <v>High</v>
      </c>
      <c r="FI249" s="40">
        <f>COUNTIF($FH$2:$FH$92, FH249)/(COUNTIF($FH$2:$FH$92, "&lt;&gt;""") - COUNTIF($FH$2:$FH$92, ""))</f>
        <v>0.53333333333333333</v>
      </c>
      <c r="FJ249" s="36" t="str">
        <f t="shared" si="92"/>
        <v>Low</v>
      </c>
      <c r="FK249" s="40">
        <f>COUNTIF($FJ$2:$FJ$92, FJ249)/(COUNTIF($FJ$2:$FJ$92, "&lt;&gt;""") - COUNTIF($FJ$2:$FJ$92, ""))</f>
        <v>0.41111111111111109</v>
      </c>
      <c r="FL249" s="207"/>
      <c r="FM249" s="192">
        <f t="shared" si="93"/>
        <v>5</v>
      </c>
      <c r="FN249" s="192" t="e">
        <f t="shared" ca="1" si="94"/>
        <v>#NAME?</v>
      </c>
      <c r="FO249" s="192" t="e">
        <f t="shared" ca="1" si="95"/>
        <v>#NAME?</v>
      </c>
      <c r="FP249" s="192" t="e">
        <f t="shared" ca="1" si="96"/>
        <v>#NAME?</v>
      </c>
      <c r="FQ249" s="209" t="e">
        <f t="shared" ca="1" si="97"/>
        <v>#NAME?</v>
      </c>
      <c r="FR249" s="208" t="e">
        <f t="shared" ca="1" si="346"/>
        <v>#NAME?</v>
      </c>
      <c r="FS249" s="36" t="str">
        <f t="shared" si="99"/>
        <v>Pre-Profit</v>
      </c>
      <c r="FT249" s="196">
        <f>COUNTIF($FS$2:$FS$92, FS249)/(COUNTIF($FS$2:$FS$92, "&lt;&gt;""") - COUNTIF($FZ$2:$FZ$92, ""))</f>
        <v>0.51111111111111107</v>
      </c>
      <c r="FU249" s="207"/>
      <c r="FV249" s="192" t="e">
        <f t="shared" ca="1" si="100"/>
        <v>#NAME?</v>
      </c>
      <c r="FW249" s="197" t="e">
        <f t="shared" ca="1" si="101"/>
        <v>#NAME?</v>
      </c>
      <c r="FX249" s="209" t="e">
        <f t="shared" ca="1" si="102"/>
        <v>#NAME?</v>
      </c>
      <c r="FY249" s="211" t="e">
        <f t="shared" ca="1" si="347"/>
        <v>#NAME?</v>
      </c>
      <c r="FZ249" s="36" t="str">
        <f t="shared" si="104"/>
        <v>No</v>
      </c>
      <c r="GA249" s="196">
        <f>COUNTIF($FZ$2:$FZ$92, FZ249)/(COUNTIF($FZ$2:$FZ$92, "&lt;&gt;""") - COUNTIF($FZ$2:$FZ$92, ""))</f>
        <v>0.76666666666666672</v>
      </c>
      <c r="GB249" s="196">
        <f t="shared" si="105"/>
        <v>0</v>
      </c>
      <c r="GC249" s="196">
        <f>COUNTIF($GB$2:$GB$92, GB249)/(COUNTIF($GB$2:$GB$92, "&lt;&gt;""") - COUNTIF($GB$2:$GB$92, ""))</f>
        <v>1.1111111111111112E-2</v>
      </c>
      <c r="GD249" s="196">
        <f t="shared" si="106"/>
        <v>0</v>
      </c>
      <c r="GE249" s="196">
        <f>COUNTIF($GD$2:$GD$92, GD249)/(COUNTIF($GD$2:$GD$92, "&lt;&gt;""") - COUNTIF($GD$2:$GD$92, ""))</f>
        <v>1.1111111111111112E-2</v>
      </c>
      <c r="GF249" s="207"/>
      <c r="GG249" s="36"/>
      <c r="GH249" s="209" t="e">
        <f t="shared" ca="1" si="107"/>
        <v>#NAME?</v>
      </c>
      <c r="GI249" s="212" t="e">
        <f t="shared" ca="1" si="348"/>
        <v>#NAME?</v>
      </c>
    </row>
    <row r="250" spans="1:191" ht="15.75" customHeight="1">
      <c r="A250" s="171"/>
      <c r="B250" s="171" t="s">
        <v>501</v>
      </c>
      <c r="C250" s="16">
        <v>1786858</v>
      </c>
      <c r="D250" s="233" t="s">
        <v>1767</v>
      </c>
      <c r="E250" s="270">
        <v>43858.8</v>
      </c>
      <c r="F250" s="16" t="s">
        <v>337</v>
      </c>
      <c r="G250" s="235" t="s">
        <v>1768</v>
      </c>
      <c r="H250" s="235" t="s">
        <v>1769</v>
      </c>
      <c r="I250" s="271">
        <v>43909</v>
      </c>
      <c r="J250" s="233" t="s">
        <v>1770</v>
      </c>
      <c r="K250" s="233" t="s">
        <v>1767</v>
      </c>
      <c r="M250" s="16" t="s">
        <v>323</v>
      </c>
      <c r="N250" s="16" t="s">
        <v>168</v>
      </c>
      <c r="O250" s="16" t="s">
        <v>30</v>
      </c>
      <c r="P250" s="16" t="s">
        <v>174</v>
      </c>
      <c r="Q250" s="16" t="s">
        <v>35</v>
      </c>
      <c r="S250" s="16" t="s">
        <v>216</v>
      </c>
      <c r="T250" s="237"/>
      <c r="U250" s="213"/>
      <c r="V250" s="54">
        <v>8300000</v>
      </c>
      <c r="W250" s="54"/>
      <c r="X250" s="226"/>
      <c r="Y250" s="55" t="str">
        <f t="shared" si="158"/>
        <v/>
      </c>
      <c r="Z250" s="274">
        <f t="shared" si="159"/>
        <v>8300000</v>
      </c>
      <c r="AA250" s="183" t="e">
        <f t="shared" ca="1" si="160"/>
        <v>#NAME?</v>
      </c>
      <c r="AB250" s="16" t="s">
        <v>178</v>
      </c>
      <c r="AC250" s="16" t="s">
        <v>218</v>
      </c>
      <c r="AD250" s="16" t="s">
        <v>38</v>
      </c>
      <c r="AE250" s="16" t="s">
        <v>227</v>
      </c>
      <c r="AF250" s="16" t="s">
        <v>39</v>
      </c>
      <c r="AG250" s="16" t="s">
        <v>181</v>
      </c>
      <c r="AH250" s="16" t="s">
        <v>190</v>
      </c>
      <c r="AI250" s="54"/>
      <c r="AJ250" s="278">
        <v>400600000000</v>
      </c>
      <c r="AK250" s="224" t="e">
        <f t="shared" ca="1" si="161"/>
        <v>#NAME?</v>
      </c>
      <c r="AL250" s="278">
        <v>400600000000</v>
      </c>
      <c r="AM250" s="224" t="e">
        <f t="shared" ca="1" si="162"/>
        <v>#NAME?</v>
      </c>
      <c r="AN250" s="278">
        <v>0.03</v>
      </c>
      <c r="AO250" s="185" t="e">
        <f t="shared" ca="1" si="63"/>
        <v>#NAME?</v>
      </c>
      <c r="AP250" s="185" t="s">
        <v>169</v>
      </c>
      <c r="AQ250" s="16" t="s">
        <v>39</v>
      </c>
      <c r="AR250" s="16" t="s">
        <v>181</v>
      </c>
      <c r="AS250" s="16" t="s">
        <v>182</v>
      </c>
      <c r="AT250" s="159"/>
      <c r="AU250" s="159"/>
      <c r="AV250" s="16" t="s">
        <v>190</v>
      </c>
      <c r="AW250" s="16" t="s">
        <v>190</v>
      </c>
      <c r="AX250" s="16" t="s">
        <v>227</v>
      </c>
      <c r="AY250" s="16" t="s">
        <v>227</v>
      </c>
      <c r="AZ250" s="54">
        <v>70607</v>
      </c>
      <c r="BA250" s="55" t="e">
        <f t="shared" ca="1" si="163"/>
        <v>#NAME?</v>
      </c>
      <c r="BB250" s="278">
        <v>3894</v>
      </c>
      <c r="BC250" s="278">
        <v>0</v>
      </c>
      <c r="BD250" s="62" t="e">
        <f t="shared" ca="1" si="164"/>
        <v>#NAME?</v>
      </c>
      <c r="BE250" s="277">
        <f t="shared" si="165"/>
        <v>1</v>
      </c>
      <c r="BF250" s="62" t="e">
        <f t="shared" ca="1" si="166"/>
        <v>#NAME?</v>
      </c>
      <c r="BG250" s="16" t="s">
        <v>202</v>
      </c>
      <c r="BI250" s="16" t="s">
        <v>227</v>
      </c>
      <c r="BJ250" s="16">
        <v>0</v>
      </c>
      <c r="BK250" s="278">
        <v>1</v>
      </c>
      <c r="BL250" s="16" t="s">
        <v>227</v>
      </c>
      <c r="BM250" s="16" t="s">
        <v>190</v>
      </c>
      <c r="BN250" s="16" t="s">
        <v>190</v>
      </c>
      <c r="BO250" s="16" t="s">
        <v>190</v>
      </c>
      <c r="BP250" s="16">
        <v>4</v>
      </c>
      <c r="BQ250" s="16">
        <v>1</v>
      </c>
      <c r="BR250" s="16">
        <v>14</v>
      </c>
      <c r="BS250" s="16">
        <v>0</v>
      </c>
      <c r="BT250" s="205"/>
      <c r="BU250" s="16">
        <v>12</v>
      </c>
      <c r="BV250" s="16">
        <v>0</v>
      </c>
      <c r="BW250" s="16">
        <v>47</v>
      </c>
      <c r="BX250" s="16" t="s">
        <v>190</v>
      </c>
      <c r="BY250" s="205"/>
      <c r="CD250" s="205"/>
      <c r="CI250" s="205"/>
      <c r="CN250" s="205"/>
      <c r="CS250" s="205"/>
      <c r="CX250" s="205"/>
      <c r="DC250" s="205"/>
      <c r="DH250" s="205"/>
      <c r="DM250" s="205"/>
      <c r="DN250" s="205"/>
      <c r="DO250" s="205"/>
      <c r="DQ250" s="206"/>
      <c r="DR250" s="188">
        <f t="shared" si="64"/>
        <v>12</v>
      </c>
      <c r="DS250" s="188"/>
      <c r="DT250" s="189">
        <f t="shared" si="65"/>
        <v>0</v>
      </c>
      <c r="DU250" s="189"/>
      <c r="DV250" s="188">
        <f t="shared" si="66"/>
        <v>47</v>
      </c>
      <c r="DW250" s="183" t="e">
        <f t="shared" ca="1" si="67"/>
        <v>#NAME?</v>
      </c>
      <c r="DX250" s="207"/>
      <c r="DY250" s="190" t="e">
        <f t="shared" ca="1" si="68"/>
        <v>#NAME?</v>
      </c>
      <c r="DZ250" s="191" t="str">
        <f t="shared" si="338"/>
        <v/>
      </c>
      <c r="EA250" s="191" t="str">
        <f t="shared" si="339"/>
        <v/>
      </c>
      <c r="EB250" s="191" t="str">
        <f t="shared" si="340"/>
        <v/>
      </c>
      <c r="EC250" s="208" t="e">
        <f t="shared" ca="1" si="72"/>
        <v>#NAME?</v>
      </c>
      <c r="ED250" s="36" t="str">
        <f t="shared" si="73"/>
        <v>Equity - Common</v>
      </c>
      <c r="EE250" s="193">
        <f>COUNTIF($ED$2:$ED$92, ED250)/(COUNTIF($ED$2:$ED$92, "&lt;&gt;""") - COUNTIF($ED$2:$ED$92, ""))</f>
        <v>0.32222222222222224</v>
      </c>
      <c r="EF250" s="36" t="str">
        <f t="shared" si="74"/>
        <v>Early</v>
      </c>
      <c r="EG250" s="207"/>
      <c r="EH250" s="194" t="e">
        <f t="shared" ca="1" si="75"/>
        <v>#NAME?</v>
      </c>
      <c r="EI250" s="194" t="e">
        <f t="shared" ca="1" si="76"/>
        <v>#NAME?</v>
      </c>
      <c r="EJ250" s="209" t="e">
        <f t="shared" ca="1" si="77"/>
        <v>#NAME?</v>
      </c>
      <c r="EK250" s="208" t="e">
        <f t="shared" ca="1" si="341"/>
        <v>#NAME?</v>
      </c>
      <c r="EL250" s="36" t="str">
        <f t="shared" si="79"/>
        <v>No</v>
      </c>
      <c r="EM250" s="207"/>
      <c r="EN250" s="192">
        <f t="shared" si="342"/>
        <v>2.1428571428571428</v>
      </c>
      <c r="EO250" s="192">
        <f t="shared" si="343"/>
        <v>1</v>
      </c>
      <c r="EP250" s="209">
        <f t="shared" si="82"/>
        <v>3.1428571428571428</v>
      </c>
      <c r="EQ250" s="210">
        <f t="shared" si="344"/>
        <v>1.8971962616822431</v>
      </c>
      <c r="ER250" s="36" t="e">
        <f t="shared" ca="1" si="84"/>
        <v>#NAME?</v>
      </c>
      <c r="ES250" s="40">
        <f ca="1">COUNTIF($ER$2:$ER$92, ER250)/(COUNTIF($ER$2:$ER$92, "&lt;&gt;""") - COUNTIF($ER$2:$ER$92, ""))</f>
        <v>1</v>
      </c>
      <c r="ET250" s="36">
        <f t="shared" si="85"/>
        <v>1</v>
      </c>
      <c r="EU250" s="40">
        <f>COUNTIF($ET$2:$ET$92, ET250)/(COUNTIF($ET$2:$ET$92, "&lt;&gt;""") - COUNTIF($ET$2:$ET$92, ""))</f>
        <v>0.45555555555555555</v>
      </c>
      <c r="EV250" s="36">
        <f t="shared" si="86"/>
        <v>1</v>
      </c>
      <c r="EW250" s="40">
        <f>COUNTIF($EV$2:$EV$92, EV250)/(COUNTIF($EV$2:$EV$92, "&lt;&gt;""") - COUNTIF($EV$2:$EV$92, ""))</f>
        <v>7.7777777777777779E-2</v>
      </c>
      <c r="EX250" s="36" t="str">
        <f t="shared" si="87"/>
        <v>Yes</v>
      </c>
      <c r="EY250" s="40">
        <f>COUNTIF($EX$2:$EX$92, EX250)/(COUNTIF($EX$2:$EX$92, "&lt;&gt;""") - COUNTIF($EX$2:$EX$92, ""))</f>
        <v>0.27777777777777779</v>
      </c>
      <c r="EZ250" s="36" t="str">
        <f t="shared" ref="EZ250:FB250" si="393">BM250</f>
        <v>No</v>
      </c>
      <c r="FA250" s="36" t="str">
        <f t="shared" si="393"/>
        <v>No</v>
      </c>
      <c r="FB250" s="36" t="str">
        <f t="shared" si="393"/>
        <v>No</v>
      </c>
      <c r="FC250" s="207"/>
      <c r="FD250" s="36" t="str">
        <f t="shared" si="89"/>
        <v>Recurring</v>
      </c>
      <c r="FE250" s="40">
        <f>COUNTIF($FD$2:$FD$92, FD250)/(COUNTIF($FD$2:$FD$92, "&lt;&gt;""") - COUNTIF($FD$2:$FD$92, ""))</f>
        <v>0.4</v>
      </c>
      <c r="FF250" s="36" t="str">
        <f t="shared" si="90"/>
        <v>B2B/B2C</v>
      </c>
      <c r="FG250" s="40">
        <f>COUNTIF($FF$2:$FF$92, FF250)/(COUNTIF($FF$2:$FF$92, "&lt;&gt;""") - COUNTIF($FF$2:$FF$92, ""))</f>
        <v>0.27777777777777779</v>
      </c>
      <c r="FH250" s="36" t="str">
        <f t="shared" si="91"/>
        <v>High</v>
      </c>
      <c r="FI250" s="40">
        <f>COUNTIF($FH$2:$FH$92, FH250)/(COUNTIF($FH$2:$FH$92, "&lt;&gt;""") - COUNTIF($FH$2:$FH$92, ""))</f>
        <v>0.53333333333333333</v>
      </c>
      <c r="FJ250" s="36" t="str">
        <f t="shared" si="92"/>
        <v>Low</v>
      </c>
      <c r="FK250" s="40">
        <f>COUNTIF($FJ$2:$FJ$92, FJ250)/(COUNTIF($FJ$2:$FJ$92, "&lt;&gt;""") - COUNTIF($FJ$2:$FJ$92, ""))</f>
        <v>0.41111111111111109</v>
      </c>
      <c r="FL250" s="207"/>
      <c r="FM250" s="192">
        <f t="shared" si="93"/>
        <v>5</v>
      </c>
      <c r="FN250" s="192" t="e">
        <f t="shared" ca="1" si="94"/>
        <v>#NAME?</v>
      </c>
      <c r="FO250" s="192" t="e">
        <f t="shared" ca="1" si="95"/>
        <v>#NAME?</v>
      </c>
      <c r="FP250" s="192" t="e">
        <f t="shared" ca="1" si="96"/>
        <v>#NAME?</v>
      </c>
      <c r="FQ250" s="209" t="e">
        <f t="shared" ca="1" si="97"/>
        <v>#NAME?</v>
      </c>
      <c r="FR250" s="208" t="e">
        <f t="shared" ca="1" si="346"/>
        <v>#NAME?</v>
      </c>
      <c r="FS250" s="36" t="str">
        <f t="shared" si="99"/>
        <v>Pre-Profit</v>
      </c>
      <c r="FT250" s="196">
        <f>COUNTIF($FS$2:$FS$92, FS250)/(COUNTIF($FS$2:$FS$92, "&lt;&gt;""") - COUNTIF($FZ$2:$FZ$92, ""))</f>
        <v>0.51111111111111107</v>
      </c>
      <c r="FU250" s="207"/>
      <c r="FV250" s="192">
        <f t="shared" si="100"/>
        <v>3</v>
      </c>
      <c r="FW250" s="197" t="e">
        <f t="shared" ca="1" si="101"/>
        <v>#NAME?</v>
      </c>
      <c r="FX250" s="209" t="e">
        <f t="shared" ca="1" si="102"/>
        <v>#NAME?</v>
      </c>
      <c r="FY250" s="211" t="e">
        <f t="shared" ca="1" si="347"/>
        <v>#NAME?</v>
      </c>
      <c r="FZ250" s="36" t="str">
        <f t="shared" si="104"/>
        <v>No</v>
      </c>
      <c r="GA250" s="196">
        <f>COUNTIF($FZ$2:$FZ$92, FZ250)/(COUNTIF($FZ$2:$FZ$92, "&lt;&gt;""") - COUNTIF($FZ$2:$FZ$92, ""))</f>
        <v>0.76666666666666672</v>
      </c>
      <c r="GB250" s="196">
        <f t="shared" si="105"/>
        <v>0</v>
      </c>
      <c r="GC250" s="196">
        <f>COUNTIF($GB$2:$GB$92, GB250)/(COUNTIF($GB$2:$GB$92, "&lt;&gt;""") - COUNTIF($GB$2:$GB$92, ""))</f>
        <v>1.1111111111111112E-2</v>
      </c>
      <c r="GD250" s="196">
        <f t="shared" si="106"/>
        <v>0</v>
      </c>
      <c r="GE250" s="196">
        <f>COUNTIF($GD$2:$GD$92, GD250)/(COUNTIF($GD$2:$GD$92, "&lt;&gt;""") - COUNTIF($GD$2:$GD$92, ""))</f>
        <v>1.1111111111111112E-2</v>
      </c>
      <c r="GF250" s="207"/>
      <c r="GG250" s="36"/>
      <c r="GH250" s="209" t="e">
        <f t="shared" ca="1" si="107"/>
        <v>#NAME?</v>
      </c>
      <c r="GI250" s="212" t="e">
        <f t="shared" ca="1" si="348"/>
        <v>#NAME?</v>
      </c>
    </row>
    <row r="251" spans="1:191" ht="15.75" customHeight="1">
      <c r="A251" s="171"/>
      <c r="B251" s="171" t="s">
        <v>501</v>
      </c>
      <c r="C251" s="16">
        <v>1707359</v>
      </c>
      <c r="D251" s="233" t="s">
        <v>1771</v>
      </c>
      <c r="E251" s="270">
        <v>43858.806250000001</v>
      </c>
      <c r="F251" s="16" t="s">
        <v>344</v>
      </c>
      <c r="G251" s="235" t="s">
        <v>1772</v>
      </c>
      <c r="H251" s="235" t="s">
        <v>1773</v>
      </c>
      <c r="I251" s="271">
        <v>43846</v>
      </c>
      <c r="J251" s="233" t="s">
        <v>1774</v>
      </c>
      <c r="K251" s="233" t="s">
        <v>1771</v>
      </c>
      <c r="M251" s="29" t="s">
        <v>747</v>
      </c>
      <c r="N251" s="16" t="s">
        <v>168</v>
      </c>
      <c r="O251" s="16" t="s">
        <v>173</v>
      </c>
      <c r="P251" s="16" t="s">
        <v>197</v>
      </c>
      <c r="Q251" s="16" t="s">
        <v>35</v>
      </c>
      <c r="S251" s="16" t="s">
        <v>269</v>
      </c>
      <c r="T251" s="237"/>
      <c r="U251" s="213"/>
      <c r="V251" s="54"/>
      <c r="W251" s="54">
        <v>65000000</v>
      </c>
      <c r="X251" s="226">
        <v>0.2</v>
      </c>
      <c r="Y251" s="55">
        <f t="shared" si="158"/>
        <v>52000000</v>
      </c>
      <c r="Z251" s="274">
        <f t="shared" si="159"/>
        <v>52000000</v>
      </c>
      <c r="AA251" s="183" t="e">
        <f t="shared" ca="1" si="160"/>
        <v>#NAME?</v>
      </c>
      <c r="AB251" s="16" t="s">
        <v>36</v>
      </c>
      <c r="AC251" s="16" t="s">
        <v>179</v>
      </c>
      <c r="AD251" s="16" t="s">
        <v>38</v>
      </c>
      <c r="AE251" s="16" t="s">
        <v>227</v>
      </c>
      <c r="AF251" s="16" t="s">
        <v>181</v>
      </c>
      <c r="AG251" s="16" t="s">
        <v>181</v>
      </c>
      <c r="AH251" s="16" t="s">
        <v>190</v>
      </c>
      <c r="AI251" s="54"/>
      <c r="AJ251" s="278">
        <v>1735000000000</v>
      </c>
      <c r="AK251" s="224" t="e">
        <f t="shared" ca="1" si="161"/>
        <v>#NAME?</v>
      </c>
      <c r="AL251" s="278">
        <v>1735000000000</v>
      </c>
      <c r="AM251" s="224" t="e">
        <f t="shared" ca="1" si="162"/>
        <v>#NAME?</v>
      </c>
      <c r="AN251" s="278">
        <v>0.19</v>
      </c>
      <c r="AO251" s="185" t="e">
        <f t="shared" ca="1" si="63"/>
        <v>#NAME?</v>
      </c>
      <c r="AP251" s="185" t="s">
        <v>264</v>
      </c>
      <c r="AQ251" s="16" t="s">
        <v>181</v>
      </c>
      <c r="AR251" s="16" t="s">
        <v>181</v>
      </c>
      <c r="AS251" s="16" t="s">
        <v>42</v>
      </c>
      <c r="AT251" s="159"/>
      <c r="AU251" s="159"/>
      <c r="AV251" s="16" t="s">
        <v>190</v>
      </c>
      <c r="AW251" s="16" t="s">
        <v>190</v>
      </c>
      <c r="AX251" s="16" t="s">
        <v>227</v>
      </c>
      <c r="AY251" s="16" t="s">
        <v>227</v>
      </c>
      <c r="AZ251" s="54">
        <v>6624934</v>
      </c>
      <c r="BA251" s="55" t="e">
        <f t="shared" ca="1" si="163"/>
        <v>#NAME?</v>
      </c>
      <c r="BB251" s="278">
        <v>75739</v>
      </c>
      <c r="BC251" s="278">
        <v>4035000</v>
      </c>
      <c r="BD251" s="62" t="e">
        <f t="shared" ca="1" si="164"/>
        <v>#NAME?</v>
      </c>
      <c r="BE251" s="277">
        <f t="shared" si="165"/>
        <v>1.8770508054522926E-2</v>
      </c>
      <c r="BF251" s="62" t="e">
        <f t="shared" ca="1" si="166"/>
        <v>#NAME?</v>
      </c>
      <c r="BG251" s="16" t="s">
        <v>202</v>
      </c>
      <c r="BI251" s="16" t="s">
        <v>190</v>
      </c>
      <c r="BJ251" s="16">
        <v>0</v>
      </c>
      <c r="BK251" s="278">
        <v>3</v>
      </c>
      <c r="BL251" s="16" t="s">
        <v>227</v>
      </c>
      <c r="BM251" s="16" t="s">
        <v>190</v>
      </c>
      <c r="BN251" s="16" t="s">
        <v>190</v>
      </c>
      <c r="BO251" s="16" t="s">
        <v>190</v>
      </c>
      <c r="BP251" s="16">
        <v>7</v>
      </c>
      <c r="BQ251" s="16">
        <v>20</v>
      </c>
      <c r="BR251" s="16">
        <v>0</v>
      </c>
      <c r="BS251" s="16">
        <v>0</v>
      </c>
      <c r="BT251" s="205"/>
      <c r="BU251" s="16">
        <v>6</v>
      </c>
      <c r="BV251" s="16">
        <v>0</v>
      </c>
      <c r="BW251" s="16">
        <v>42</v>
      </c>
      <c r="BX251" s="16" t="s">
        <v>190</v>
      </c>
      <c r="BY251" s="205"/>
      <c r="BZ251" s="16">
        <v>12</v>
      </c>
      <c r="CA251" s="16">
        <v>1</v>
      </c>
      <c r="CB251" s="16">
        <v>48</v>
      </c>
      <c r="CC251" s="16" t="s">
        <v>227</v>
      </c>
      <c r="CD251" s="205"/>
      <c r="CE251" s="16">
        <v>3</v>
      </c>
      <c r="CF251" s="16">
        <v>0</v>
      </c>
      <c r="CG251" s="16">
        <v>37</v>
      </c>
      <c r="CH251" s="16" t="s">
        <v>190</v>
      </c>
      <c r="CI251" s="205"/>
      <c r="CN251" s="205"/>
      <c r="CS251" s="205"/>
      <c r="CX251" s="205"/>
      <c r="DC251" s="205"/>
      <c r="DH251" s="205"/>
      <c r="DM251" s="205"/>
      <c r="DN251" s="205"/>
      <c r="DO251" s="205"/>
      <c r="DQ251" s="206"/>
      <c r="DR251" s="188">
        <f t="shared" si="64"/>
        <v>7</v>
      </c>
      <c r="DS251" s="188"/>
      <c r="DT251" s="189">
        <f t="shared" si="65"/>
        <v>1</v>
      </c>
      <c r="DU251" s="189"/>
      <c r="DV251" s="188">
        <f t="shared" si="66"/>
        <v>42.333333333333336</v>
      </c>
      <c r="DW251" s="183" t="e">
        <f t="shared" ca="1" si="67"/>
        <v>#NAME?</v>
      </c>
      <c r="DX251" s="207"/>
      <c r="DY251" s="190" t="e">
        <f t="shared" ca="1" si="68"/>
        <v>#NAME?</v>
      </c>
      <c r="DZ251" s="191">
        <f t="shared" si="338"/>
        <v>3.1052631578947367</v>
      </c>
      <c r="EA251" s="191" t="str">
        <f t="shared" si="339"/>
        <v/>
      </c>
      <c r="EB251" s="191" t="str">
        <f t="shared" si="340"/>
        <v/>
      </c>
      <c r="EC251" s="208" t="e">
        <f t="shared" ca="1" si="72"/>
        <v>#NAME?</v>
      </c>
      <c r="ED251" s="36" t="str">
        <f t="shared" si="73"/>
        <v>SAFE</v>
      </c>
      <c r="EE251" s="193">
        <f>COUNTIF($ED$2:$ED$92, ED251)/(COUNTIF($ED$2:$ED$92, "&lt;&gt;""") - COUNTIF($ED$2:$ED$92, ""))</f>
        <v>0.37777777777777777</v>
      </c>
      <c r="EF251" s="36" t="str">
        <f t="shared" si="74"/>
        <v>Growth</v>
      </c>
      <c r="EG251" s="207"/>
      <c r="EH251" s="194" t="e">
        <f t="shared" ca="1" si="75"/>
        <v>#NAME?</v>
      </c>
      <c r="EI251" s="194" t="e">
        <f t="shared" ca="1" si="76"/>
        <v>#NAME?</v>
      </c>
      <c r="EJ251" s="209" t="e">
        <f t="shared" ca="1" si="77"/>
        <v>#NAME?</v>
      </c>
      <c r="EK251" s="208" t="e">
        <f t="shared" ca="1" si="341"/>
        <v>#NAME?</v>
      </c>
      <c r="EL251" s="36" t="str">
        <f t="shared" si="79"/>
        <v>No</v>
      </c>
      <c r="EM251" s="207"/>
      <c r="EN251" s="192">
        <f t="shared" si="342"/>
        <v>1.6666666666666665</v>
      </c>
      <c r="EO251" s="192">
        <f t="shared" si="343"/>
        <v>2</v>
      </c>
      <c r="EP251" s="209">
        <f t="shared" si="82"/>
        <v>3.6666666666666665</v>
      </c>
      <c r="EQ251" s="210">
        <f t="shared" si="344"/>
        <v>2.3084112149532707</v>
      </c>
      <c r="ER251" s="36" t="e">
        <f t="shared" ca="1" si="84"/>
        <v>#NAME?</v>
      </c>
      <c r="ES251" s="40">
        <f ca="1">COUNTIF($ER$2:$ER$92, ER251)/(COUNTIF($ER$2:$ER$92, "&lt;&gt;""") - COUNTIF($ER$2:$ER$92, ""))</f>
        <v>1</v>
      </c>
      <c r="ET251" s="36">
        <f t="shared" si="85"/>
        <v>3</v>
      </c>
      <c r="EU251" s="40">
        <f>COUNTIF($ET$2:$ET$92, ET251)/(COUNTIF($ET$2:$ET$92, "&lt;&gt;""") - COUNTIF($ET$2:$ET$92, ""))</f>
        <v>4.4444444444444446E-2</v>
      </c>
      <c r="EV251" s="36">
        <f t="shared" si="86"/>
        <v>20</v>
      </c>
      <c r="EW251" s="40">
        <f>COUNTIF($EV$2:$EV$92, EV251)/(COUNTIF($EV$2:$EV$92, "&lt;&gt;""") - COUNTIF($EV$2:$EV$92, ""))</f>
        <v>2.2222222222222223E-2</v>
      </c>
      <c r="EX251" s="36" t="str">
        <f t="shared" si="87"/>
        <v>Yes</v>
      </c>
      <c r="EY251" s="40">
        <f>COUNTIF($EX$2:$EX$92, EX251)/(COUNTIF($EX$2:$EX$92, "&lt;&gt;""") - COUNTIF($EX$2:$EX$92, ""))</f>
        <v>0.27777777777777779</v>
      </c>
      <c r="EZ251" s="36" t="str">
        <f t="shared" ref="EZ251:FB251" si="394">BM251</f>
        <v>No</v>
      </c>
      <c r="FA251" s="36" t="str">
        <f t="shared" si="394"/>
        <v>No</v>
      </c>
      <c r="FB251" s="36" t="str">
        <f t="shared" si="394"/>
        <v>No</v>
      </c>
      <c r="FC251" s="207"/>
      <c r="FD251" s="36" t="str">
        <f t="shared" si="89"/>
        <v>Transactional</v>
      </c>
      <c r="FE251" s="40">
        <f>COUNTIF($FD$2:$FD$92, FD251)/(COUNTIF($FD$2:$FD$92, "&lt;&gt;""") - COUNTIF($FD$2:$FD$92, ""))</f>
        <v>0.6</v>
      </c>
      <c r="FF251" s="36" t="str">
        <f t="shared" si="90"/>
        <v>B2C</v>
      </c>
      <c r="FG251" s="40">
        <f>COUNTIF($FF$2:$FF$92, FF251)/(COUNTIF($FF$2:$FF$92, "&lt;&gt;""") - COUNTIF($FF$2:$FF$92, ""))</f>
        <v>0.41111111111111109</v>
      </c>
      <c r="FH251" s="36" t="str">
        <f t="shared" si="91"/>
        <v>Low</v>
      </c>
      <c r="FI251" s="40">
        <f>COUNTIF($FH$2:$FH$92, FH251)/(COUNTIF($FH$2:$FH$92, "&lt;&gt;""") - COUNTIF($FH$2:$FH$92, ""))</f>
        <v>0.46666666666666667</v>
      </c>
      <c r="FJ251" s="36" t="str">
        <f t="shared" si="92"/>
        <v>Low</v>
      </c>
      <c r="FK251" s="40">
        <f>COUNTIF($FJ$2:$FJ$92, FJ251)/(COUNTIF($FJ$2:$FJ$92, "&lt;&gt;""") - COUNTIF($FJ$2:$FJ$92, ""))</f>
        <v>0.41111111111111109</v>
      </c>
      <c r="FL251" s="207"/>
      <c r="FM251" s="192">
        <f t="shared" si="93"/>
        <v>5</v>
      </c>
      <c r="FN251" s="192" t="e">
        <f t="shared" ca="1" si="94"/>
        <v>#NAME?</v>
      </c>
      <c r="FO251" s="192" t="e">
        <f t="shared" ca="1" si="95"/>
        <v>#NAME?</v>
      </c>
      <c r="FP251" s="192" t="e">
        <f t="shared" ca="1" si="96"/>
        <v>#NAME?</v>
      </c>
      <c r="FQ251" s="209" t="e">
        <f t="shared" ca="1" si="97"/>
        <v>#NAME?</v>
      </c>
      <c r="FR251" s="208" t="e">
        <f t="shared" ca="1" si="346"/>
        <v>#NAME?</v>
      </c>
      <c r="FS251" s="36" t="str">
        <f t="shared" si="99"/>
        <v>Pre-Profit</v>
      </c>
      <c r="FT251" s="196">
        <f>COUNTIF($FS$2:$FS$92, FS251)/(COUNTIF($FS$2:$FS$92, "&lt;&gt;""") - COUNTIF($FZ$2:$FZ$92, ""))</f>
        <v>0.51111111111111107</v>
      </c>
      <c r="FU251" s="207"/>
      <c r="FV251" s="192" t="e">
        <f t="shared" ca="1" si="100"/>
        <v>#NAME?</v>
      </c>
      <c r="FW251" s="197" t="e">
        <f t="shared" ca="1" si="101"/>
        <v>#NAME?</v>
      </c>
      <c r="FX251" s="209" t="e">
        <f t="shared" ca="1" si="102"/>
        <v>#NAME?</v>
      </c>
      <c r="FY251" s="211" t="e">
        <f t="shared" ca="1" si="347"/>
        <v>#NAME?</v>
      </c>
      <c r="FZ251" s="36" t="str">
        <f t="shared" si="104"/>
        <v>No</v>
      </c>
      <c r="GA251" s="196">
        <f>COUNTIF($FZ$2:$FZ$92, FZ251)/(COUNTIF($FZ$2:$FZ$92, "&lt;&gt;""") - COUNTIF($FZ$2:$FZ$92, ""))</f>
        <v>0.76666666666666672</v>
      </c>
      <c r="GB251" s="196">
        <f t="shared" si="105"/>
        <v>0</v>
      </c>
      <c r="GC251" s="196">
        <f>COUNTIF($GB$2:$GB$92, GB251)/(COUNTIF($GB$2:$GB$92, "&lt;&gt;""") - COUNTIF($GB$2:$GB$92, ""))</f>
        <v>1.1111111111111112E-2</v>
      </c>
      <c r="GD251" s="196">
        <f t="shared" si="106"/>
        <v>0</v>
      </c>
      <c r="GE251" s="196">
        <f>COUNTIF($GD$2:$GD$92, GD251)/(COUNTIF($GD$2:$GD$92, "&lt;&gt;""") - COUNTIF($GD$2:$GD$92, ""))</f>
        <v>1.1111111111111112E-2</v>
      </c>
      <c r="GF251" s="207"/>
      <c r="GG251" s="36"/>
      <c r="GH251" s="209" t="e">
        <f t="shared" ca="1" si="107"/>
        <v>#NAME?</v>
      </c>
      <c r="GI251" s="212" t="e">
        <f t="shared" ca="1" si="348"/>
        <v>#NAME?</v>
      </c>
    </row>
    <row r="252" spans="1:191" ht="15.75" customHeight="1">
      <c r="A252" s="171"/>
      <c r="B252" s="171" t="s">
        <v>501</v>
      </c>
      <c r="C252" s="16">
        <v>1798296</v>
      </c>
      <c r="D252" s="233" t="s">
        <v>1775</v>
      </c>
      <c r="E252" s="270">
        <v>43858.810416666667</v>
      </c>
      <c r="F252" s="16" t="s">
        <v>281</v>
      </c>
      <c r="G252" s="235" t="s">
        <v>1776</v>
      </c>
      <c r="H252" s="235" t="s">
        <v>1777</v>
      </c>
      <c r="I252" s="271">
        <v>43853</v>
      </c>
      <c r="J252" s="233" t="s">
        <v>1778</v>
      </c>
      <c r="K252" s="233"/>
      <c r="M252" s="29" t="s">
        <v>747</v>
      </c>
      <c r="N252" s="16" t="s">
        <v>324</v>
      </c>
      <c r="O252" s="16" t="s">
        <v>30</v>
      </c>
      <c r="P252" s="16" t="s">
        <v>197</v>
      </c>
      <c r="Q252" s="16" t="s">
        <v>35</v>
      </c>
      <c r="S252" s="16" t="s">
        <v>216</v>
      </c>
      <c r="T252" s="237"/>
      <c r="U252" s="213"/>
      <c r="V252" s="54">
        <v>18350000</v>
      </c>
      <c r="W252" s="54"/>
      <c r="X252" s="226"/>
      <c r="Y252" s="55" t="str">
        <f t="shared" si="158"/>
        <v/>
      </c>
      <c r="Z252" s="274">
        <f t="shared" si="159"/>
        <v>18350000</v>
      </c>
      <c r="AA252" s="183" t="e">
        <f t="shared" ca="1" si="160"/>
        <v>#NAME?</v>
      </c>
      <c r="AB252" s="16" t="s">
        <v>36</v>
      </c>
      <c r="AC252" s="16" t="s">
        <v>218</v>
      </c>
      <c r="AD252" s="16" t="s">
        <v>38</v>
      </c>
      <c r="AE252" s="16" t="s">
        <v>227</v>
      </c>
      <c r="AF252" s="16" t="s">
        <v>39</v>
      </c>
      <c r="AG252" s="16" t="s">
        <v>181</v>
      </c>
      <c r="AH252" s="16" t="s">
        <v>190</v>
      </c>
      <c r="AI252" s="54"/>
      <c r="AJ252" s="278">
        <v>9956000000</v>
      </c>
      <c r="AK252" s="224" t="e">
        <f t="shared" ca="1" si="161"/>
        <v>#NAME?</v>
      </c>
      <c r="AL252" s="278">
        <v>9956000000</v>
      </c>
      <c r="AM252" s="224" t="e">
        <f t="shared" ca="1" si="162"/>
        <v>#NAME?</v>
      </c>
      <c r="AN252" s="278">
        <v>0.09</v>
      </c>
      <c r="AO252" s="185" t="e">
        <f t="shared" ca="1" si="63"/>
        <v>#NAME?</v>
      </c>
      <c r="AP252" s="185" t="s">
        <v>264</v>
      </c>
      <c r="AQ252" s="16" t="s">
        <v>181</v>
      </c>
      <c r="AR252" s="16" t="s">
        <v>181</v>
      </c>
      <c r="AS252" s="16" t="s">
        <v>182</v>
      </c>
      <c r="AT252" s="159"/>
      <c r="AU252" s="159"/>
      <c r="AV252" s="16" t="s">
        <v>190</v>
      </c>
      <c r="AW252" s="16" t="s">
        <v>227</v>
      </c>
      <c r="AX252" s="16" t="s">
        <v>227</v>
      </c>
      <c r="AY252" s="16" t="s">
        <v>227</v>
      </c>
      <c r="AZ252" s="54">
        <v>33600</v>
      </c>
      <c r="BA252" s="55" t="e">
        <f t="shared" ca="1" si="163"/>
        <v>#NAME?</v>
      </c>
      <c r="BB252" s="278">
        <v>83134</v>
      </c>
      <c r="BC252" s="278">
        <v>5831485</v>
      </c>
      <c r="BD252" s="62" t="e">
        <f t="shared" ca="1" si="164"/>
        <v>#NAME?</v>
      </c>
      <c r="BE252" s="277">
        <f t="shared" si="165"/>
        <v>1.4256059991580189E-2</v>
      </c>
      <c r="BF252" s="62" t="e">
        <f t="shared" ca="1" si="166"/>
        <v>#NAME?</v>
      </c>
      <c r="BG252" s="16" t="s">
        <v>202</v>
      </c>
      <c r="BI252" s="16" t="s">
        <v>190</v>
      </c>
      <c r="BJ252" s="16">
        <v>0</v>
      </c>
      <c r="BK252" s="278">
        <v>1</v>
      </c>
      <c r="BL252" s="16" t="s">
        <v>227</v>
      </c>
      <c r="BM252" s="16" t="s">
        <v>227</v>
      </c>
      <c r="BN252" s="16" t="s">
        <v>227</v>
      </c>
      <c r="BO252" s="16" t="s">
        <v>190</v>
      </c>
      <c r="BP252" s="16">
        <v>2</v>
      </c>
      <c r="BQ252" s="16">
        <v>2</v>
      </c>
      <c r="BR252" s="16">
        <v>1</v>
      </c>
      <c r="BS252" s="16">
        <v>0</v>
      </c>
      <c r="BT252" s="205"/>
      <c r="BU252" s="16">
        <v>12</v>
      </c>
      <c r="BV252" s="16">
        <v>0</v>
      </c>
      <c r="BW252" s="16">
        <v>74</v>
      </c>
      <c r="BX252" s="16" t="s">
        <v>227</v>
      </c>
      <c r="BY252" s="205"/>
      <c r="CD252" s="205"/>
      <c r="CI252" s="205"/>
      <c r="CN252" s="205"/>
      <c r="CS252" s="205"/>
      <c r="CX252" s="205"/>
      <c r="DC252" s="205"/>
      <c r="DH252" s="205"/>
      <c r="DM252" s="205"/>
      <c r="DN252" s="205"/>
      <c r="DO252" s="205"/>
      <c r="DQ252" s="206"/>
      <c r="DR252" s="188">
        <f t="shared" si="64"/>
        <v>12</v>
      </c>
      <c r="DS252" s="188"/>
      <c r="DT252" s="189">
        <f t="shared" si="65"/>
        <v>0</v>
      </c>
      <c r="DU252" s="189"/>
      <c r="DV252" s="188">
        <f t="shared" si="66"/>
        <v>74</v>
      </c>
      <c r="DW252" s="183" t="e">
        <f t="shared" ca="1" si="67"/>
        <v>#NAME?</v>
      </c>
      <c r="DX252" s="207"/>
      <c r="DY252" s="190" t="e">
        <f t="shared" ca="1" si="68"/>
        <v>#NAME?</v>
      </c>
      <c r="DZ252" s="191" t="str">
        <f t="shared" si="338"/>
        <v/>
      </c>
      <c r="EA252" s="191" t="str">
        <f t="shared" si="339"/>
        <v/>
      </c>
      <c r="EB252" s="191" t="str">
        <f t="shared" si="340"/>
        <v/>
      </c>
      <c r="EC252" s="208" t="e">
        <f t="shared" ca="1" si="72"/>
        <v>#NAME?</v>
      </c>
      <c r="ED252" s="36" t="str">
        <f t="shared" si="73"/>
        <v>Equity - Common</v>
      </c>
      <c r="EE252" s="193">
        <f>COUNTIF($ED$2:$ED$92, ED252)/(COUNTIF($ED$2:$ED$92, "&lt;&gt;""") - COUNTIF($ED$2:$ED$92, ""))</f>
        <v>0.32222222222222224</v>
      </c>
      <c r="EF252" s="36" t="str">
        <f t="shared" si="74"/>
        <v>Early</v>
      </c>
      <c r="EG252" s="207"/>
      <c r="EH252" s="194" t="e">
        <f t="shared" ca="1" si="75"/>
        <v>#NAME?</v>
      </c>
      <c r="EI252" s="194" t="e">
        <f t="shared" ca="1" si="76"/>
        <v>#NAME?</v>
      </c>
      <c r="EJ252" s="209" t="e">
        <f t="shared" ca="1" si="77"/>
        <v>#NAME?</v>
      </c>
      <c r="EK252" s="208" t="e">
        <f t="shared" ca="1" si="341"/>
        <v>#NAME?</v>
      </c>
      <c r="EL252" s="36" t="str">
        <f t="shared" si="79"/>
        <v>No</v>
      </c>
      <c r="EM252" s="207"/>
      <c r="EN252" s="192">
        <f t="shared" si="342"/>
        <v>2.1428571428571428</v>
      </c>
      <c r="EO252" s="192">
        <f t="shared" si="343"/>
        <v>1</v>
      </c>
      <c r="EP252" s="209">
        <f t="shared" si="82"/>
        <v>3.1428571428571428</v>
      </c>
      <c r="EQ252" s="210">
        <f t="shared" si="344"/>
        <v>1.8971962616822431</v>
      </c>
      <c r="ER252" s="36" t="e">
        <f t="shared" ca="1" si="84"/>
        <v>#NAME?</v>
      </c>
      <c r="ES252" s="40">
        <f ca="1">COUNTIF($ER$2:$ER$92, ER252)/(COUNTIF($ER$2:$ER$92, "&lt;&gt;""") - COUNTIF($ER$2:$ER$92, ""))</f>
        <v>1</v>
      </c>
      <c r="ET252" s="36">
        <f t="shared" si="85"/>
        <v>1</v>
      </c>
      <c r="EU252" s="40">
        <f>COUNTIF($ET$2:$ET$92, ET252)/(COUNTIF($ET$2:$ET$92, "&lt;&gt;""") - COUNTIF($ET$2:$ET$92, ""))</f>
        <v>0.45555555555555555</v>
      </c>
      <c r="EV252" s="36">
        <f t="shared" si="86"/>
        <v>2</v>
      </c>
      <c r="EW252" s="40">
        <f>COUNTIF($EV$2:$EV$92, EV252)/(COUNTIF($EV$2:$EV$92, "&lt;&gt;""") - COUNTIF($EV$2:$EV$92, ""))</f>
        <v>0.15555555555555556</v>
      </c>
      <c r="EX252" s="36" t="str">
        <f t="shared" si="87"/>
        <v>Yes</v>
      </c>
      <c r="EY252" s="40">
        <f>COUNTIF($EX$2:$EX$92, EX252)/(COUNTIF($EX$2:$EX$92, "&lt;&gt;""") - COUNTIF($EX$2:$EX$92, ""))</f>
        <v>0.27777777777777779</v>
      </c>
      <c r="EZ252" s="36" t="str">
        <f t="shared" ref="EZ252:FB252" si="395">BM252</f>
        <v>Yes</v>
      </c>
      <c r="FA252" s="36" t="str">
        <f t="shared" si="395"/>
        <v>Yes</v>
      </c>
      <c r="FB252" s="36" t="str">
        <f t="shared" si="395"/>
        <v>No</v>
      </c>
      <c r="FC252" s="207"/>
      <c r="FD252" s="36" t="str">
        <f t="shared" si="89"/>
        <v>Transactional</v>
      </c>
      <c r="FE252" s="40">
        <f>COUNTIF($FD$2:$FD$92, FD252)/(COUNTIF($FD$2:$FD$92, "&lt;&gt;""") - COUNTIF($FD$2:$FD$92, ""))</f>
        <v>0.6</v>
      </c>
      <c r="FF252" s="36" t="str">
        <f t="shared" si="90"/>
        <v>B2B/B2C</v>
      </c>
      <c r="FG252" s="40">
        <f>COUNTIF($FF$2:$FF$92, FF252)/(COUNTIF($FF$2:$FF$92, "&lt;&gt;""") - COUNTIF($FF$2:$FF$92, ""))</f>
        <v>0.27777777777777779</v>
      </c>
      <c r="FH252" s="36" t="str">
        <f t="shared" si="91"/>
        <v>High</v>
      </c>
      <c r="FI252" s="40">
        <f>COUNTIF($FH$2:$FH$92, FH252)/(COUNTIF($FH$2:$FH$92, "&lt;&gt;""") - COUNTIF($FH$2:$FH$92, ""))</f>
        <v>0.53333333333333333</v>
      </c>
      <c r="FJ252" s="36" t="str">
        <f t="shared" si="92"/>
        <v>Low</v>
      </c>
      <c r="FK252" s="40">
        <f>COUNTIF($FJ$2:$FJ$92, FJ252)/(COUNTIF($FJ$2:$FJ$92, "&lt;&gt;""") - COUNTIF($FJ$2:$FJ$92, ""))</f>
        <v>0.41111111111111109</v>
      </c>
      <c r="FL252" s="207"/>
      <c r="FM252" s="192">
        <f t="shared" si="93"/>
        <v>5</v>
      </c>
      <c r="FN252" s="192" t="e">
        <f t="shared" ca="1" si="94"/>
        <v>#NAME?</v>
      </c>
      <c r="FO252" s="192" t="e">
        <f t="shared" ca="1" si="95"/>
        <v>#NAME?</v>
      </c>
      <c r="FP252" s="192" t="e">
        <f t="shared" ca="1" si="96"/>
        <v>#NAME?</v>
      </c>
      <c r="FQ252" s="209" t="e">
        <f t="shared" ca="1" si="97"/>
        <v>#NAME?</v>
      </c>
      <c r="FR252" s="208" t="e">
        <f t="shared" ca="1" si="346"/>
        <v>#NAME?</v>
      </c>
      <c r="FS252" s="36" t="str">
        <f t="shared" si="99"/>
        <v>Pre-Profit</v>
      </c>
      <c r="FT252" s="196">
        <f>COUNTIF($FS$2:$FS$92, FS252)/(COUNTIF($FS$2:$FS$92, "&lt;&gt;""") - COUNTIF($FZ$2:$FZ$92, ""))</f>
        <v>0.51111111111111107</v>
      </c>
      <c r="FU252" s="207"/>
      <c r="FV252" s="192" t="e">
        <f t="shared" ca="1" si="100"/>
        <v>#NAME?</v>
      </c>
      <c r="FW252" s="197" t="e">
        <f t="shared" ca="1" si="101"/>
        <v>#NAME?</v>
      </c>
      <c r="FX252" s="209" t="e">
        <f t="shared" ca="1" si="102"/>
        <v>#NAME?</v>
      </c>
      <c r="FY252" s="211" t="e">
        <f t="shared" ca="1" si="347"/>
        <v>#NAME?</v>
      </c>
      <c r="FZ252" s="36" t="str">
        <f t="shared" si="104"/>
        <v>Yes</v>
      </c>
      <c r="GA252" s="196">
        <f>COUNTIF($FZ$2:$FZ$92, FZ252)/(COUNTIF($FZ$2:$FZ$92, "&lt;&gt;""") - COUNTIF($FZ$2:$FZ$92, ""))</f>
        <v>0.23333333333333334</v>
      </c>
      <c r="GB252" s="196">
        <f t="shared" si="105"/>
        <v>0</v>
      </c>
      <c r="GC252" s="196">
        <f>COUNTIF($GB$2:$GB$92, GB252)/(COUNTIF($GB$2:$GB$92, "&lt;&gt;""") - COUNTIF($GB$2:$GB$92, ""))</f>
        <v>1.1111111111111112E-2</v>
      </c>
      <c r="GD252" s="196">
        <f t="shared" si="106"/>
        <v>0</v>
      </c>
      <c r="GE252" s="196">
        <f>COUNTIF($GD$2:$GD$92, GD252)/(COUNTIF($GD$2:$GD$92, "&lt;&gt;""") - COUNTIF($GD$2:$GD$92, ""))</f>
        <v>1.1111111111111112E-2</v>
      </c>
      <c r="GF252" s="207"/>
      <c r="GG252" s="36"/>
      <c r="GH252" s="209" t="e">
        <f t="shared" ca="1" si="107"/>
        <v>#NAME?</v>
      </c>
      <c r="GI252" s="212" t="e">
        <f t="shared" ca="1" si="348"/>
        <v>#NAME?</v>
      </c>
    </row>
    <row r="253" spans="1:191" ht="15.75" customHeight="1">
      <c r="A253" s="171"/>
      <c r="B253" s="171" t="s">
        <v>501</v>
      </c>
      <c r="C253" s="16">
        <v>1737259</v>
      </c>
      <c r="D253" s="233" t="s">
        <v>1779</v>
      </c>
      <c r="E253" s="270">
        <v>43858.813194444447</v>
      </c>
      <c r="F253" s="16" t="s">
        <v>281</v>
      </c>
      <c r="G253" s="235" t="s">
        <v>1780</v>
      </c>
      <c r="H253" s="235" t="s">
        <v>1781</v>
      </c>
      <c r="I253" s="271">
        <v>43851</v>
      </c>
      <c r="J253" s="233" t="s">
        <v>1782</v>
      </c>
      <c r="K253" s="233" t="s">
        <v>1779</v>
      </c>
      <c r="M253" s="239" t="s">
        <v>28</v>
      </c>
      <c r="N253" s="16" t="s">
        <v>168</v>
      </c>
      <c r="O253" s="16" t="s">
        <v>30</v>
      </c>
      <c r="P253" s="16" t="s">
        <v>174</v>
      </c>
      <c r="Q253" s="16" t="s">
        <v>35</v>
      </c>
      <c r="R253" s="16" t="s">
        <v>199</v>
      </c>
      <c r="S253" s="16" t="s">
        <v>216</v>
      </c>
      <c r="T253" s="237"/>
      <c r="U253" s="213"/>
      <c r="V253" s="54">
        <v>10000000</v>
      </c>
      <c r="W253" s="54"/>
      <c r="X253" s="226"/>
      <c r="Y253" s="55" t="str">
        <f t="shared" si="158"/>
        <v/>
      </c>
      <c r="Z253" s="274">
        <f t="shared" si="159"/>
        <v>10000000</v>
      </c>
      <c r="AA253" s="183" t="e">
        <f t="shared" ca="1" si="160"/>
        <v>#NAME?</v>
      </c>
      <c r="AB253" s="16" t="s">
        <v>36</v>
      </c>
      <c r="AC253" s="16" t="s">
        <v>37</v>
      </c>
      <c r="AD253" s="16" t="s">
        <v>38</v>
      </c>
      <c r="AE253" s="16" t="s">
        <v>227</v>
      </c>
      <c r="AF253" s="16" t="s">
        <v>181</v>
      </c>
      <c r="AG253" s="16" t="s">
        <v>181</v>
      </c>
      <c r="AH253" s="16" t="s">
        <v>190</v>
      </c>
      <c r="AI253" s="54"/>
      <c r="AJ253" s="278">
        <v>139500000000</v>
      </c>
      <c r="AK253" s="224" t="e">
        <f t="shared" ca="1" si="161"/>
        <v>#NAME?</v>
      </c>
      <c r="AL253" s="278">
        <v>139500000000</v>
      </c>
      <c r="AM253" s="224" t="e">
        <f t="shared" ca="1" si="162"/>
        <v>#NAME?</v>
      </c>
      <c r="AN253" s="278">
        <v>0.05</v>
      </c>
      <c r="AO253" s="185" t="e">
        <f t="shared" ca="1" si="63"/>
        <v>#NAME?</v>
      </c>
      <c r="AP253" s="185" t="s">
        <v>264</v>
      </c>
      <c r="AQ253" s="16" t="s">
        <v>181</v>
      </c>
      <c r="AR253" s="16" t="s">
        <v>181</v>
      </c>
      <c r="AS253" s="16" t="s">
        <v>42</v>
      </c>
      <c r="AT253" s="159"/>
      <c r="AU253" s="159"/>
      <c r="AV253" s="16" t="s">
        <v>190</v>
      </c>
      <c r="AW253" s="16" t="s">
        <v>190</v>
      </c>
      <c r="AX253" s="16" t="s">
        <v>227</v>
      </c>
      <c r="AY253" s="16" t="s">
        <v>227</v>
      </c>
      <c r="AZ253" s="54">
        <v>2400</v>
      </c>
      <c r="BA253" s="55" t="e">
        <f t="shared" ca="1" si="163"/>
        <v>#NAME?</v>
      </c>
      <c r="BB253" s="278">
        <v>1173</v>
      </c>
      <c r="BC253" s="278">
        <v>86793</v>
      </c>
      <c r="BD253" s="62" t="e">
        <f t="shared" ca="1" si="164"/>
        <v>#NAME?</v>
      </c>
      <c r="BE253" s="277">
        <f t="shared" si="165"/>
        <v>1.3514914797276277E-2</v>
      </c>
      <c r="BF253" s="62" t="e">
        <f t="shared" ca="1" si="166"/>
        <v>#NAME?</v>
      </c>
      <c r="BG253" s="16" t="s">
        <v>202</v>
      </c>
      <c r="BI253" s="16" t="s">
        <v>227</v>
      </c>
      <c r="BJ253" s="16">
        <v>0</v>
      </c>
      <c r="BK253" s="278">
        <v>1</v>
      </c>
      <c r="BL253" s="16" t="s">
        <v>190</v>
      </c>
      <c r="BM253" s="16" t="s">
        <v>227</v>
      </c>
      <c r="BN253" s="16" t="s">
        <v>190</v>
      </c>
      <c r="BO253" s="16" t="s">
        <v>190</v>
      </c>
      <c r="BP253" s="16">
        <v>0</v>
      </c>
      <c r="BQ253" s="16">
        <v>1</v>
      </c>
      <c r="BR253" s="16">
        <v>0</v>
      </c>
      <c r="BS253" s="16">
        <v>0</v>
      </c>
      <c r="BT253" s="205"/>
      <c r="BU253" s="16">
        <v>0</v>
      </c>
      <c r="BV253" s="16">
        <v>0</v>
      </c>
      <c r="BW253" s="16">
        <v>42</v>
      </c>
      <c r="BX253" s="16" t="s">
        <v>190</v>
      </c>
      <c r="BY253" s="205"/>
      <c r="CD253" s="205"/>
      <c r="CI253" s="205"/>
      <c r="CN253" s="205"/>
      <c r="CS253" s="205"/>
      <c r="CX253" s="205"/>
      <c r="DC253" s="205"/>
      <c r="DH253" s="205"/>
      <c r="DM253" s="205"/>
      <c r="DN253" s="205"/>
      <c r="DO253" s="205"/>
      <c r="DQ253" s="206"/>
      <c r="DR253" s="188">
        <f t="shared" si="64"/>
        <v>0</v>
      </c>
      <c r="DS253" s="188"/>
      <c r="DT253" s="189">
        <f t="shared" si="65"/>
        <v>0</v>
      </c>
      <c r="DU253" s="189"/>
      <c r="DV253" s="188">
        <f t="shared" si="66"/>
        <v>42</v>
      </c>
      <c r="DW253" s="183" t="e">
        <f t="shared" ca="1" si="67"/>
        <v>#NAME?</v>
      </c>
      <c r="DX253" s="207"/>
      <c r="DY253" s="190" t="e">
        <f t="shared" ca="1" si="68"/>
        <v>#NAME?</v>
      </c>
      <c r="DZ253" s="191" t="str">
        <f t="shared" si="338"/>
        <v/>
      </c>
      <c r="EA253" s="191" t="str">
        <f t="shared" si="339"/>
        <v/>
      </c>
      <c r="EB253" s="191" t="str">
        <f t="shared" si="340"/>
        <v/>
      </c>
      <c r="EC253" s="208" t="e">
        <f t="shared" ca="1" si="72"/>
        <v>#NAME?</v>
      </c>
      <c r="ED253" s="36" t="str">
        <f t="shared" si="73"/>
        <v>Equity - Common</v>
      </c>
      <c r="EE253" s="193">
        <f>COUNTIF($ED$2:$ED$92, ED253)/(COUNTIF($ED$2:$ED$92, "&lt;&gt;""") - COUNTIF($ED$2:$ED$92, ""))</f>
        <v>0.32222222222222224</v>
      </c>
      <c r="EF253" s="36" t="str">
        <f t="shared" si="74"/>
        <v>Early</v>
      </c>
      <c r="EG253" s="207"/>
      <c r="EH253" s="194" t="e">
        <f t="shared" ca="1" si="75"/>
        <v>#NAME?</v>
      </c>
      <c r="EI253" s="194" t="e">
        <f t="shared" ca="1" si="76"/>
        <v>#NAME?</v>
      </c>
      <c r="EJ253" s="209" t="e">
        <f t="shared" ca="1" si="77"/>
        <v>#NAME?</v>
      </c>
      <c r="EK253" s="208" t="e">
        <f t="shared" ca="1" si="341"/>
        <v>#NAME?</v>
      </c>
      <c r="EL253" s="36" t="str">
        <f t="shared" si="79"/>
        <v>No</v>
      </c>
      <c r="EM253" s="207"/>
      <c r="EN253" s="192">
        <f t="shared" si="342"/>
        <v>1</v>
      </c>
      <c r="EO253" s="192">
        <f t="shared" si="343"/>
        <v>1</v>
      </c>
      <c r="EP253" s="209">
        <f t="shared" si="82"/>
        <v>2</v>
      </c>
      <c r="EQ253" s="210">
        <f t="shared" si="344"/>
        <v>1</v>
      </c>
      <c r="ER253" s="36" t="e">
        <f t="shared" ca="1" si="84"/>
        <v>#NAME?</v>
      </c>
      <c r="ES253" s="40">
        <f ca="1">COUNTIF($ER$2:$ER$92, ER253)/(COUNTIF($ER$2:$ER$92, "&lt;&gt;""") - COUNTIF($ER$2:$ER$92, ""))</f>
        <v>1</v>
      </c>
      <c r="ET253" s="36">
        <f t="shared" si="85"/>
        <v>1</v>
      </c>
      <c r="EU253" s="40">
        <f>COUNTIF($ET$2:$ET$92, ET253)/(COUNTIF($ET$2:$ET$92, "&lt;&gt;""") - COUNTIF($ET$2:$ET$92, ""))</f>
        <v>0.45555555555555555</v>
      </c>
      <c r="EV253" s="36">
        <f t="shared" si="86"/>
        <v>1</v>
      </c>
      <c r="EW253" s="40">
        <f>COUNTIF($EV$2:$EV$92, EV253)/(COUNTIF($EV$2:$EV$92, "&lt;&gt;""") - COUNTIF($EV$2:$EV$92, ""))</f>
        <v>7.7777777777777779E-2</v>
      </c>
      <c r="EX253" s="36" t="str">
        <f t="shared" si="87"/>
        <v>No</v>
      </c>
      <c r="EY253" s="40">
        <f>COUNTIF($EX$2:$EX$92, EX253)/(COUNTIF($EX$2:$EX$92, "&lt;&gt;""") - COUNTIF($EX$2:$EX$92, ""))</f>
        <v>0.72222222222222221</v>
      </c>
      <c r="EZ253" s="36" t="str">
        <f t="shared" ref="EZ253:FB253" si="396">BM253</f>
        <v>Yes</v>
      </c>
      <c r="FA253" s="36" t="str">
        <f t="shared" si="396"/>
        <v>No</v>
      </c>
      <c r="FB253" s="36" t="str">
        <f t="shared" si="396"/>
        <v>No</v>
      </c>
      <c r="FC253" s="207"/>
      <c r="FD253" s="36" t="str">
        <f t="shared" si="89"/>
        <v>Transactional</v>
      </c>
      <c r="FE253" s="40">
        <f>COUNTIF($FD$2:$FD$92, FD253)/(COUNTIF($FD$2:$FD$92, "&lt;&gt;""") - COUNTIF($FD$2:$FD$92, ""))</f>
        <v>0.6</v>
      </c>
      <c r="FF253" s="36" t="str">
        <f t="shared" si="90"/>
        <v>B2B</v>
      </c>
      <c r="FG253" s="40">
        <f>COUNTIF($FF$2:$FF$92, FF253)/(COUNTIF($FF$2:$FF$92, "&lt;&gt;""") - COUNTIF($FF$2:$FF$92, ""))</f>
        <v>0.24444444444444444</v>
      </c>
      <c r="FH253" s="36" t="str">
        <f t="shared" si="91"/>
        <v>Low</v>
      </c>
      <c r="FI253" s="40">
        <f>COUNTIF($FH$2:$FH$92, FH253)/(COUNTIF($FH$2:$FH$92, "&lt;&gt;""") - COUNTIF($FH$2:$FH$92, ""))</f>
        <v>0.46666666666666667</v>
      </c>
      <c r="FJ253" s="36" t="str">
        <f t="shared" si="92"/>
        <v>Low</v>
      </c>
      <c r="FK253" s="40">
        <f>COUNTIF($FJ$2:$FJ$92, FJ253)/(COUNTIF($FJ$2:$FJ$92, "&lt;&gt;""") - COUNTIF($FJ$2:$FJ$92, ""))</f>
        <v>0.41111111111111109</v>
      </c>
      <c r="FL253" s="207"/>
      <c r="FM253" s="192">
        <f t="shared" si="93"/>
        <v>5</v>
      </c>
      <c r="FN253" s="192" t="e">
        <f t="shared" ca="1" si="94"/>
        <v>#NAME?</v>
      </c>
      <c r="FO253" s="192" t="e">
        <f t="shared" ca="1" si="95"/>
        <v>#NAME?</v>
      </c>
      <c r="FP253" s="192" t="e">
        <f t="shared" ca="1" si="96"/>
        <v>#NAME?</v>
      </c>
      <c r="FQ253" s="209" t="e">
        <f t="shared" ca="1" si="97"/>
        <v>#NAME?</v>
      </c>
      <c r="FR253" s="208" t="e">
        <f t="shared" ca="1" si="346"/>
        <v>#NAME?</v>
      </c>
      <c r="FS253" s="36" t="str">
        <f t="shared" si="99"/>
        <v>Pre-Profit</v>
      </c>
      <c r="FT253" s="196">
        <f>COUNTIF($FS$2:$FS$92, FS253)/(COUNTIF($FS$2:$FS$92, "&lt;&gt;""") - COUNTIF($FZ$2:$FZ$92, ""))</f>
        <v>0.51111111111111107</v>
      </c>
      <c r="FU253" s="207"/>
      <c r="FV253" s="192" t="e">
        <f t="shared" ca="1" si="100"/>
        <v>#NAME?</v>
      </c>
      <c r="FW253" s="197" t="e">
        <f t="shared" ca="1" si="101"/>
        <v>#NAME?</v>
      </c>
      <c r="FX253" s="209" t="e">
        <f t="shared" ca="1" si="102"/>
        <v>#NAME?</v>
      </c>
      <c r="FY253" s="211" t="e">
        <f t="shared" ca="1" si="347"/>
        <v>#NAME?</v>
      </c>
      <c r="FZ253" s="36" t="str">
        <f t="shared" si="104"/>
        <v>No</v>
      </c>
      <c r="GA253" s="196">
        <f>COUNTIF($FZ$2:$FZ$92, FZ253)/(COUNTIF($FZ$2:$FZ$92, "&lt;&gt;""") - COUNTIF($FZ$2:$FZ$92, ""))</f>
        <v>0.76666666666666672</v>
      </c>
      <c r="GB253" s="196">
        <f t="shared" si="105"/>
        <v>0</v>
      </c>
      <c r="GC253" s="196">
        <f>COUNTIF($GB$2:$GB$92, GB253)/(COUNTIF($GB$2:$GB$92, "&lt;&gt;""") - COUNTIF($GB$2:$GB$92, ""))</f>
        <v>1.1111111111111112E-2</v>
      </c>
      <c r="GD253" s="196">
        <f t="shared" si="106"/>
        <v>0</v>
      </c>
      <c r="GE253" s="196">
        <f>COUNTIF($GD$2:$GD$92, GD253)/(COUNTIF($GD$2:$GD$92, "&lt;&gt;""") - COUNTIF($GD$2:$GD$92, ""))</f>
        <v>1.1111111111111112E-2</v>
      </c>
      <c r="GF253" s="207"/>
      <c r="GG253" s="36"/>
      <c r="GH253" s="209" t="e">
        <f t="shared" ca="1" si="107"/>
        <v>#NAME?</v>
      </c>
      <c r="GI253" s="212" t="e">
        <f t="shared" ca="1" si="348"/>
        <v>#NAME?</v>
      </c>
    </row>
    <row r="254" spans="1:191" ht="15.75" customHeight="1">
      <c r="A254" s="171"/>
      <c r="B254" s="171" t="s">
        <v>501</v>
      </c>
      <c r="C254" s="16">
        <v>1796532</v>
      </c>
      <c r="D254" s="233" t="s">
        <v>1783</v>
      </c>
      <c r="E254" s="270">
        <v>43860.509027777778</v>
      </c>
      <c r="F254" s="16" t="s">
        <v>321</v>
      </c>
      <c r="G254" s="235" t="s">
        <v>1784</v>
      </c>
      <c r="H254" s="235" t="s">
        <v>1785</v>
      </c>
      <c r="I254" s="271">
        <v>43853</v>
      </c>
      <c r="J254" s="233" t="s">
        <v>1786</v>
      </c>
      <c r="K254" s="233"/>
      <c r="M254" s="16" t="s">
        <v>986</v>
      </c>
      <c r="N254" s="16" t="s">
        <v>168</v>
      </c>
      <c r="O254" s="16" t="s">
        <v>30</v>
      </c>
      <c r="P254" s="16" t="s">
        <v>31</v>
      </c>
      <c r="Q254" s="16" t="s">
        <v>35</v>
      </c>
      <c r="S254" s="16" t="s">
        <v>269</v>
      </c>
      <c r="T254" s="237"/>
      <c r="U254" s="213"/>
      <c r="V254" s="54"/>
      <c r="W254" s="54">
        <v>2100000</v>
      </c>
      <c r="X254" s="226">
        <v>0.2</v>
      </c>
      <c r="Y254" s="55">
        <f t="shared" si="158"/>
        <v>1680000</v>
      </c>
      <c r="Z254" s="274">
        <f t="shared" si="159"/>
        <v>1680000</v>
      </c>
      <c r="AA254" s="183" t="e">
        <f t="shared" ca="1" si="160"/>
        <v>#NAME?</v>
      </c>
      <c r="AB254" s="16" t="s">
        <v>36</v>
      </c>
      <c r="AC254" s="16" t="s">
        <v>218</v>
      </c>
      <c r="AD254" s="16" t="s">
        <v>38</v>
      </c>
      <c r="AE254" s="16" t="s">
        <v>227</v>
      </c>
      <c r="AF254" s="16" t="s">
        <v>181</v>
      </c>
      <c r="AG254" s="16" t="s">
        <v>181</v>
      </c>
      <c r="AH254" s="16" t="s">
        <v>190</v>
      </c>
      <c r="AI254" s="54"/>
      <c r="AJ254" s="278">
        <v>2400000000</v>
      </c>
      <c r="AK254" s="224" t="e">
        <f t="shared" ca="1" si="161"/>
        <v>#NAME?</v>
      </c>
      <c r="AL254" s="278">
        <v>175000000</v>
      </c>
      <c r="AM254" s="224" t="e">
        <f t="shared" ca="1" si="162"/>
        <v>#NAME?</v>
      </c>
      <c r="AN254" s="278">
        <v>0.06</v>
      </c>
      <c r="AO254" s="185" t="e">
        <f t="shared" ca="1" si="63"/>
        <v>#NAME?</v>
      </c>
      <c r="AP254" s="185" t="s">
        <v>252</v>
      </c>
      <c r="AQ254" s="16" t="s">
        <v>181</v>
      </c>
      <c r="AR254" s="16" t="s">
        <v>181</v>
      </c>
      <c r="AS254" s="16" t="s">
        <v>42</v>
      </c>
      <c r="AT254" s="159"/>
      <c r="AU254" s="159"/>
      <c r="AV254" s="16" t="s">
        <v>190</v>
      </c>
      <c r="AW254" s="16" t="s">
        <v>227</v>
      </c>
      <c r="AX254" s="16" t="s">
        <v>190</v>
      </c>
      <c r="AY254" s="16" t="s">
        <v>190</v>
      </c>
      <c r="AZ254" s="54">
        <v>0</v>
      </c>
      <c r="BA254" s="55" t="e">
        <f t="shared" ca="1" si="163"/>
        <v>#NAME?</v>
      </c>
      <c r="BB254" s="278">
        <v>6414</v>
      </c>
      <c r="BC254" s="278">
        <v>68428</v>
      </c>
      <c r="BD254" s="62" t="e">
        <f t="shared" ca="1" si="164"/>
        <v>#NAME?</v>
      </c>
      <c r="BE254" s="277">
        <f t="shared" si="165"/>
        <v>9.3733559361664817E-2</v>
      </c>
      <c r="BF254" s="62" t="e">
        <f t="shared" ca="1" si="166"/>
        <v>#NAME?</v>
      </c>
      <c r="BG254" s="16" t="s">
        <v>183</v>
      </c>
      <c r="BI254" s="16" t="s">
        <v>227</v>
      </c>
      <c r="BJ254" s="16">
        <v>0</v>
      </c>
      <c r="BK254" s="278">
        <v>1</v>
      </c>
      <c r="BL254" s="16" t="s">
        <v>227</v>
      </c>
      <c r="BM254" s="16" t="s">
        <v>190</v>
      </c>
      <c r="BN254" s="16" t="s">
        <v>190</v>
      </c>
      <c r="BO254" s="16" t="s">
        <v>190</v>
      </c>
      <c r="BP254" s="16">
        <v>1</v>
      </c>
      <c r="BQ254" s="16">
        <v>1</v>
      </c>
      <c r="BR254" s="16">
        <v>0</v>
      </c>
      <c r="BS254" s="16">
        <v>0</v>
      </c>
      <c r="BT254" s="205"/>
      <c r="BU254" s="16">
        <v>25</v>
      </c>
      <c r="BV254" s="16">
        <v>0</v>
      </c>
      <c r="BW254" s="16">
        <v>68</v>
      </c>
      <c r="BX254" s="16" t="s">
        <v>190</v>
      </c>
      <c r="BY254" s="205"/>
      <c r="CD254" s="205"/>
      <c r="CI254" s="205"/>
      <c r="CN254" s="205"/>
      <c r="CS254" s="205"/>
      <c r="CX254" s="205"/>
      <c r="DC254" s="205"/>
      <c r="DH254" s="205"/>
      <c r="DM254" s="205"/>
      <c r="DN254" s="205"/>
      <c r="DO254" s="205"/>
      <c r="DQ254" s="206"/>
      <c r="DR254" s="188">
        <f t="shared" si="64"/>
        <v>25</v>
      </c>
      <c r="DS254" s="188"/>
      <c r="DT254" s="189">
        <f t="shared" si="65"/>
        <v>0</v>
      </c>
      <c r="DU254" s="189"/>
      <c r="DV254" s="188">
        <f t="shared" si="66"/>
        <v>68</v>
      </c>
      <c r="DW254" s="183" t="e">
        <f t="shared" ca="1" si="67"/>
        <v>#NAME?</v>
      </c>
      <c r="DX254" s="207"/>
      <c r="DY254" s="190" t="e">
        <f t="shared" ca="1" si="68"/>
        <v>#NAME?</v>
      </c>
      <c r="DZ254" s="191">
        <f t="shared" si="338"/>
        <v>3.1052631578947367</v>
      </c>
      <c r="EA254" s="191" t="str">
        <f t="shared" si="339"/>
        <v/>
      </c>
      <c r="EB254" s="191" t="str">
        <f t="shared" si="340"/>
        <v/>
      </c>
      <c r="EC254" s="208" t="e">
        <f t="shared" ca="1" si="72"/>
        <v>#NAME?</v>
      </c>
      <c r="ED254" s="36" t="str">
        <f t="shared" si="73"/>
        <v>SAFE</v>
      </c>
      <c r="EE254" s="193">
        <f>COUNTIF($ED$2:$ED$92, ED254)/(COUNTIF($ED$2:$ED$92, "&lt;&gt;""") - COUNTIF($ED$2:$ED$92, ""))</f>
        <v>0.37777777777777777</v>
      </c>
      <c r="EF254" s="36" t="str">
        <f t="shared" si="74"/>
        <v>Early</v>
      </c>
      <c r="EG254" s="207"/>
      <c r="EH254" s="194" t="e">
        <f t="shared" ca="1" si="75"/>
        <v>#NAME?</v>
      </c>
      <c r="EI254" s="194" t="e">
        <f t="shared" ca="1" si="76"/>
        <v>#NAME?</v>
      </c>
      <c r="EJ254" s="209" t="e">
        <f t="shared" ca="1" si="77"/>
        <v>#NAME?</v>
      </c>
      <c r="EK254" s="208" t="e">
        <f t="shared" ca="1" si="341"/>
        <v>#NAME?</v>
      </c>
      <c r="EL254" s="36" t="str">
        <f t="shared" si="79"/>
        <v>No</v>
      </c>
      <c r="EM254" s="207"/>
      <c r="EN254" s="192">
        <f t="shared" si="342"/>
        <v>3.3809523809523809</v>
      </c>
      <c r="EO254" s="192">
        <f t="shared" si="343"/>
        <v>1</v>
      </c>
      <c r="EP254" s="209">
        <f t="shared" si="82"/>
        <v>4.3809523809523814</v>
      </c>
      <c r="EQ254" s="210">
        <f t="shared" si="344"/>
        <v>2.8691588785046731</v>
      </c>
      <c r="ER254" s="36" t="e">
        <f t="shared" ca="1" si="84"/>
        <v>#NAME?</v>
      </c>
      <c r="ES254" s="40">
        <f ca="1">COUNTIF($ER$2:$ER$92, ER254)/(COUNTIF($ER$2:$ER$92, "&lt;&gt;""") - COUNTIF($ER$2:$ER$92, ""))</f>
        <v>1</v>
      </c>
      <c r="ET254" s="36">
        <f t="shared" si="85"/>
        <v>1</v>
      </c>
      <c r="EU254" s="40">
        <f>COUNTIF($ET$2:$ET$92, ET254)/(COUNTIF($ET$2:$ET$92, "&lt;&gt;""") - COUNTIF($ET$2:$ET$92, ""))</f>
        <v>0.45555555555555555</v>
      </c>
      <c r="EV254" s="36">
        <f t="shared" si="86"/>
        <v>1</v>
      </c>
      <c r="EW254" s="40">
        <f>COUNTIF($EV$2:$EV$92, EV254)/(COUNTIF($EV$2:$EV$92, "&lt;&gt;""") - COUNTIF($EV$2:$EV$92, ""))</f>
        <v>7.7777777777777779E-2</v>
      </c>
      <c r="EX254" s="36" t="str">
        <f t="shared" si="87"/>
        <v>Yes</v>
      </c>
      <c r="EY254" s="40">
        <f>COUNTIF($EX$2:$EX$92, EX254)/(COUNTIF($EX$2:$EX$92, "&lt;&gt;""") - COUNTIF($EX$2:$EX$92, ""))</f>
        <v>0.27777777777777779</v>
      </c>
      <c r="EZ254" s="36" t="str">
        <f t="shared" ref="EZ254:FB254" si="397">BM254</f>
        <v>No</v>
      </c>
      <c r="FA254" s="36" t="str">
        <f t="shared" si="397"/>
        <v>No</v>
      </c>
      <c r="FB254" s="36" t="str">
        <f t="shared" si="397"/>
        <v>No</v>
      </c>
      <c r="FC254" s="207"/>
      <c r="FD254" s="36" t="str">
        <f t="shared" si="89"/>
        <v>Transactional</v>
      </c>
      <c r="FE254" s="40">
        <f>COUNTIF($FD$2:$FD$92, FD254)/(COUNTIF($FD$2:$FD$92, "&lt;&gt;""") - COUNTIF($FD$2:$FD$92, ""))</f>
        <v>0.6</v>
      </c>
      <c r="FF254" s="36" t="str">
        <f t="shared" si="90"/>
        <v>B2B/B2C</v>
      </c>
      <c r="FG254" s="40">
        <f>COUNTIF($FF$2:$FF$92, FF254)/(COUNTIF($FF$2:$FF$92, "&lt;&gt;""") - COUNTIF($FF$2:$FF$92, ""))</f>
        <v>0.27777777777777779</v>
      </c>
      <c r="FH254" s="36" t="str">
        <f t="shared" si="91"/>
        <v>Low</v>
      </c>
      <c r="FI254" s="40">
        <f>COUNTIF($FH$2:$FH$92, FH254)/(COUNTIF($FH$2:$FH$92, "&lt;&gt;""") - COUNTIF($FH$2:$FH$92, ""))</f>
        <v>0.46666666666666667</v>
      </c>
      <c r="FJ254" s="36" t="str">
        <f t="shared" si="92"/>
        <v>Low</v>
      </c>
      <c r="FK254" s="40">
        <f>COUNTIF($FJ$2:$FJ$92, FJ254)/(COUNTIF($FJ$2:$FJ$92, "&lt;&gt;""") - COUNTIF($FJ$2:$FJ$92, ""))</f>
        <v>0.41111111111111109</v>
      </c>
      <c r="FL254" s="207"/>
      <c r="FM254" s="192">
        <f t="shared" si="93"/>
        <v>1</v>
      </c>
      <c r="FN254" s="192" t="e">
        <f t="shared" ca="1" si="94"/>
        <v>#NAME?</v>
      </c>
      <c r="FO254" s="192" t="e">
        <f t="shared" ca="1" si="95"/>
        <v>#NAME?</v>
      </c>
      <c r="FP254" s="192" t="e">
        <f t="shared" ca="1" si="96"/>
        <v>#NAME?</v>
      </c>
      <c r="FQ254" s="209" t="e">
        <f t="shared" ca="1" si="97"/>
        <v>#NAME?</v>
      </c>
      <c r="FR254" s="208" t="e">
        <f t="shared" ca="1" si="346"/>
        <v>#NAME?</v>
      </c>
      <c r="FS254" s="36" t="str">
        <f t="shared" si="99"/>
        <v>Pre-Revenue</v>
      </c>
      <c r="FT254" s="196">
        <f>COUNTIF($FS$2:$FS$92, FS254)/(COUNTIF($FS$2:$FS$92, "&lt;&gt;""") - COUNTIF($FZ$2:$FZ$92, ""))</f>
        <v>0.2</v>
      </c>
      <c r="FU254" s="207"/>
      <c r="FV254" s="192" t="e">
        <f t="shared" ca="1" si="100"/>
        <v>#NAME?</v>
      </c>
      <c r="FW254" s="197" t="e">
        <f t="shared" ca="1" si="101"/>
        <v>#NAME?</v>
      </c>
      <c r="FX254" s="209" t="e">
        <f t="shared" ca="1" si="102"/>
        <v>#NAME?</v>
      </c>
      <c r="FY254" s="211" t="e">
        <f t="shared" ca="1" si="347"/>
        <v>#NAME?</v>
      </c>
      <c r="FZ254" s="36" t="str">
        <f t="shared" si="104"/>
        <v>Yes</v>
      </c>
      <c r="GA254" s="196">
        <f>COUNTIF($FZ$2:$FZ$92, FZ254)/(COUNTIF($FZ$2:$FZ$92, "&lt;&gt;""") - COUNTIF($FZ$2:$FZ$92, ""))</f>
        <v>0.23333333333333334</v>
      </c>
      <c r="GB254" s="196">
        <f t="shared" si="105"/>
        <v>0</v>
      </c>
      <c r="GC254" s="196">
        <f>COUNTIF($GB$2:$GB$92, GB254)/(COUNTIF($GB$2:$GB$92, "&lt;&gt;""") - COUNTIF($GB$2:$GB$92, ""))</f>
        <v>1.1111111111111112E-2</v>
      </c>
      <c r="GD254" s="196">
        <f t="shared" si="106"/>
        <v>0</v>
      </c>
      <c r="GE254" s="196">
        <f>COUNTIF($GD$2:$GD$92, GD254)/(COUNTIF($GD$2:$GD$92, "&lt;&gt;""") - COUNTIF($GD$2:$GD$92, ""))</f>
        <v>1.1111111111111112E-2</v>
      </c>
      <c r="GF254" s="207"/>
      <c r="GG254" s="36"/>
      <c r="GH254" s="209" t="e">
        <f t="shared" ca="1" si="107"/>
        <v>#NAME?</v>
      </c>
      <c r="GI254" s="212" t="e">
        <f t="shared" ca="1" si="348"/>
        <v>#NAME?</v>
      </c>
    </row>
    <row r="255" spans="1:191" ht="15.75" customHeight="1">
      <c r="A255" s="171"/>
      <c r="B255" s="171" t="s">
        <v>501</v>
      </c>
      <c r="C255" s="16">
        <v>1794083</v>
      </c>
      <c r="D255" s="233" t="s">
        <v>1787</v>
      </c>
      <c r="E255" s="270">
        <v>43861.584722222222</v>
      </c>
      <c r="F255" s="16" t="s">
        <v>337</v>
      </c>
      <c r="G255" s="235" t="s">
        <v>1788</v>
      </c>
      <c r="H255" s="235" t="s">
        <v>1789</v>
      </c>
      <c r="I255" s="241">
        <v>43860</v>
      </c>
      <c r="J255" s="233" t="s">
        <v>1790</v>
      </c>
      <c r="K255" s="233" t="s">
        <v>1791</v>
      </c>
      <c r="M255" s="16" t="s">
        <v>171</v>
      </c>
      <c r="N255" s="16" t="s">
        <v>168</v>
      </c>
      <c r="O255" s="16" t="s">
        <v>173</v>
      </c>
      <c r="P255" s="16" t="s">
        <v>197</v>
      </c>
      <c r="Q255" s="16" t="s">
        <v>35</v>
      </c>
      <c r="S255" s="16" t="s">
        <v>216</v>
      </c>
      <c r="T255" s="237"/>
      <c r="U255" s="213"/>
      <c r="V255" s="54">
        <v>4000000</v>
      </c>
      <c r="W255" s="54"/>
      <c r="X255" s="226"/>
      <c r="Y255" s="55" t="str">
        <f t="shared" si="158"/>
        <v/>
      </c>
      <c r="Z255" s="274">
        <f t="shared" si="159"/>
        <v>4000000</v>
      </c>
      <c r="AA255" s="183" t="e">
        <f t="shared" ca="1" si="160"/>
        <v>#NAME?</v>
      </c>
      <c r="AB255" s="16" t="s">
        <v>178</v>
      </c>
      <c r="AC255" s="16" t="s">
        <v>179</v>
      </c>
      <c r="AD255" s="16" t="s">
        <v>38</v>
      </c>
      <c r="AE255" s="16" t="s">
        <v>227</v>
      </c>
      <c r="AF255" s="16" t="s">
        <v>181</v>
      </c>
      <c r="AG255" s="16" t="s">
        <v>181</v>
      </c>
      <c r="AH255" s="16" t="s">
        <v>190</v>
      </c>
      <c r="AI255" s="54"/>
      <c r="AJ255" s="278">
        <v>13500000000</v>
      </c>
      <c r="AK255" s="224" t="e">
        <f t="shared" ca="1" si="161"/>
        <v>#NAME?</v>
      </c>
      <c r="AL255" s="278">
        <v>13500000000</v>
      </c>
      <c r="AM255" s="224" t="e">
        <f t="shared" ca="1" si="162"/>
        <v>#NAME?</v>
      </c>
      <c r="AN255" s="278">
        <v>0.28999999999999998</v>
      </c>
      <c r="AO255" s="185" t="e">
        <f t="shared" ca="1" si="63"/>
        <v>#NAME?</v>
      </c>
      <c r="AP255" s="185" t="s">
        <v>211</v>
      </c>
      <c r="AQ255" s="16" t="s">
        <v>181</v>
      </c>
      <c r="AR255" s="16" t="s">
        <v>181</v>
      </c>
      <c r="AS255" s="16" t="s">
        <v>42</v>
      </c>
      <c r="AT255" s="159"/>
      <c r="AU255" s="159"/>
      <c r="AV255" s="16" t="s">
        <v>190</v>
      </c>
      <c r="AW255" s="16" t="s">
        <v>190</v>
      </c>
      <c r="AX255" s="16" t="s">
        <v>227</v>
      </c>
      <c r="AY255" s="16" t="s">
        <v>227</v>
      </c>
      <c r="AZ255" s="54">
        <v>350719</v>
      </c>
      <c r="BA255" s="55" t="e">
        <f t="shared" ca="1" si="163"/>
        <v>#NAME?</v>
      </c>
      <c r="BB255" s="278">
        <v>2687</v>
      </c>
      <c r="BC255" s="278">
        <v>481341</v>
      </c>
      <c r="BD255" s="62" t="e">
        <f t="shared" ca="1" si="164"/>
        <v>#NAME?</v>
      </c>
      <c r="BE255" s="277">
        <f t="shared" si="165"/>
        <v>5.5823210572130775E-3</v>
      </c>
      <c r="BF255" s="62" t="e">
        <f t="shared" ca="1" si="166"/>
        <v>#NAME?</v>
      </c>
      <c r="BG255" s="16" t="s">
        <v>202</v>
      </c>
      <c r="BI255" s="16" t="s">
        <v>227</v>
      </c>
      <c r="BJ255" s="16">
        <v>0</v>
      </c>
      <c r="BK255" s="278">
        <v>1</v>
      </c>
      <c r="BL255" s="16" t="s">
        <v>227</v>
      </c>
      <c r="BM255" s="16" t="s">
        <v>227</v>
      </c>
      <c r="BN255" s="16" t="s">
        <v>190</v>
      </c>
      <c r="BO255" s="16" t="s">
        <v>190</v>
      </c>
      <c r="BP255" s="16">
        <v>3</v>
      </c>
      <c r="BQ255" s="16">
        <v>4</v>
      </c>
      <c r="BR255" s="16">
        <v>0</v>
      </c>
      <c r="BS255" s="16">
        <v>0</v>
      </c>
      <c r="BT255" s="205"/>
      <c r="BU255" s="16">
        <v>7</v>
      </c>
      <c r="BV255" s="16">
        <v>0</v>
      </c>
      <c r="BW255" s="16">
        <v>32</v>
      </c>
      <c r="BX255" s="16" t="s">
        <v>190</v>
      </c>
      <c r="BY255" s="205"/>
      <c r="CD255" s="205"/>
      <c r="CI255" s="205"/>
      <c r="CN255" s="205"/>
      <c r="CS255" s="205"/>
      <c r="CX255" s="205"/>
      <c r="DC255" s="205"/>
      <c r="DH255" s="205"/>
      <c r="DM255" s="205"/>
      <c r="DN255" s="205"/>
      <c r="DO255" s="205"/>
      <c r="DQ255" s="206"/>
      <c r="DR255" s="188">
        <f t="shared" si="64"/>
        <v>7</v>
      </c>
      <c r="DS255" s="188"/>
      <c r="DT255" s="189">
        <f t="shared" si="65"/>
        <v>0</v>
      </c>
      <c r="DU255" s="189"/>
      <c r="DV255" s="188">
        <f t="shared" si="66"/>
        <v>32</v>
      </c>
      <c r="DW255" s="183" t="e">
        <f t="shared" ca="1" si="67"/>
        <v>#NAME?</v>
      </c>
      <c r="DX255" s="207"/>
      <c r="DY255" s="190" t="e">
        <f t="shared" ca="1" si="68"/>
        <v>#NAME?</v>
      </c>
      <c r="DZ255" s="191" t="str">
        <f t="shared" si="338"/>
        <v/>
      </c>
      <c r="EA255" s="191" t="str">
        <f t="shared" si="339"/>
        <v/>
      </c>
      <c r="EB255" s="191" t="str">
        <f t="shared" si="340"/>
        <v/>
      </c>
      <c r="EC255" s="208" t="e">
        <f t="shared" ca="1" si="72"/>
        <v>#NAME?</v>
      </c>
      <c r="ED255" s="36" t="str">
        <f t="shared" si="73"/>
        <v>Equity - Common</v>
      </c>
      <c r="EE255" s="193">
        <f>COUNTIF($ED$2:$ED$92, ED255)/(COUNTIF($ED$2:$ED$92, "&lt;&gt;""") - COUNTIF($ED$2:$ED$92, ""))</f>
        <v>0.32222222222222224</v>
      </c>
      <c r="EF255" s="36" t="str">
        <f t="shared" si="74"/>
        <v>Growth</v>
      </c>
      <c r="EG255" s="207"/>
      <c r="EH255" s="194" t="e">
        <f t="shared" ca="1" si="75"/>
        <v>#NAME?</v>
      </c>
      <c r="EI255" s="194" t="e">
        <f t="shared" ca="1" si="76"/>
        <v>#NAME?</v>
      </c>
      <c r="EJ255" s="209" t="e">
        <f t="shared" ca="1" si="77"/>
        <v>#NAME?</v>
      </c>
      <c r="EK255" s="208" t="e">
        <f t="shared" ca="1" si="341"/>
        <v>#NAME?</v>
      </c>
      <c r="EL255" s="36" t="str">
        <f t="shared" si="79"/>
        <v>No</v>
      </c>
      <c r="EM255" s="207"/>
      <c r="EN255" s="192">
        <f t="shared" si="342"/>
        <v>1.6666666666666665</v>
      </c>
      <c r="EO255" s="192">
        <f t="shared" si="343"/>
        <v>1</v>
      </c>
      <c r="EP255" s="209">
        <f t="shared" si="82"/>
        <v>2.6666666666666665</v>
      </c>
      <c r="EQ255" s="210">
        <f t="shared" si="344"/>
        <v>1.5233644859813085</v>
      </c>
      <c r="ER255" s="36" t="e">
        <f t="shared" ca="1" si="84"/>
        <v>#NAME?</v>
      </c>
      <c r="ES255" s="40">
        <f ca="1">COUNTIF($ER$2:$ER$92, ER255)/(COUNTIF($ER$2:$ER$92, "&lt;&gt;""") - COUNTIF($ER$2:$ER$92, ""))</f>
        <v>1</v>
      </c>
      <c r="ET255" s="36">
        <f t="shared" si="85"/>
        <v>1</v>
      </c>
      <c r="EU255" s="40">
        <f>COUNTIF($ET$2:$ET$92, ET255)/(COUNTIF($ET$2:$ET$92, "&lt;&gt;""") - COUNTIF($ET$2:$ET$92, ""))</f>
        <v>0.45555555555555555</v>
      </c>
      <c r="EV255" s="36">
        <f t="shared" si="86"/>
        <v>4</v>
      </c>
      <c r="EW255" s="40">
        <f>COUNTIF($EV$2:$EV$92, EV255)/(COUNTIF($EV$2:$EV$92, "&lt;&gt;""") - COUNTIF($EV$2:$EV$92, ""))</f>
        <v>0.12222222222222222</v>
      </c>
      <c r="EX255" s="36" t="str">
        <f t="shared" si="87"/>
        <v>Yes</v>
      </c>
      <c r="EY255" s="40">
        <f>COUNTIF($EX$2:$EX$92, EX255)/(COUNTIF($EX$2:$EX$92, "&lt;&gt;""") - COUNTIF($EX$2:$EX$92, ""))</f>
        <v>0.27777777777777779</v>
      </c>
      <c r="EZ255" s="36" t="str">
        <f t="shared" ref="EZ255:FB255" si="398">BM255</f>
        <v>Yes</v>
      </c>
      <c r="FA255" s="36" t="str">
        <f t="shared" si="398"/>
        <v>No</v>
      </c>
      <c r="FB255" s="36" t="str">
        <f t="shared" si="398"/>
        <v>No</v>
      </c>
      <c r="FC255" s="207"/>
      <c r="FD255" s="36" t="str">
        <f t="shared" si="89"/>
        <v>Recurring</v>
      </c>
      <c r="FE255" s="40">
        <f>COUNTIF($FD$2:$FD$92, FD255)/(COUNTIF($FD$2:$FD$92, "&lt;&gt;""") - COUNTIF($FD$2:$FD$92, ""))</f>
        <v>0.4</v>
      </c>
      <c r="FF255" s="36" t="str">
        <f t="shared" si="90"/>
        <v>B2C</v>
      </c>
      <c r="FG255" s="40">
        <f>COUNTIF($FF$2:$FF$92, FF255)/(COUNTIF($FF$2:$FF$92, "&lt;&gt;""") - COUNTIF($FF$2:$FF$92, ""))</f>
        <v>0.41111111111111109</v>
      </c>
      <c r="FH255" s="36" t="str">
        <f t="shared" si="91"/>
        <v>Low</v>
      </c>
      <c r="FI255" s="40">
        <f>COUNTIF($FH$2:$FH$92, FH255)/(COUNTIF($FH$2:$FH$92, "&lt;&gt;""") - COUNTIF($FH$2:$FH$92, ""))</f>
        <v>0.46666666666666667</v>
      </c>
      <c r="FJ255" s="36" t="str">
        <f t="shared" si="92"/>
        <v>Low</v>
      </c>
      <c r="FK255" s="40">
        <f>COUNTIF($FJ$2:$FJ$92, FJ255)/(COUNTIF($FJ$2:$FJ$92, "&lt;&gt;""") - COUNTIF($FJ$2:$FJ$92, ""))</f>
        <v>0.41111111111111109</v>
      </c>
      <c r="FL255" s="207"/>
      <c r="FM255" s="192">
        <f t="shared" si="93"/>
        <v>5</v>
      </c>
      <c r="FN255" s="192" t="e">
        <f t="shared" ca="1" si="94"/>
        <v>#NAME?</v>
      </c>
      <c r="FO255" s="192" t="e">
        <f t="shared" ca="1" si="95"/>
        <v>#NAME?</v>
      </c>
      <c r="FP255" s="192" t="e">
        <f t="shared" ca="1" si="96"/>
        <v>#NAME?</v>
      </c>
      <c r="FQ255" s="209" t="e">
        <f t="shared" ca="1" si="97"/>
        <v>#NAME?</v>
      </c>
      <c r="FR255" s="208" t="e">
        <f t="shared" ca="1" si="346"/>
        <v>#NAME?</v>
      </c>
      <c r="FS255" s="36" t="str">
        <f t="shared" si="99"/>
        <v>Pre-Profit</v>
      </c>
      <c r="FT255" s="196">
        <f>COUNTIF($FS$2:$FS$92, FS255)/(COUNTIF($FS$2:$FS$92, "&lt;&gt;""") - COUNTIF($FZ$2:$FZ$92, ""))</f>
        <v>0.51111111111111107</v>
      </c>
      <c r="FU255" s="207"/>
      <c r="FV255" s="192" t="e">
        <f t="shared" ca="1" si="100"/>
        <v>#NAME?</v>
      </c>
      <c r="FW255" s="197" t="e">
        <f t="shared" ca="1" si="101"/>
        <v>#NAME?</v>
      </c>
      <c r="FX255" s="209" t="e">
        <f t="shared" ca="1" si="102"/>
        <v>#NAME?</v>
      </c>
      <c r="FY255" s="211" t="e">
        <f t="shared" ca="1" si="347"/>
        <v>#NAME?</v>
      </c>
      <c r="FZ255" s="36" t="str">
        <f t="shared" si="104"/>
        <v>No</v>
      </c>
      <c r="GA255" s="196">
        <f>COUNTIF($FZ$2:$FZ$92, FZ255)/(COUNTIF($FZ$2:$FZ$92, "&lt;&gt;""") - COUNTIF($FZ$2:$FZ$92, ""))</f>
        <v>0.76666666666666672</v>
      </c>
      <c r="GB255" s="196">
        <f t="shared" si="105"/>
        <v>0</v>
      </c>
      <c r="GC255" s="196">
        <f>COUNTIF($GB$2:$GB$92, GB255)/(COUNTIF($GB$2:$GB$92, "&lt;&gt;""") - COUNTIF($GB$2:$GB$92, ""))</f>
        <v>1.1111111111111112E-2</v>
      </c>
      <c r="GD255" s="196">
        <f t="shared" si="106"/>
        <v>0</v>
      </c>
      <c r="GE255" s="196">
        <f>COUNTIF($GD$2:$GD$92, GD255)/(COUNTIF($GD$2:$GD$92, "&lt;&gt;""") - COUNTIF($GD$2:$GD$92, ""))</f>
        <v>1.1111111111111112E-2</v>
      </c>
      <c r="GF255" s="207"/>
      <c r="GG255" s="36"/>
      <c r="GH255" s="209" t="e">
        <f t="shared" ca="1" si="107"/>
        <v>#NAME?</v>
      </c>
      <c r="GI255" s="212" t="e">
        <f t="shared" ca="1" si="348"/>
        <v>#NAME?</v>
      </c>
    </row>
    <row r="256" spans="1:191" ht="15.75" customHeight="1">
      <c r="A256" s="171"/>
      <c r="B256" s="171" t="s">
        <v>501</v>
      </c>
      <c r="C256" s="16">
        <v>1800216</v>
      </c>
      <c r="D256" s="233" t="s">
        <v>1792</v>
      </c>
      <c r="E256" s="270">
        <v>43861.7</v>
      </c>
      <c r="F256" s="16" t="s">
        <v>344</v>
      </c>
      <c r="G256" s="235" t="s">
        <v>1793</v>
      </c>
      <c r="H256" s="235" t="s">
        <v>1794</v>
      </c>
      <c r="I256" s="271">
        <v>43845</v>
      </c>
      <c r="J256" s="233" t="s">
        <v>1795</v>
      </c>
      <c r="K256" s="233" t="s">
        <v>1792</v>
      </c>
      <c r="M256" s="16" t="s">
        <v>1037</v>
      </c>
      <c r="N256" s="16" t="s">
        <v>168</v>
      </c>
      <c r="O256" s="16" t="s">
        <v>30</v>
      </c>
      <c r="P256" s="16" t="s">
        <v>174</v>
      </c>
      <c r="Q256" s="16" t="s">
        <v>35</v>
      </c>
      <c r="S256" s="16" t="s">
        <v>176</v>
      </c>
      <c r="T256" s="237"/>
      <c r="U256" s="213"/>
      <c r="V256" s="54"/>
      <c r="W256" s="54">
        <v>5000000</v>
      </c>
      <c r="X256" s="226">
        <v>0.2</v>
      </c>
      <c r="Y256" s="55">
        <f t="shared" si="158"/>
        <v>4000000</v>
      </c>
      <c r="Z256" s="274">
        <f t="shared" si="159"/>
        <v>4000000</v>
      </c>
      <c r="AA256" s="183" t="e">
        <f t="shared" ca="1" si="160"/>
        <v>#NAME?</v>
      </c>
      <c r="AB256" s="16" t="s">
        <v>178</v>
      </c>
      <c r="AC256" s="16" t="s">
        <v>200</v>
      </c>
      <c r="AD256" s="16" t="s">
        <v>38</v>
      </c>
      <c r="AE256" s="16" t="s">
        <v>227</v>
      </c>
      <c r="AF256" s="16" t="s">
        <v>39</v>
      </c>
      <c r="AG256" s="16" t="s">
        <v>181</v>
      </c>
      <c r="AH256" s="16" t="s">
        <v>227</v>
      </c>
      <c r="AI256" s="54"/>
      <c r="AJ256" s="278">
        <v>311000000000</v>
      </c>
      <c r="AK256" s="224" t="e">
        <f t="shared" ca="1" si="161"/>
        <v>#NAME?</v>
      </c>
      <c r="AL256" s="278">
        <v>311000000000</v>
      </c>
      <c r="AM256" s="224" t="e">
        <f t="shared" ca="1" si="162"/>
        <v>#NAME?</v>
      </c>
      <c r="AN256" s="278">
        <v>0.04</v>
      </c>
      <c r="AO256" s="185" t="e">
        <f t="shared" ca="1" si="63"/>
        <v>#NAME?</v>
      </c>
      <c r="AP256" s="185" t="s">
        <v>169</v>
      </c>
      <c r="AQ256" s="16" t="s">
        <v>39</v>
      </c>
      <c r="AR256" s="16" t="s">
        <v>39</v>
      </c>
      <c r="AS256" s="16" t="s">
        <v>182</v>
      </c>
      <c r="AT256" s="159"/>
      <c r="AU256" s="159"/>
      <c r="AV256" s="16" t="s">
        <v>190</v>
      </c>
      <c r="AW256" s="16" t="s">
        <v>190</v>
      </c>
      <c r="AX256" s="16" t="s">
        <v>227</v>
      </c>
      <c r="AY256" s="16" t="s">
        <v>227</v>
      </c>
      <c r="AZ256" s="54">
        <v>337</v>
      </c>
      <c r="BA256" s="55" t="e">
        <f t="shared" ca="1" si="163"/>
        <v>#NAME?</v>
      </c>
      <c r="BB256" s="278">
        <v>15562</v>
      </c>
      <c r="BC256" s="278">
        <v>300000</v>
      </c>
      <c r="BD256" s="62" t="e">
        <f t="shared" ca="1" si="164"/>
        <v>#NAME?</v>
      </c>
      <c r="BE256" s="277">
        <f t="shared" si="165"/>
        <v>5.1873333333333334E-2</v>
      </c>
      <c r="BF256" s="62" t="e">
        <f t="shared" ca="1" si="166"/>
        <v>#NAME?</v>
      </c>
      <c r="BG256" s="16" t="s">
        <v>202</v>
      </c>
      <c r="BI256" s="16" t="s">
        <v>190</v>
      </c>
      <c r="BJ256" s="16">
        <v>0</v>
      </c>
      <c r="BK256" s="278">
        <v>2</v>
      </c>
      <c r="BL256" s="16" t="s">
        <v>227</v>
      </c>
      <c r="BM256" s="16" t="s">
        <v>190</v>
      </c>
      <c r="BN256" s="16" t="s">
        <v>190</v>
      </c>
      <c r="BO256" s="16" t="s">
        <v>190</v>
      </c>
      <c r="BP256" s="16">
        <v>3</v>
      </c>
      <c r="BQ256" s="16">
        <v>5</v>
      </c>
      <c r="BR256" s="16">
        <v>0</v>
      </c>
      <c r="BS256" s="16">
        <v>0</v>
      </c>
      <c r="BT256" s="205"/>
      <c r="BU256" s="16">
        <v>14</v>
      </c>
      <c r="BV256" s="16">
        <v>0</v>
      </c>
      <c r="BW256" s="16">
        <v>42</v>
      </c>
      <c r="BX256" s="16" t="s">
        <v>190</v>
      </c>
      <c r="BY256" s="205"/>
      <c r="BZ256" s="16">
        <v>0</v>
      </c>
      <c r="CA256" s="16">
        <v>0</v>
      </c>
      <c r="CB256" s="16">
        <v>28</v>
      </c>
      <c r="CC256" s="16" t="s">
        <v>190</v>
      </c>
      <c r="CD256" s="205"/>
      <c r="CI256" s="205"/>
      <c r="CN256" s="205"/>
      <c r="CS256" s="205"/>
      <c r="CX256" s="205"/>
      <c r="DC256" s="205"/>
      <c r="DH256" s="205"/>
      <c r="DM256" s="205"/>
      <c r="DN256" s="205"/>
      <c r="DO256" s="205"/>
      <c r="DQ256" s="206"/>
      <c r="DR256" s="188">
        <f t="shared" si="64"/>
        <v>7</v>
      </c>
      <c r="DS256" s="188"/>
      <c r="DT256" s="189">
        <f t="shared" si="65"/>
        <v>0</v>
      </c>
      <c r="DU256" s="189"/>
      <c r="DV256" s="188">
        <f t="shared" si="66"/>
        <v>35</v>
      </c>
      <c r="DW256" s="183" t="e">
        <f t="shared" ca="1" si="67"/>
        <v>#NAME?</v>
      </c>
      <c r="DX256" s="207"/>
      <c r="DY256" s="190" t="e">
        <f t="shared" ca="1" si="68"/>
        <v>#NAME?</v>
      </c>
      <c r="DZ256" s="191">
        <f t="shared" si="338"/>
        <v>3.1052631578947367</v>
      </c>
      <c r="EA256" s="191" t="str">
        <f t="shared" si="339"/>
        <v/>
      </c>
      <c r="EB256" s="191" t="str">
        <f t="shared" si="340"/>
        <v/>
      </c>
      <c r="EC256" s="208" t="e">
        <f t="shared" ca="1" si="72"/>
        <v>#NAME?</v>
      </c>
      <c r="ED256" s="36" t="str">
        <f t="shared" si="73"/>
        <v>Convertible Note</v>
      </c>
      <c r="EE256" s="193">
        <f>COUNTIF($ED$2:$ED$92, ED256)/(COUNTIF($ED$2:$ED$92, "&lt;&gt;""") - COUNTIF($ED$2:$ED$92, ""))</f>
        <v>0.13333333333333333</v>
      </c>
      <c r="EF256" s="36" t="str">
        <f t="shared" si="74"/>
        <v>Early</v>
      </c>
      <c r="EG256" s="207"/>
      <c r="EH256" s="194" t="e">
        <f t="shared" ca="1" si="75"/>
        <v>#NAME?</v>
      </c>
      <c r="EI256" s="194" t="e">
        <f t="shared" ca="1" si="76"/>
        <v>#NAME?</v>
      </c>
      <c r="EJ256" s="209" t="e">
        <f t="shared" ca="1" si="77"/>
        <v>#NAME?</v>
      </c>
      <c r="EK256" s="208" t="e">
        <f t="shared" ca="1" si="341"/>
        <v>#NAME?</v>
      </c>
      <c r="EL256" s="36" t="str">
        <f t="shared" si="79"/>
        <v>No</v>
      </c>
      <c r="EM256" s="207"/>
      <c r="EN256" s="192">
        <f t="shared" si="342"/>
        <v>1.6666666666666665</v>
      </c>
      <c r="EO256" s="192">
        <f t="shared" si="343"/>
        <v>1</v>
      </c>
      <c r="EP256" s="209">
        <f t="shared" si="82"/>
        <v>2.6666666666666665</v>
      </c>
      <c r="EQ256" s="210">
        <f t="shared" si="344"/>
        <v>1.5233644859813085</v>
      </c>
      <c r="ER256" s="36" t="e">
        <f t="shared" ca="1" si="84"/>
        <v>#NAME?</v>
      </c>
      <c r="ES256" s="40">
        <f ca="1">COUNTIF($ER$2:$ER$92, ER256)/(COUNTIF($ER$2:$ER$92, "&lt;&gt;""") - COUNTIF($ER$2:$ER$92, ""))</f>
        <v>1</v>
      </c>
      <c r="ET256" s="36">
        <f t="shared" si="85"/>
        <v>2</v>
      </c>
      <c r="EU256" s="40">
        <f>COUNTIF($ET$2:$ET$92, ET256)/(COUNTIF($ET$2:$ET$92, "&lt;&gt;""") - COUNTIF($ET$2:$ET$92, ""))</f>
        <v>0.45555555555555555</v>
      </c>
      <c r="EV256" s="36">
        <f t="shared" si="86"/>
        <v>5</v>
      </c>
      <c r="EW256" s="40">
        <f>COUNTIF($EV$2:$EV$92, EV256)/(COUNTIF($EV$2:$EV$92, "&lt;&gt;""") - COUNTIF($EV$2:$EV$92, ""))</f>
        <v>0.13333333333333333</v>
      </c>
      <c r="EX256" s="36" t="str">
        <f t="shared" si="87"/>
        <v>Yes</v>
      </c>
      <c r="EY256" s="40">
        <f>COUNTIF($EX$2:$EX$92, EX256)/(COUNTIF($EX$2:$EX$92, "&lt;&gt;""") - COUNTIF($EX$2:$EX$92, ""))</f>
        <v>0.27777777777777779</v>
      </c>
      <c r="EZ256" s="36" t="str">
        <f t="shared" ref="EZ256:FB256" si="399">BM256</f>
        <v>No</v>
      </c>
      <c r="FA256" s="36" t="str">
        <f t="shared" si="399"/>
        <v>No</v>
      </c>
      <c r="FB256" s="36" t="str">
        <f t="shared" si="399"/>
        <v>No</v>
      </c>
      <c r="FC256" s="207"/>
      <c r="FD256" s="36" t="str">
        <f t="shared" si="89"/>
        <v>Recurring</v>
      </c>
      <c r="FE256" s="40">
        <f>COUNTIF($FD$2:$FD$92, FD256)/(COUNTIF($FD$2:$FD$92, "&lt;&gt;""") - COUNTIF($FD$2:$FD$92, ""))</f>
        <v>0.4</v>
      </c>
      <c r="FF256" s="36" t="str">
        <f t="shared" si="90"/>
        <v>B2B2C</v>
      </c>
      <c r="FG256" s="40">
        <f>COUNTIF($FF$2:$FF$92, FF256)/(COUNTIF($FF$2:$FF$92, "&lt;&gt;""") - COUNTIF($FF$2:$FF$92, ""))</f>
        <v>6.6666666666666666E-2</v>
      </c>
      <c r="FH256" s="36" t="str">
        <f t="shared" si="91"/>
        <v>High</v>
      </c>
      <c r="FI256" s="40">
        <f>COUNTIF($FH$2:$FH$92, FH256)/(COUNTIF($FH$2:$FH$92, "&lt;&gt;""") - COUNTIF($FH$2:$FH$92, ""))</f>
        <v>0.53333333333333333</v>
      </c>
      <c r="FJ256" s="36" t="str">
        <f t="shared" si="92"/>
        <v>Low</v>
      </c>
      <c r="FK256" s="40">
        <f>COUNTIF($FJ$2:$FJ$92, FJ256)/(COUNTIF($FJ$2:$FJ$92, "&lt;&gt;""") - COUNTIF($FJ$2:$FJ$92, ""))</f>
        <v>0.41111111111111109</v>
      </c>
      <c r="FL256" s="207"/>
      <c r="FM256" s="192">
        <f t="shared" si="93"/>
        <v>5</v>
      </c>
      <c r="FN256" s="192" t="e">
        <f t="shared" ca="1" si="94"/>
        <v>#NAME?</v>
      </c>
      <c r="FO256" s="192" t="e">
        <f t="shared" ca="1" si="95"/>
        <v>#NAME?</v>
      </c>
      <c r="FP256" s="192" t="e">
        <f t="shared" ca="1" si="96"/>
        <v>#NAME?</v>
      </c>
      <c r="FQ256" s="209" t="e">
        <f t="shared" ca="1" si="97"/>
        <v>#NAME?</v>
      </c>
      <c r="FR256" s="208" t="e">
        <f t="shared" ca="1" si="346"/>
        <v>#NAME?</v>
      </c>
      <c r="FS256" s="36" t="str">
        <f t="shared" si="99"/>
        <v>Pre-Profit</v>
      </c>
      <c r="FT256" s="196">
        <f>COUNTIF($FS$2:$FS$92, FS256)/(COUNTIF($FS$2:$FS$92, "&lt;&gt;""") - COUNTIF($FZ$2:$FZ$92, ""))</f>
        <v>0.51111111111111107</v>
      </c>
      <c r="FU256" s="207"/>
      <c r="FV256" s="192" t="e">
        <f t="shared" ca="1" si="100"/>
        <v>#NAME?</v>
      </c>
      <c r="FW256" s="197" t="e">
        <f t="shared" ca="1" si="101"/>
        <v>#NAME?</v>
      </c>
      <c r="FX256" s="209" t="e">
        <f t="shared" ca="1" si="102"/>
        <v>#NAME?</v>
      </c>
      <c r="FY256" s="211" t="e">
        <f t="shared" ca="1" si="347"/>
        <v>#NAME?</v>
      </c>
      <c r="FZ256" s="36" t="str">
        <f t="shared" si="104"/>
        <v>No</v>
      </c>
      <c r="GA256" s="196">
        <f>COUNTIF($FZ$2:$FZ$92, FZ256)/(COUNTIF($FZ$2:$FZ$92, "&lt;&gt;""") - COUNTIF($FZ$2:$FZ$92, ""))</f>
        <v>0.76666666666666672</v>
      </c>
      <c r="GB256" s="196">
        <f t="shared" si="105"/>
        <v>0</v>
      </c>
      <c r="GC256" s="196">
        <f>COUNTIF($GB$2:$GB$92, GB256)/(COUNTIF($GB$2:$GB$92, "&lt;&gt;""") - COUNTIF($GB$2:$GB$92, ""))</f>
        <v>1.1111111111111112E-2</v>
      </c>
      <c r="GD256" s="196">
        <f t="shared" si="106"/>
        <v>0</v>
      </c>
      <c r="GE256" s="196">
        <f>COUNTIF($GD$2:$GD$92, GD256)/(COUNTIF($GD$2:$GD$92, "&lt;&gt;""") - COUNTIF($GD$2:$GD$92, ""))</f>
        <v>1.1111111111111112E-2</v>
      </c>
      <c r="GF256" s="207"/>
      <c r="GG256" s="36"/>
      <c r="GH256" s="209" t="e">
        <f t="shared" ca="1" si="107"/>
        <v>#NAME?</v>
      </c>
      <c r="GI256" s="212" t="e">
        <f t="shared" ca="1" si="348"/>
        <v>#NAME?</v>
      </c>
    </row>
    <row r="257" spans="1:191" ht="15.75" customHeight="1">
      <c r="A257" s="171"/>
      <c r="B257" s="171" t="s">
        <v>501</v>
      </c>
      <c r="C257" s="16">
        <v>1797607</v>
      </c>
      <c r="D257" s="233" t="s">
        <v>1796</v>
      </c>
      <c r="E257" s="270">
        <v>43861.703472222223</v>
      </c>
      <c r="F257" s="16" t="s">
        <v>344</v>
      </c>
      <c r="G257" s="235" t="s">
        <v>1797</v>
      </c>
      <c r="H257" s="235" t="s">
        <v>1798</v>
      </c>
      <c r="I257" s="271">
        <v>43847</v>
      </c>
      <c r="J257" s="233" t="s">
        <v>1799</v>
      </c>
      <c r="K257" s="233" t="s">
        <v>1796</v>
      </c>
      <c r="M257" s="35" t="s">
        <v>293</v>
      </c>
      <c r="N257" s="16" t="s">
        <v>168</v>
      </c>
      <c r="O257" s="16" t="s">
        <v>30</v>
      </c>
      <c r="P257" s="16" t="s">
        <v>174</v>
      </c>
      <c r="Q257" s="16" t="s">
        <v>35</v>
      </c>
      <c r="S257" s="16" t="s">
        <v>269</v>
      </c>
      <c r="T257" s="237"/>
      <c r="U257" s="213"/>
      <c r="V257" s="54"/>
      <c r="W257" s="54">
        <v>5500000</v>
      </c>
      <c r="X257" s="226">
        <v>0</v>
      </c>
      <c r="Y257" s="55">
        <f t="shared" si="158"/>
        <v>5500000</v>
      </c>
      <c r="Z257" s="274">
        <f t="shared" si="159"/>
        <v>5500000</v>
      </c>
      <c r="AA257" s="183" t="e">
        <f t="shared" ca="1" si="160"/>
        <v>#NAME?</v>
      </c>
      <c r="AB257" s="16" t="s">
        <v>36</v>
      </c>
      <c r="AC257" s="16" t="s">
        <v>179</v>
      </c>
      <c r="AD257" s="16" t="s">
        <v>38</v>
      </c>
      <c r="AE257" s="16" t="s">
        <v>227</v>
      </c>
      <c r="AF257" s="16" t="s">
        <v>39</v>
      </c>
      <c r="AG257" s="16" t="s">
        <v>181</v>
      </c>
      <c r="AH257" s="16" t="s">
        <v>190</v>
      </c>
      <c r="AI257" s="54"/>
      <c r="AJ257" s="278">
        <v>17080000000</v>
      </c>
      <c r="AK257" s="224" t="e">
        <f t="shared" ca="1" si="161"/>
        <v>#NAME?</v>
      </c>
      <c r="AL257" s="278">
        <v>17080000000</v>
      </c>
      <c r="AM257" s="224" t="e">
        <f t="shared" ca="1" si="162"/>
        <v>#NAME?</v>
      </c>
      <c r="AN257" s="278">
        <v>0.03</v>
      </c>
      <c r="AO257" s="185" t="e">
        <f t="shared" ca="1" si="63"/>
        <v>#NAME?</v>
      </c>
      <c r="AP257" s="185" t="s">
        <v>211</v>
      </c>
      <c r="AQ257" s="16" t="s">
        <v>181</v>
      </c>
      <c r="AR257" s="16" t="s">
        <v>181</v>
      </c>
      <c r="AS257" s="16" t="s">
        <v>42</v>
      </c>
      <c r="AT257" s="159"/>
      <c r="AU257" s="159"/>
      <c r="AV257" s="16" t="s">
        <v>190</v>
      </c>
      <c r="AW257" s="16" t="s">
        <v>190</v>
      </c>
      <c r="AX257" s="16" t="s">
        <v>190</v>
      </c>
      <c r="AY257" s="16" t="s">
        <v>190</v>
      </c>
      <c r="AZ257" s="54">
        <v>0</v>
      </c>
      <c r="BA257" s="55" t="e">
        <f t="shared" ca="1" si="163"/>
        <v>#NAME?</v>
      </c>
      <c r="BB257" s="278">
        <v>0</v>
      </c>
      <c r="BC257" s="278">
        <v>160000</v>
      </c>
      <c r="BD257" s="62" t="e">
        <f t="shared" ca="1" si="164"/>
        <v>#NAME?</v>
      </c>
      <c r="BE257" s="277">
        <f t="shared" si="165"/>
        <v>1</v>
      </c>
      <c r="BF257" s="62" t="e">
        <f t="shared" ca="1" si="166"/>
        <v>#NAME?</v>
      </c>
      <c r="BG257" s="16" t="s">
        <v>183</v>
      </c>
      <c r="BI257" s="16" t="s">
        <v>227</v>
      </c>
      <c r="BJ257" s="16">
        <v>0</v>
      </c>
      <c r="BK257" s="278">
        <v>2</v>
      </c>
      <c r="BL257" s="16" t="s">
        <v>227</v>
      </c>
      <c r="BM257" s="16" t="s">
        <v>227</v>
      </c>
      <c r="BN257" s="16" t="s">
        <v>190</v>
      </c>
      <c r="BO257" s="16" t="s">
        <v>190</v>
      </c>
      <c r="BP257" s="16">
        <v>3</v>
      </c>
      <c r="BQ257" s="16">
        <v>2</v>
      </c>
      <c r="BR257" s="16">
        <v>0</v>
      </c>
      <c r="BS257" s="16">
        <v>0</v>
      </c>
      <c r="BT257" s="205"/>
      <c r="BU257" s="16">
        <v>7</v>
      </c>
      <c r="BV257" s="16">
        <v>1</v>
      </c>
      <c r="BW257" s="16">
        <v>29</v>
      </c>
      <c r="BX257" s="16" t="s">
        <v>227</v>
      </c>
      <c r="BY257" s="205"/>
      <c r="BZ257" s="16">
        <v>10</v>
      </c>
      <c r="CA257" s="16">
        <v>1</v>
      </c>
      <c r="CB257" s="16">
        <v>36</v>
      </c>
      <c r="CC257" s="16" t="s">
        <v>190</v>
      </c>
      <c r="CD257" s="205"/>
      <c r="CI257" s="205"/>
      <c r="CN257" s="205"/>
      <c r="CS257" s="205"/>
      <c r="CX257" s="205"/>
      <c r="DC257" s="205"/>
      <c r="DH257" s="205"/>
      <c r="DM257" s="205"/>
      <c r="DN257" s="205"/>
      <c r="DO257" s="205"/>
      <c r="DQ257" s="206"/>
      <c r="DR257" s="188">
        <f t="shared" si="64"/>
        <v>8.5</v>
      </c>
      <c r="DS257" s="188"/>
      <c r="DT257" s="189">
        <f t="shared" si="65"/>
        <v>2</v>
      </c>
      <c r="DU257" s="189"/>
      <c r="DV257" s="188">
        <f t="shared" si="66"/>
        <v>32.5</v>
      </c>
      <c r="DW257" s="183" t="e">
        <f t="shared" ca="1" si="67"/>
        <v>#NAME?</v>
      </c>
      <c r="DX257" s="207"/>
      <c r="DY257" s="190" t="e">
        <f t="shared" ca="1" si="68"/>
        <v>#NAME?</v>
      </c>
      <c r="DZ257" s="191">
        <f t="shared" si="338"/>
        <v>1</v>
      </c>
      <c r="EA257" s="191" t="str">
        <f t="shared" si="339"/>
        <v/>
      </c>
      <c r="EB257" s="191" t="str">
        <f t="shared" si="340"/>
        <v/>
      </c>
      <c r="EC257" s="208" t="e">
        <f t="shared" ca="1" si="72"/>
        <v>#NAME?</v>
      </c>
      <c r="ED257" s="36" t="str">
        <f t="shared" si="73"/>
        <v>SAFE</v>
      </c>
      <c r="EE257" s="193">
        <f>COUNTIF($ED$2:$ED$92, ED257)/(COUNTIF($ED$2:$ED$92, "&lt;&gt;""") - COUNTIF($ED$2:$ED$92, ""))</f>
        <v>0.37777777777777777</v>
      </c>
      <c r="EF257" s="36" t="str">
        <f t="shared" si="74"/>
        <v>Early</v>
      </c>
      <c r="EG257" s="207"/>
      <c r="EH257" s="194" t="e">
        <f t="shared" ca="1" si="75"/>
        <v>#NAME?</v>
      </c>
      <c r="EI257" s="194" t="e">
        <f t="shared" ca="1" si="76"/>
        <v>#NAME?</v>
      </c>
      <c r="EJ257" s="209" t="e">
        <f t="shared" ca="1" si="77"/>
        <v>#NAME?</v>
      </c>
      <c r="EK257" s="208" t="e">
        <f t="shared" ca="1" si="341"/>
        <v>#NAME?</v>
      </c>
      <c r="EL257" s="36" t="str">
        <f t="shared" si="79"/>
        <v>No</v>
      </c>
      <c r="EM257" s="207"/>
      <c r="EN257" s="192">
        <f t="shared" si="342"/>
        <v>1.8095238095238095</v>
      </c>
      <c r="EO257" s="192">
        <f t="shared" si="343"/>
        <v>3</v>
      </c>
      <c r="EP257" s="209">
        <f t="shared" si="82"/>
        <v>4.8095238095238093</v>
      </c>
      <c r="EQ257" s="210">
        <f t="shared" si="344"/>
        <v>3.2056074766355138</v>
      </c>
      <c r="ER257" s="36" t="e">
        <f t="shared" ca="1" si="84"/>
        <v>#NAME?</v>
      </c>
      <c r="ES257" s="40">
        <f ca="1">COUNTIF($ER$2:$ER$92, ER257)/(COUNTIF($ER$2:$ER$92, "&lt;&gt;""") - COUNTIF($ER$2:$ER$92, ""))</f>
        <v>1</v>
      </c>
      <c r="ET257" s="36">
        <f t="shared" si="85"/>
        <v>2</v>
      </c>
      <c r="EU257" s="40">
        <f>COUNTIF($ET$2:$ET$92, ET257)/(COUNTIF($ET$2:$ET$92, "&lt;&gt;""") - COUNTIF($ET$2:$ET$92, ""))</f>
        <v>0.45555555555555555</v>
      </c>
      <c r="EV257" s="36">
        <f t="shared" si="86"/>
        <v>2</v>
      </c>
      <c r="EW257" s="40">
        <f>COUNTIF($EV$2:$EV$92, EV257)/(COUNTIF($EV$2:$EV$92, "&lt;&gt;""") - COUNTIF($EV$2:$EV$92, ""))</f>
        <v>0.15555555555555556</v>
      </c>
      <c r="EX257" s="36" t="str">
        <f t="shared" si="87"/>
        <v>Yes</v>
      </c>
      <c r="EY257" s="40">
        <f>COUNTIF($EX$2:$EX$92, EX257)/(COUNTIF($EX$2:$EX$92, "&lt;&gt;""") - COUNTIF($EX$2:$EX$92, ""))</f>
        <v>0.27777777777777779</v>
      </c>
      <c r="EZ257" s="36" t="str">
        <f t="shared" ref="EZ257:FB257" si="400">BM257</f>
        <v>Yes</v>
      </c>
      <c r="FA257" s="36" t="str">
        <f t="shared" si="400"/>
        <v>No</v>
      </c>
      <c r="FB257" s="36" t="str">
        <f t="shared" si="400"/>
        <v>No</v>
      </c>
      <c r="FC257" s="207"/>
      <c r="FD257" s="36" t="str">
        <f t="shared" si="89"/>
        <v>Transactional</v>
      </c>
      <c r="FE257" s="40">
        <f>COUNTIF($FD$2:$FD$92, FD257)/(COUNTIF($FD$2:$FD$92, "&lt;&gt;""") - COUNTIF($FD$2:$FD$92, ""))</f>
        <v>0.6</v>
      </c>
      <c r="FF257" s="36" t="str">
        <f t="shared" si="90"/>
        <v>B2C</v>
      </c>
      <c r="FG257" s="40">
        <f>COUNTIF($FF$2:$FF$92, FF257)/(COUNTIF($FF$2:$FF$92, "&lt;&gt;""") - COUNTIF($FF$2:$FF$92, ""))</f>
        <v>0.41111111111111109</v>
      </c>
      <c r="FH257" s="36" t="str">
        <f t="shared" si="91"/>
        <v>High</v>
      </c>
      <c r="FI257" s="40">
        <f>COUNTIF($FH$2:$FH$92, FH257)/(COUNTIF($FH$2:$FH$92, "&lt;&gt;""") - COUNTIF($FH$2:$FH$92, ""))</f>
        <v>0.53333333333333333</v>
      </c>
      <c r="FJ257" s="36" t="str">
        <f t="shared" si="92"/>
        <v>Low</v>
      </c>
      <c r="FK257" s="40">
        <f>COUNTIF($FJ$2:$FJ$92, FJ257)/(COUNTIF($FJ$2:$FJ$92, "&lt;&gt;""") - COUNTIF($FJ$2:$FJ$92, ""))</f>
        <v>0.41111111111111109</v>
      </c>
      <c r="FL257" s="207"/>
      <c r="FM257" s="192">
        <f t="shared" si="93"/>
        <v>1</v>
      </c>
      <c r="FN257" s="192" t="e">
        <f t="shared" ca="1" si="94"/>
        <v>#NAME?</v>
      </c>
      <c r="FO257" s="192" t="e">
        <f t="shared" ca="1" si="95"/>
        <v>#NAME?</v>
      </c>
      <c r="FP257" s="192" t="e">
        <f t="shared" ca="1" si="96"/>
        <v>#NAME?</v>
      </c>
      <c r="FQ257" s="209" t="e">
        <f t="shared" ca="1" si="97"/>
        <v>#NAME?</v>
      </c>
      <c r="FR257" s="208" t="e">
        <f t="shared" ca="1" si="346"/>
        <v>#NAME?</v>
      </c>
      <c r="FS257" s="36" t="str">
        <f t="shared" si="99"/>
        <v>Pre-Revenue</v>
      </c>
      <c r="FT257" s="196">
        <f>COUNTIF($FS$2:$FS$92, FS257)/(COUNTIF($FS$2:$FS$92, "&lt;&gt;""") - COUNTIF($FZ$2:$FZ$92, ""))</f>
        <v>0.2</v>
      </c>
      <c r="FU257" s="207"/>
      <c r="FV257" s="192" t="e">
        <f t="shared" ca="1" si="100"/>
        <v>#NAME?</v>
      </c>
      <c r="FW257" s="197" t="e">
        <f t="shared" ca="1" si="101"/>
        <v>#NAME?</v>
      </c>
      <c r="FX257" s="209" t="e">
        <f t="shared" ca="1" si="102"/>
        <v>#NAME?</v>
      </c>
      <c r="FY257" s="211" t="e">
        <f t="shared" ca="1" si="347"/>
        <v>#NAME?</v>
      </c>
      <c r="FZ257" s="36" t="str">
        <f t="shared" si="104"/>
        <v>No</v>
      </c>
      <c r="GA257" s="196">
        <f>COUNTIF($FZ$2:$FZ$92, FZ257)/(COUNTIF($FZ$2:$FZ$92, "&lt;&gt;""") - COUNTIF($FZ$2:$FZ$92, ""))</f>
        <v>0.76666666666666672</v>
      </c>
      <c r="GB257" s="196">
        <f t="shared" si="105"/>
        <v>0</v>
      </c>
      <c r="GC257" s="196">
        <f>COUNTIF($GB$2:$GB$92, GB257)/(COUNTIF($GB$2:$GB$92, "&lt;&gt;""") - COUNTIF($GB$2:$GB$92, ""))</f>
        <v>1.1111111111111112E-2</v>
      </c>
      <c r="GD257" s="196">
        <f t="shared" si="106"/>
        <v>0</v>
      </c>
      <c r="GE257" s="196">
        <f>COUNTIF($GD$2:$GD$92, GD257)/(COUNTIF($GD$2:$GD$92, "&lt;&gt;""") - COUNTIF($GD$2:$GD$92, ""))</f>
        <v>1.1111111111111112E-2</v>
      </c>
      <c r="GF257" s="207"/>
      <c r="GG257" s="36"/>
      <c r="GH257" s="209" t="e">
        <f t="shared" ca="1" si="107"/>
        <v>#NAME?</v>
      </c>
      <c r="GI257" s="212" t="e">
        <f t="shared" ca="1" si="348"/>
        <v>#NAME?</v>
      </c>
    </row>
    <row r="258" spans="1:191" ht="15.75" customHeight="1">
      <c r="A258" s="171"/>
      <c r="B258" s="171" t="s">
        <v>501</v>
      </c>
      <c r="C258" s="16">
        <v>1794960</v>
      </c>
      <c r="D258" s="233" t="s">
        <v>1800</v>
      </c>
      <c r="E258" s="270">
        <v>43864.53125</v>
      </c>
      <c r="F258" s="16" t="s">
        <v>329</v>
      </c>
      <c r="G258" s="235" t="s">
        <v>1801</v>
      </c>
      <c r="H258" s="235" t="s">
        <v>1802</v>
      </c>
      <c r="I258" s="271">
        <v>43861</v>
      </c>
      <c r="J258" s="233" t="s">
        <v>1803</v>
      </c>
      <c r="K258" s="233" t="s">
        <v>1800</v>
      </c>
      <c r="M258" s="16" t="s">
        <v>171</v>
      </c>
      <c r="N258" s="16" t="s">
        <v>315</v>
      </c>
      <c r="O258" s="16" t="s">
        <v>30</v>
      </c>
      <c r="P258" s="16" t="s">
        <v>197</v>
      </c>
      <c r="Q258" s="16" t="s">
        <v>35</v>
      </c>
      <c r="S258" s="16" t="s">
        <v>269</v>
      </c>
      <c r="T258" s="237"/>
      <c r="U258" s="213"/>
      <c r="V258" s="54"/>
      <c r="W258" s="54">
        <v>10000000</v>
      </c>
      <c r="X258" s="226">
        <v>0</v>
      </c>
      <c r="Y258" s="55">
        <f t="shared" si="158"/>
        <v>10000000</v>
      </c>
      <c r="Z258" s="274">
        <f t="shared" si="159"/>
        <v>10000000</v>
      </c>
      <c r="AA258" s="183" t="e">
        <f t="shared" ca="1" si="160"/>
        <v>#NAME?</v>
      </c>
      <c r="AB258" s="16" t="s">
        <v>36</v>
      </c>
      <c r="AC258" s="16" t="s">
        <v>218</v>
      </c>
      <c r="AD258" s="16" t="s">
        <v>38</v>
      </c>
      <c r="AE258" s="16" t="s">
        <v>227</v>
      </c>
      <c r="AF258" s="16" t="s">
        <v>39</v>
      </c>
      <c r="AG258" s="16" t="s">
        <v>181</v>
      </c>
      <c r="AH258" s="16" t="s">
        <v>227</v>
      </c>
      <c r="AI258" s="54"/>
      <c r="AJ258" s="278">
        <v>696300000000</v>
      </c>
      <c r="AK258" s="224" t="e">
        <f t="shared" ca="1" si="161"/>
        <v>#NAME?</v>
      </c>
      <c r="AL258" s="278">
        <v>696300000000</v>
      </c>
      <c r="AM258" s="224" t="e">
        <f t="shared" ca="1" si="162"/>
        <v>#NAME?</v>
      </c>
      <c r="AN258" s="278">
        <v>0.12</v>
      </c>
      <c r="AO258" s="185" t="e">
        <f t="shared" ca="1" si="63"/>
        <v>#NAME?</v>
      </c>
      <c r="AP258" s="185" t="s">
        <v>192</v>
      </c>
      <c r="AQ258" s="16" t="s">
        <v>181</v>
      </c>
      <c r="AR258" s="16" t="s">
        <v>181</v>
      </c>
      <c r="AS258" s="16" t="s">
        <v>42</v>
      </c>
      <c r="AT258" s="159"/>
      <c r="AU258" s="159"/>
      <c r="AV258" s="16" t="s">
        <v>190</v>
      </c>
      <c r="AW258" s="16" t="s">
        <v>190</v>
      </c>
      <c r="AX258" s="16" t="s">
        <v>190</v>
      </c>
      <c r="AY258" s="16" t="s">
        <v>190</v>
      </c>
      <c r="AZ258" s="54">
        <v>0</v>
      </c>
      <c r="BA258" s="55" t="e">
        <f t="shared" ca="1" si="163"/>
        <v>#NAME?</v>
      </c>
      <c r="BB258" s="278">
        <v>55308</v>
      </c>
      <c r="BC258" s="278">
        <v>2100000</v>
      </c>
      <c r="BD258" s="62" t="e">
        <f t="shared" ca="1" si="164"/>
        <v>#NAME?</v>
      </c>
      <c r="BE258" s="277">
        <f t="shared" si="165"/>
        <v>2.6337142857142858E-2</v>
      </c>
      <c r="BF258" s="62" t="e">
        <f t="shared" ca="1" si="166"/>
        <v>#NAME?</v>
      </c>
      <c r="BG258" s="16" t="s">
        <v>183</v>
      </c>
      <c r="BI258" s="16" t="s">
        <v>227</v>
      </c>
      <c r="BJ258" s="16">
        <v>0</v>
      </c>
      <c r="BK258" s="278">
        <v>1</v>
      </c>
      <c r="BL258" s="16" t="s">
        <v>190</v>
      </c>
      <c r="BM258" s="16" t="s">
        <v>227</v>
      </c>
      <c r="BN258" s="16" t="s">
        <v>190</v>
      </c>
      <c r="BO258" s="16" t="s">
        <v>190</v>
      </c>
      <c r="BP258" s="16">
        <v>2</v>
      </c>
      <c r="BQ258" s="16">
        <v>6</v>
      </c>
      <c r="BR258" s="16">
        <v>7</v>
      </c>
      <c r="BS258" s="16">
        <v>0</v>
      </c>
      <c r="BT258" s="205"/>
      <c r="BU258" s="16">
        <v>0</v>
      </c>
      <c r="BV258" s="16">
        <v>0</v>
      </c>
      <c r="BW258" s="16">
        <v>51</v>
      </c>
      <c r="BX258" s="16" t="s">
        <v>190</v>
      </c>
      <c r="BY258" s="205"/>
      <c r="CD258" s="205"/>
      <c r="CI258" s="205"/>
      <c r="CN258" s="205"/>
      <c r="CS258" s="205"/>
      <c r="CX258" s="205"/>
      <c r="DC258" s="205"/>
      <c r="DH258" s="205"/>
      <c r="DM258" s="205"/>
      <c r="DN258" s="205"/>
      <c r="DO258" s="205"/>
      <c r="DQ258" s="206"/>
      <c r="DR258" s="188">
        <f t="shared" si="64"/>
        <v>0</v>
      </c>
      <c r="DS258" s="188"/>
      <c r="DT258" s="189">
        <f t="shared" si="65"/>
        <v>0</v>
      </c>
      <c r="DU258" s="189"/>
      <c r="DV258" s="188">
        <f t="shared" si="66"/>
        <v>51</v>
      </c>
      <c r="DW258" s="183" t="e">
        <f t="shared" ca="1" si="67"/>
        <v>#NAME?</v>
      </c>
      <c r="DX258" s="207"/>
      <c r="DY258" s="190" t="e">
        <f t="shared" ca="1" si="68"/>
        <v>#NAME?</v>
      </c>
      <c r="DZ258" s="191">
        <f t="shared" si="338"/>
        <v>1</v>
      </c>
      <c r="EA258" s="191" t="str">
        <f t="shared" si="339"/>
        <v/>
      </c>
      <c r="EB258" s="191" t="str">
        <f t="shared" si="340"/>
        <v/>
      </c>
      <c r="EC258" s="208" t="e">
        <f t="shared" ca="1" si="72"/>
        <v>#NAME?</v>
      </c>
      <c r="ED258" s="36" t="str">
        <f t="shared" si="73"/>
        <v>SAFE</v>
      </c>
      <c r="EE258" s="193">
        <f>COUNTIF($ED$2:$ED$92, ED258)/(COUNTIF($ED$2:$ED$92, "&lt;&gt;""") - COUNTIF($ED$2:$ED$92, ""))</f>
        <v>0.37777777777777777</v>
      </c>
      <c r="EF258" s="36" t="str">
        <f t="shared" si="74"/>
        <v>Early</v>
      </c>
      <c r="EG258" s="207"/>
      <c r="EH258" s="194" t="e">
        <f t="shared" ca="1" si="75"/>
        <v>#NAME?</v>
      </c>
      <c r="EI258" s="194" t="e">
        <f t="shared" ca="1" si="76"/>
        <v>#NAME?</v>
      </c>
      <c r="EJ258" s="209" t="e">
        <f t="shared" ca="1" si="77"/>
        <v>#NAME?</v>
      </c>
      <c r="EK258" s="208" t="e">
        <f t="shared" ca="1" si="341"/>
        <v>#NAME?</v>
      </c>
      <c r="EL258" s="36" t="str">
        <f t="shared" si="79"/>
        <v>No</v>
      </c>
      <c r="EM258" s="207"/>
      <c r="EN258" s="192">
        <f t="shared" si="342"/>
        <v>1</v>
      </c>
      <c r="EO258" s="192">
        <f t="shared" si="343"/>
        <v>1</v>
      </c>
      <c r="EP258" s="209">
        <f t="shared" si="82"/>
        <v>2</v>
      </c>
      <c r="EQ258" s="210">
        <f t="shared" si="344"/>
        <v>1</v>
      </c>
      <c r="ER258" s="36" t="e">
        <f t="shared" ca="1" si="84"/>
        <v>#NAME?</v>
      </c>
      <c r="ES258" s="40">
        <f ca="1">COUNTIF($ER$2:$ER$92, ER258)/(COUNTIF($ER$2:$ER$92, "&lt;&gt;""") - COUNTIF($ER$2:$ER$92, ""))</f>
        <v>1</v>
      </c>
      <c r="ET258" s="36">
        <f t="shared" si="85"/>
        <v>1</v>
      </c>
      <c r="EU258" s="40">
        <f>COUNTIF($ET$2:$ET$92, ET258)/(COUNTIF($ET$2:$ET$92, "&lt;&gt;""") - COUNTIF($ET$2:$ET$92, ""))</f>
        <v>0.45555555555555555</v>
      </c>
      <c r="EV258" s="36">
        <f t="shared" si="86"/>
        <v>6</v>
      </c>
      <c r="EW258" s="40">
        <f>COUNTIF($EV$2:$EV$92, EV258)/(COUNTIF($EV$2:$EV$92, "&lt;&gt;""") - COUNTIF($EV$2:$EV$92, ""))</f>
        <v>5.5555555555555552E-2</v>
      </c>
      <c r="EX258" s="36" t="str">
        <f t="shared" si="87"/>
        <v>No</v>
      </c>
      <c r="EY258" s="40">
        <f>COUNTIF($EX$2:$EX$92, EX258)/(COUNTIF($EX$2:$EX$92, "&lt;&gt;""") - COUNTIF($EX$2:$EX$92, ""))</f>
        <v>0.72222222222222221</v>
      </c>
      <c r="EZ258" s="36" t="str">
        <f t="shared" ref="EZ258:FB258" si="401">BM258</f>
        <v>Yes</v>
      </c>
      <c r="FA258" s="36" t="str">
        <f t="shared" si="401"/>
        <v>No</v>
      </c>
      <c r="FB258" s="36" t="str">
        <f t="shared" si="401"/>
        <v>No</v>
      </c>
      <c r="FC258" s="207"/>
      <c r="FD258" s="36" t="str">
        <f t="shared" si="89"/>
        <v>Transactional</v>
      </c>
      <c r="FE258" s="40">
        <f>COUNTIF($FD$2:$FD$92, FD258)/(COUNTIF($FD$2:$FD$92, "&lt;&gt;""") - COUNTIF($FD$2:$FD$92, ""))</f>
        <v>0.6</v>
      </c>
      <c r="FF258" s="36" t="str">
        <f t="shared" si="90"/>
        <v>B2B/B2C</v>
      </c>
      <c r="FG258" s="40">
        <f>COUNTIF($FF$2:$FF$92, FF258)/(COUNTIF($FF$2:$FF$92, "&lt;&gt;""") - COUNTIF($FF$2:$FF$92, ""))</f>
        <v>0.27777777777777779</v>
      </c>
      <c r="FH258" s="36" t="str">
        <f t="shared" si="91"/>
        <v>High</v>
      </c>
      <c r="FI258" s="40">
        <f>COUNTIF($FH$2:$FH$92, FH258)/(COUNTIF($FH$2:$FH$92, "&lt;&gt;""") - COUNTIF($FH$2:$FH$92, ""))</f>
        <v>0.53333333333333333</v>
      </c>
      <c r="FJ258" s="36" t="str">
        <f t="shared" si="92"/>
        <v>Low</v>
      </c>
      <c r="FK258" s="40">
        <f>COUNTIF($FJ$2:$FJ$92, FJ258)/(COUNTIF($FJ$2:$FJ$92, "&lt;&gt;""") - COUNTIF($FJ$2:$FJ$92, ""))</f>
        <v>0.41111111111111109</v>
      </c>
      <c r="FL258" s="207"/>
      <c r="FM258" s="192">
        <f t="shared" si="93"/>
        <v>1</v>
      </c>
      <c r="FN258" s="192" t="e">
        <f t="shared" ca="1" si="94"/>
        <v>#NAME?</v>
      </c>
      <c r="FO258" s="192" t="e">
        <f t="shared" ca="1" si="95"/>
        <v>#NAME?</v>
      </c>
      <c r="FP258" s="192" t="e">
        <f t="shared" ca="1" si="96"/>
        <v>#NAME?</v>
      </c>
      <c r="FQ258" s="209" t="e">
        <f t="shared" ca="1" si="97"/>
        <v>#NAME?</v>
      </c>
      <c r="FR258" s="208" t="e">
        <f t="shared" ca="1" si="346"/>
        <v>#NAME?</v>
      </c>
      <c r="FS258" s="36" t="str">
        <f t="shared" si="99"/>
        <v>Pre-Revenue</v>
      </c>
      <c r="FT258" s="196">
        <f>COUNTIF($FS$2:$FS$92, FS258)/(COUNTIF($FS$2:$FS$92, "&lt;&gt;""") - COUNTIF($FZ$2:$FZ$92, ""))</f>
        <v>0.2</v>
      </c>
      <c r="FU258" s="207"/>
      <c r="FV258" s="192" t="e">
        <f t="shared" ca="1" si="100"/>
        <v>#NAME?</v>
      </c>
      <c r="FW258" s="197" t="e">
        <f t="shared" ca="1" si="101"/>
        <v>#NAME?</v>
      </c>
      <c r="FX258" s="209" t="e">
        <f t="shared" ca="1" si="102"/>
        <v>#NAME?</v>
      </c>
      <c r="FY258" s="211" t="e">
        <f t="shared" ca="1" si="347"/>
        <v>#NAME?</v>
      </c>
      <c r="FZ258" s="36" t="str">
        <f t="shared" si="104"/>
        <v>No</v>
      </c>
      <c r="GA258" s="196">
        <f>COUNTIF($FZ$2:$FZ$92, FZ258)/(COUNTIF($FZ$2:$FZ$92, "&lt;&gt;""") - COUNTIF($FZ$2:$FZ$92, ""))</f>
        <v>0.76666666666666672</v>
      </c>
      <c r="GB258" s="196">
        <f t="shared" si="105"/>
        <v>0</v>
      </c>
      <c r="GC258" s="196">
        <f>COUNTIF($GB$2:$GB$92, GB258)/(COUNTIF($GB$2:$GB$92, "&lt;&gt;""") - COUNTIF($GB$2:$GB$92, ""))</f>
        <v>1.1111111111111112E-2</v>
      </c>
      <c r="GD258" s="196">
        <f t="shared" si="106"/>
        <v>0</v>
      </c>
      <c r="GE258" s="196">
        <f>COUNTIF($GD$2:$GD$92, GD258)/(COUNTIF($GD$2:$GD$92, "&lt;&gt;""") - COUNTIF($GD$2:$GD$92, ""))</f>
        <v>1.1111111111111112E-2</v>
      </c>
      <c r="GF258" s="207"/>
      <c r="GG258" s="36"/>
      <c r="GH258" s="209" t="e">
        <f t="shared" ca="1" si="107"/>
        <v>#NAME?</v>
      </c>
      <c r="GI258" s="212" t="e">
        <f t="shared" ca="1" si="348"/>
        <v>#NAME?</v>
      </c>
    </row>
    <row r="259" spans="1:191" ht="15.75" customHeight="1">
      <c r="A259" s="171"/>
      <c r="B259" s="171" t="s">
        <v>501</v>
      </c>
      <c r="C259" s="16">
        <v>1799973</v>
      </c>
      <c r="D259" s="233" t="s">
        <v>1804</v>
      </c>
      <c r="E259" s="270">
        <v>43864.533333333333</v>
      </c>
      <c r="F259" s="16" t="s">
        <v>329</v>
      </c>
      <c r="G259" s="235" t="s">
        <v>1805</v>
      </c>
      <c r="H259" s="235" t="s">
        <v>1806</v>
      </c>
      <c r="I259" s="271">
        <v>43861</v>
      </c>
      <c r="J259" s="233" t="s">
        <v>1807</v>
      </c>
      <c r="K259" s="233" t="s">
        <v>1804</v>
      </c>
      <c r="M259" s="16" t="s">
        <v>1808</v>
      </c>
      <c r="N259" s="16" t="s">
        <v>168</v>
      </c>
      <c r="O259" s="16" t="s">
        <v>30</v>
      </c>
      <c r="P259" s="16" t="s">
        <v>31</v>
      </c>
      <c r="Q259" s="16" t="s">
        <v>35</v>
      </c>
      <c r="S259" s="16" t="s">
        <v>269</v>
      </c>
      <c r="T259" s="237"/>
      <c r="U259" s="213"/>
      <c r="V259" s="54"/>
      <c r="W259" s="54">
        <v>4000000</v>
      </c>
      <c r="X259" s="226">
        <v>0.2</v>
      </c>
      <c r="Y259" s="55">
        <f t="shared" si="158"/>
        <v>3200000</v>
      </c>
      <c r="Z259" s="274">
        <f t="shared" si="159"/>
        <v>3200000</v>
      </c>
      <c r="AA259" s="183" t="e">
        <f t="shared" ca="1" si="160"/>
        <v>#NAME?</v>
      </c>
      <c r="AB259" s="16" t="s">
        <v>178</v>
      </c>
      <c r="AC259" s="16" t="s">
        <v>218</v>
      </c>
      <c r="AD259" s="16" t="s">
        <v>38</v>
      </c>
      <c r="AE259" s="16" t="s">
        <v>227</v>
      </c>
      <c r="AF259" s="16" t="s">
        <v>181</v>
      </c>
      <c r="AG259" s="16" t="s">
        <v>181</v>
      </c>
      <c r="AH259" s="16" t="s">
        <v>227</v>
      </c>
      <c r="AI259" s="54"/>
      <c r="AJ259" s="278">
        <v>122740000000</v>
      </c>
      <c r="AK259" s="224" t="e">
        <f t="shared" ca="1" si="161"/>
        <v>#NAME?</v>
      </c>
      <c r="AL259" s="278">
        <v>23990000000</v>
      </c>
      <c r="AM259" s="224" t="e">
        <f t="shared" ca="1" si="162"/>
        <v>#NAME?</v>
      </c>
      <c r="AN259" s="278">
        <v>0.09</v>
      </c>
      <c r="AO259" s="185" t="e">
        <f t="shared" ca="1" si="63"/>
        <v>#NAME?</v>
      </c>
      <c r="AP259" s="185" t="s">
        <v>169</v>
      </c>
      <c r="AQ259" s="16" t="s">
        <v>181</v>
      </c>
      <c r="AR259" s="16" t="s">
        <v>181</v>
      </c>
      <c r="AS259" s="16" t="s">
        <v>42</v>
      </c>
      <c r="AT259" s="159"/>
      <c r="AU259" s="159"/>
      <c r="AV259" s="16" t="s">
        <v>227</v>
      </c>
      <c r="AW259" s="16" t="s">
        <v>190</v>
      </c>
      <c r="AX259" s="16" t="s">
        <v>190</v>
      </c>
      <c r="AY259" s="16" t="s">
        <v>190</v>
      </c>
      <c r="AZ259" s="54">
        <v>0</v>
      </c>
      <c r="BA259" s="55" t="e">
        <f t="shared" ca="1" si="163"/>
        <v>#NAME?</v>
      </c>
      <c r="BB259" s="278">
        <v>5352</v>
      </c>
      <c r="BC259" s="278">
        <v>25032</v>
      </c>
      <c r="BD259" s="62" t="e">
        <f t="shared" ca="1" si="164"/>
        <v>#NAME?</v>
      </c>
      <c r="BE259" s="277">
        <f t="shared" si="165"/>
        <v>0.21380632790028764</v>
      </c>
      <c r="BF259" s="62" t="e">
        <f t="shared" ca="1" si="166"/>
        <v>#NAME?</v>
      </c>
      <c r="BG259" s="16" t="s">
        <v>183</v>
      </c>
      <c r="BI259" s="16" t="s">
        <v>227</v>
      </c>
      <c r="BJ259" s="16">
        <v>1</v>
      </c>
      <c r="BK259" s="278">
        <v>2</v>
      </c>
      <c r="BL259" s="16" t="s">
        <v>227</v>
      </c>
      <c r="BM259" s="16" t="s">
        <v>227</v>
      </c>
      <c r="BN259" s="16" t="s">
        <v>190</v>
      </c>
      <c r="BO259" s="16" t="s">
        <v>190</v>
      </c>
      <c r="BP259" s="16">
        <v>3</v>
      </c>
      <c r="BQ259" s="16">
        <v>2</v>
      </c>
      <c r="BR259" s="16">
        <v>0</v>
      </c>
      <c r="BS259" s="16">
        <v>0</v>
      </c>
      <c r="BT259" s="205"/>
      <c r="BU259" s="16">
        <v>0</v>
      </c>
      <c r="BV259" s="16">
        <v>0</v>
      </c>
      <c r="BW259" s="16">
        <v>36</v>
      </c>
      <c r="BX259" s="16" t="s">
        <v>227</v>
      </c>
      <c r="BY259" s="205"/>
      <c r="BZ259" s="16">
        <v>3</v>
      </c>
      <c r="CA259" s="16">
        <v>0</v>
      </c>
      <c r="CB259" s="16">
        <v>29</v>
      </c>
      <c r="CC259" s="16" t="s">
        <v>227</v>
      </c>
      <c r="CD259" s="205"/>
      <c r="CI259" s="205"/>
      <c r="CN259" s="205"/>
      <c r="CS259" s="205"/>
      <c r="CX259" s="205"/>
      <c r="DC259" s="205"/>
      <c r="DH259" s="205"/>
      <c r="DM259" s="205"/>
      <c r="DN259" s="205"/>
      <c r="DO259" s="205"/>
      <c r="DQ259" s="206"/>
      <c r="DR259" s="188">
        <f t="shared" si="64"/>
        <v>1.5</v>
      </c>
      <c r="DS259" s="188"/>
      <c r="DT259" s="189">
        <f t="shared" si="65"/>
        <v>0</v>
      </c>
      <c r="DU259" s="189"/>
      <c r="DV259" s="188">
        <f t="shared" si="66"/>
        <v>32.5</v>
      </c>
      <c r="DW259" s="183" t="e">
        <f t="shared" ca="1" si="67"/>
        <v>#NAME?</v>
      </c>
      <c r="DX259" s="207"/>
      <c r="DY259" s="190" t="e">
        <f t="shared" ca="1" si="68"/>
        <v>#NAME?</v>
      </c>
      <c r="DZ259" s="191">
        <f t="shared" si="338"/>
        <v>3.1052631578947367</v>
      </c>
      <c r="EA259" s="191" t="str">
        <f t="shared" si="339"/>
        <v/>
      </c>
      <c r="EB259" s="191" t="str">
        <f t="shared" si="340"/>
        <v/>
      </c>
      <c r="EC259" s="208" t="e">
        <f t="shared" ca="1" si="72"/>
        <v>#NAME?</v>
      </c>
      <c r="ED259" s="36" t="str">
        <f t="shared" si="73"/>
        <v>SAFE</v>
      </c>
      <c r="EE259" s="193">
        <f>COUNTIF($ED$2:$ED$92, ED259)/(COUNTIF($ED$2:$ED$92, "&lt;&gt;""") - COUNTIF($ED$2:$ED$92, ""))</f>
        <v>0.37777777777777777</v>
      </c>
      <c r="EF259" s="36" t="str">
        <f t="shared" si="74"/>
        <v>Early</v>
      </c>
      <c r="EG259" s="207"/>
      <c r="EH259" s="194" t="e">
        <f t="shared" ca="1" si="75"/>
        <v>#NAME?</v>
      </c>
      <c r="EI259" s="194" t="e">
        <f t="shared" ca="1" si="76"/>
        <v>#NAME?</v>
      </c>
      <c r="EJ259" s="209" t="e">
        <f t="shared" ca="1" si="77"/>
        <v>#NAME?</v>
      </c>
      <c r="EK259" s="208" t="e">
        <f t="shared" ca="1" si="341"/>
        <v>#NAME?</v>
      </c>
      <c r="EL259" s="36" t="str">
        <f t="shared" si="79"/>
        <v>Yes</v>
      </c>
      <c r="EM259" s="207"/>
      <c r="EN259" s="192">
        <f t="shared" si="342"/>
        <v>1.1428571428571428</v>
      </c>
      <c r="EO259" s="192">
        <f t="shared" si="343"/>
        <v>1</v>
      </c>
      <c r="EP259" s="209">
        <f t="shared" si="82"/>
        <v>2.1428571428571428</v>
      </c>
      <c r="EQ259" s="210">
        <f t="shared" si="344"/>
        <v>1.1121495327102804</v>
      </c>
      <c r="ER259" s="36" t="e">
        <f t="shared" ca="1" si="84"/>
        <v>#NAME?</v>
      </c>
      <c r="ES259" s="40">
        <f ca="1">COUNTIF($ER$2:$ER$92, ER259)/(COUNTIF($ER$2:$ER$92, "&lt;&gt;""") - COUNTIF($ER$2:$ER$92, ""))</f>
        <v>1</v>
      </c>
      <c r="ET259" s="36">
        <f t="shared" si="85"/>
        <v>2</v>
      </c>
      <c r="EU259" s="40">
        <f>COUNTIF($ET$2:$ET$92, ET259)/(COUNTIF($ET$2:$ET$92, "&lt;&gt;""") - COUNTIF($ET$2:$ET$92, ""))</f>
        <v>0.45555555555555555</v>
      </c>
      <c r="EV259" s="36">
        <f t="shared" si="86"/>
        <v>2</v>
      </c>
      <c r="EW259" s="40">
        <f>COUNTIF($EV$2:$EV$92, EV259)/(COUNTIF($EV$2:$EV$92, "&lt;&gt;""") - COUNTIF($EV$2:$EV$92, ""))</f>
        <v>0.15555555555555556</v>
      </c>
      <c r="EX259" s="36" t="str">
        <f t="shared" si="87"/>
        <v>Yes</v>
      </c>
      <c r="EY259" s="40">
        <f>COUNTIF($EX$2:$EX$92, EX259)/(COUNTIF($EX$2:$EX$92, "&lt;&gt;""") - COUNTIF($EX$2:$EX$92, ""))</f>
        <v>0.27777777777777779</v>
      </c>
      <c r="EZ259" s="36" t="str">
        <f t="shared" ref="EZ259:FB259" si="402">BM259</f>
        <v>Yes</v>
      </c>
      <c r="FA259" s="36" t="str">
        <f t="shared" si="402"/>
        <v>No</v>
      </c>
      <c r="FB259" s="36" t="str">
        <f t="shared" si="402"/>
        <v>No</v>
      </c>
      <c r="FC259" s="207"/>
      <c r="FD259" s="36" t="str">
        <f t="shared" si="89"/>
        <v>Recurring</v>
      </c>
      <c r="FE259" s="40">
        <f>COUNTIF($FD$2:$FD$92, FD259)/(COUNTIF($FD$2:$FD$92, "&lt;&gt;""") - COUNTIF($FD$2:$FD$92, ""))</f>
        <v>0.4</v>
      </c>
      <c r="FF259" s="36" t="str">
        <f t="shared" si="90"/>
        <v>B2B/B2C</v>
      </c>
      <c r="FG259" s="40">
        <f>COUNTIF($FF$2:$FF$92, FF259)/(COUNTIF($FF$2:$FF$92, "&lt;&gt;""") - COUNTIF($FF$2:$FF$92, ""))</f>
        <v>0.27777777777777779</v>
      </c>
      <c r="FH259" s="36" t="str">
        <f t="shared" si="91"/>
        <v>Low</v>
      </c>
      <c r="FI259" s="40">
        <f>COUNTIF($FH$2:$FH$92, FH259)/(COUNTIF($FH$2:$FH$92, "&lt;&gt;""") - COUNTIF($FH$2:$FH$92, ""))</f>
        <v>0.46666666666666667</v>
      </c>
      <c r="FJ259" s="36" t="str">
        <f t="shared" si="92"/>
        <v>Low</v>
      </c>
      <c r="FK259" s="40">
        <f>COUNTIF($FJ$2:$FJ$92, FJ259)/(COUNTIF($FJ$2:$FJ$92, "&lt;&gt;""") - COUNTIF($FJ$2:$FJ$92, ""))</f>
        <v>0.41111111111111109</v>
      </c>
      <c r="FL259" s="207"/>
      <c r="FM259" s="192">
        <f t="shared" si="93"/>
        <v>1</v>
      </c>
      <c r="FN259" s="192" t="e">
        <f t="shared" ca="1" si="94"/>
        <v>#NAME?</v>
      </c>
      <c r="FO259" s="192" t="e">
        <f t="shared" ca="1" si="95"/>
        <v>#NAME?</v>
      </c>
      <c r="FP259" s="192" t="e">
        <f t="shared" ca="1" si="96"/>
        <v>#NAME?</v>
      </c>
      <c r="FQ259" s="209" t="e">
        <f t="shared" ca="1" si="97"/>
        <v>#NAME?</v>
      </c>
      <c r="FR259" s="208" t="e">
        <f t="shared" ca="1" si="346"/>
        <v>#NAME?</v>
      </c>
      <c r="FS259" s="36" t="str">
        <f t="shared" si="99"/>
        <v>Pre-Revenue</v>
      </c>
      <c r="FT259" s="196">
        <f>COUNTIF($FS$2:$FS$92, FS259)/(COUNTIF($FS$2:$FS$92, "&lt;&gt;""") - COUNTIF($FZ$2:$FZ$92, ""))</f>
        <v>0.2</v>
      </c>
      <c r="FU259" s="207"/>
      <c r="FV259" s="192" t="e">
        <f t="shared" ca="1" si="100"/>
        <v>#NAME?</v>
      </c>
      <c r="FW259" s="197" t="e">
        <f t="shared" ca="1" si="101"/>
        <v>#NAME?</v>
      </c>
      <c r="FX259" s="209" t="e">
        <f t="shared" ca="1" si="102"/>
        <v>#NAME?</v>
      </c>
      <c r="FY259" s="211" t="e">
        <f t="shared" ca="1" si="347"/>
        <v>#NAME?</v>
      </c>
      <c r="FZ259" s="36" t="str">
        <f t="shared" si="104"/>
        <v>No</v>
      </c>
      <c r="GA259" s="196">
        <f>COUNTIF($FZ$2:$FZ$92, FZ259)/(COUNTIF($FZ$2:$FZ$92, "&lt;&gt;""") - COUNTIF($FZ$2:$FZ$92, ""))</f>
        <v>0.76666666666666672</v>
      </c>
      <c r="GB259" s="196">
        <f t="shared" si="105"/>
        <v>0</v>
      </c>
      <c r="GC259" s="196">
        <f>COUNTIF($GB$2:$GB$92, GB259)/(COUNTIF($GB$2:$GB$92, "&lt;&gt;""") - COUNTIF($GB$2:$GB$92, ""))</f>
        <v>1.1111111111111112E-2</v>
      </c>
      <c r="GD259" s="196">
        <f t="shared" si="106"/>
        <v>0</v>
      </c>
      <c r="GE259" s="196">
        <f>COUNTIF($GD$2:$GD$92, GD259)/(COUNTIF($GD$2:$GD$92, "&lt;&gt;""") - COUNTIF($GD$2:$GD$92, ""))</f>
        <v>1.1111111111111112E-2</v>
      </c>
      <c r="GF259" s="207"/>
      <c r="GG259" s="36"/>
      <c r="GH259" s="209" t="e">
        <f t="shared" ca="1" si="107"/>
        <v>#NAME?</v>
      </c>
      <c r="GI259" s="212" t="e">
        <f t="shared" ca="1" si="348"/>
        <v>#NAME?</v>
      </c>
    </row>
    <row r="260" spans="1:191" ht="15.75" customHeight="1">
      <c r="A260" s="171"/>
      <c r="B260" s="171" t="s">
        <v>501</v>
      </c>
      <c r="C260" s="16">
        <v>1683872</v>
      </c>
      <c r="D260" s="233" t="s">
        <v>1809</v>
      </c>
      <c r="E260" s="270">
        <v>43864.536111111112</v>
      </c>
      <c r="F260" s="16" t="s">
        <v>337</v>
      </c>
      <c r="G260" s="235" t="s">
        <v>1810</v>
      </c>
      <c r="H260" s="235" t="s">
        <v>1811</v>
      </c>
      <c r="I260" s="271">
        <v>43889</v>
      </c>
      <c r="J260" s="233" t="s">
        <v>1809</v>
      </c>
      <c r="K260" s="233"/>
      <c r="M260" s="16" t="s">
        <v>929</v>
      </c>
      <c r="N260" s="16" t="s">
        <v>213</v>
      </c>
      <c r="O260" s="16" t="s">
        <v>30</v>
      </c>
      <c r="P260" s="16" t="s">
        <v>197</v>
      </c>
      <c r="Q260" s="16" t="s">
        <v>35</v>
      </c>
      <c r="S260" s="16" t="s">
        <v>216</v>
      </c>
      <c r="T260" s="237"/>
      <c r="U260" s="213"/>
      <c r="V260" s="54">
        <v>80384390</v>
      </c>
      <c r="W260" s="54"/>
      <c r="X260" s="226"/>
      <c r="Y260" s="55" t="str">
        <f t="shared" si="158"/>
        <v/>
      </c>
      <c r="Z260" s="274">
        <f t="shared" si="159"/>
        <v>80384390</v>
      </c>
      <c r="AA260" s="183" t="e">
        <f t="shared" ca="1" si="160"/>
        <v>#NAME?</v>
      </c>
      <c r="AB260" s="16" t="s">
        <v>36</v>
      </c>
      <c r="AC260" s="16" t="s">
        <v>218</v>
      </c>
      <c r="AD260" s="16" t="s">
        <v>180</v>
      </c>
      <c r="AE260" s="16" t="s">
        <v>227</v>
      </c>
      <c r="AF260" s="16" t="s">
        <v>181</v>
      </c>
      <c r="AG260" s="16" t="s">
        <v>39</v>
      </c>
      <c r="AH260" s="16" t="s">
        <v>190</v>
      </c>
      <c r="AI260" s="54"/>
      <c r="AJ260" s="278">
        <v>177800000000</v>
      </c>
      <c r="AK260" s="224" t="e">
        <f t="shared" ca="1" si="161"/>
        <v>#NAME?</v>
      </c>
      <c r="AL260" s="278">
        <v>36820000000</v>
      </c>
      <c r="AM260" s="224" t="e">
        <f t="shared" ca="1" si="162"/>
        <v>#NAME?</v>
      </c>
      <c r="AN260" s="278">
        <v>0.24</v>
      </c>
      <c r="AO260" s="185" t="e">
        <f t="shared" ca="1" si="63"/>
        <v>#NAME?</v>
      </c>
      <c r="AP260" s="185" t="s">
        <v>242</v>
      </c>
      <c r="AQ260" s="16" t="s">
        <v>181</v>
      </c>
      <c r="AR260" s="16" t="s">
        <v>39</v>
      </c>
      <c r="AS260" s="16" t="s">
        <v>182</v>
      </c>
      <c r="AT260" s="159"/>
      <c r="AU260" s="159"/>
      <c r="AV260" s="16" t="s">
        <v>227</v>
      </c>
      <c r="AW260" s="16" t="s">
        <v>190</v>
      </c>
      <c r="AX260" s="16" t="s">
        <v>190</v>
      </c>
      <c r="AY260" s="16" t="s">
        <v>190</v>
      </c>
      <c r="AZ260" s="54">
        <v>0</v>
      </c>
      <c r="BA260" s="55" t="e">
        <f t="shared" ca="1" si="163"/>
        <v>#NAME?</v>
      </c>
      <c r="BB260" s="278">
        <v>28695</v>
      </c>
      <c r="BC260" s="278">
        <v>1410090</v>
      </c>
      <c r="BD260" s="62" t="e">
        <f t="shared" ca="1" si="164"/>
        <v>#NAME?</v>
      </c>
      <c r="BE260" s="277">
        <f t="shared" si="165"/>
        <v>2.0349764908622853E-2</v>
      </c>
      <c r="BF260" s="62" t="e">
        <f t="shared" ca="1" si="166"/>
        <v>#NAME?</v>
      </c>
      <c r="BG260" s="16" t="s">
        <v>43</v>
      </c>
      <c r="BI260" s="16" t="s">
        <v>190</v>
      </c>
      <c r="BJ260" s="16">
        <v>0</v>
      </c>
      <c r="BK260" s="278">
        <v>1</v>
      </c>
      <c r="BL260" s="16" t="s">
        <v>227</v>
      </c>
      <c r="BM260" s="16" t="s">
        <v>190</v>
      </c>
      <c r="BN260" s="16" t="s">
        <v>190</v>
      </c>
      <c r="BO260" s="16" t="s">
        <v>190</v>
      </c>
      <c r="BP260" s="16">
        <v>1</v>
      </c>
      <c r="BQ260" s="16">
        <v>1</v>
      </c>
      <c r="BR260" s="16">
        <v>0</v>
      </c>
      <c r="BS260" s="16">
        <v>0</v>
      </c>
      <c r="BT260" s="205"/>
      <c r="BU260" s="16">
        <v>3</v>
      </c>
      <c r="BV260" s="16">
        <v>0</v>
      </c>
      <c r="BW260" s="16">
        <v>42</v>
      </c>
      <c r="BX260" s="16" t="s">
        <v>190</v>
      </c>
      <c r="BY260" s="205"/>
      <c r="CD260" s="205"/>
      <c r="CI260" s="205"/>
      <c r="CN260" s="205"/>
      <c r="CS260" s="205"/>
      <c r="CX260" s="205"/>
      <c r="DC260" s="205"/>
      <c r="DH260" s="205"/>
      <c r="DM260" s="205"/>
      <c r="DN260" s="205"/>
      <c r="DO260" s="205"/>
      <c r="DQ260" s="206"/>
      <c r="DR260" s="188">
        <f t="shared" si="64"/>
        <v>3</v>
      </c>
      <c r="DS260" s="188"/>
      <c r="DT260" s="189">
        <f t="shared" si="65"/>
        <v>0</v>
      </c>
      <c r="DU260" s="189"/>
      <c r="DV260" s="188">
        <f t="shared" si="66"/>
        <v>42</v>
      </c>
      <c r="DW260" s="183" t="e">
        <f t="shared" ca="1" si="67"/>
        <v>#NAME?</v>
      </c>
      <c r="DX260" s="207"/>
      <c r="DY260" s="190" t="e">
        <f t="shared" ca="1" si="68"/>
        <v>#NAME?</v>
      </c>
      <c r="DZ260" s="191" t="str">
        <f t="shared" si="338"/>
        <v/>
      </c>
      <c r="EA260" s="191" t="str">
        <f t="shared" si="339"/>
        <v/>
      </c>
      <c r="EB260" s="191" t="str">
        <f t="shared" si="340"/>
        <v/>
      </c>
      <c r="EC260" s="208" t="e">
        <f t="shared" ca="1" si="72"/>
        <v>#NAME?</v>
      </c>
      <c r="ED260" s="36" t="str">
        <f t="shared" si="73"/>
        <v>Equity - Common</v>
      </c>
      <c r="EE260" s="193">
        <f>COUNTIF($ED$2:$ED$92, ED260)/(COUNTIF($ED$2:$ED$92, "&lt;&gt;""") - COUNTIF($ED$2:$ED$92, ""))</f>
        <v>0.32222222222222224</v>
      </c>
      <c r="EF260" s="36" t="str">
        <f t="shared" si="74"/>
        <v>Early</v>
      </c>
      <c r="EG260" s="207"/>
      <c r="EH260" s="194" t="e">
        <f t="shared" ca="1" si="75"/>
        <v>#NAME?</v>
      </c>
      <c r="EI260" s="194" t="e">
        <f t="shared" ca="1" si="76"/>
        <v>#NAME?</v>
      </c>
      <c r="EJ260" s="209" t="e">
        <f t="shared" ca="1" si="77"/>
        <v>#NAME?</v>
      </c>
      <c r="EK260" s="208" t="e">
        <f t="shared" ca="1" si="341"/>
        <v>#NAME?</v>
      </c>
      <c r="EL260" s="36" t="str">
        <f t="shared" si="79"/>
        <v>Yes</v>
      </c>
      <c r="EM260" s="207"/>
      <c r="EN260" s="192">
        <f t="shared" si="342"/>
        <v>1.2857142857142856</v>
      </c>
      <c r="EO260" s="192">
        <f t="shared" si="343"/>
        <v>1</v>
      </c>
      <c r="EP260" s="209">
        <f t="shared" si="82"/>
        <v>2.2857142857142856</v>
      </c>
      <c r="EQ260" s="210">
        <f t="shared" si="344"/>
        <v>1.2242990654205608</v>
      </c>
      <c r="ER260" s="36" t="e">
        <f t="shared" ca="1" si="84"/>
        <v>#NAME?</v>
      </c>
      <c r="ES260" s="40">
        <f ca="1">COUNTIF($ER$2:$ER$92, ER260)/(COUNTIF($ER$2:$ER$92, "&lt;&gt;""") - COUNTIF($ER$2:$ER$92, ""))</f>
        <v>1</v>
      </c>
      <c r="ET260" s="36">
        <f t="shared" si="85"/>
        <v>1</v>
      </c>
      <c r="EU260" s="40">
        <f>COUNTIF($ET$2:$ET$92, ET260)/(COUNTIF($ET$2:$ET$92, "&lt;&gt;""") - COUNTIF($ET$2:$ET$92, ""))</f>
        <v>0.45555555555555555</v>
      </c>
      <c r="EV260" s="36">
        <f t="shared" si="86"/>
        <v>1</v>
      </c>
      <c r="EW260" s="40">
        <f>COUNTIF($EV$2:$EV$92, EV260)/(COUNTIF($EV$2:$EV$92, "&lt;&gt;""") - COUNTIF($EV$2:$EV$92, ""))</f>
        <v>7.7777777777777779E-2</v>
      </c>
      <c r="EX260" s="36" t="str">
        <f t="shared" si="87"/>
        <v>Yes</v>
      </c>
      <c r="EY260" s="40">
        <f>COUNTIF($EX$2:$EX$92, EX260)/(COUNTIF($EX$2:$EX$92, "&lt;&gt;""") - COUNTIF($EX$2:$EX$92, ""))</f>
        <v>0.27777777777777779</v>
      </c>
      <c r="EZ260" s="36" t="str">
        <f t="shared" ref="EZ260:FB260" si="403">BM260</f>
        <v>No</v>
      </c>
      <c r="FA260" s="36" t="str">
        <f t="shared" si="403"/>
        <v>No</v>
      </c>
      <c r="FB260" s="36" t="str">
        <f t="shared" si="403"/>
        <v>No</v>
      </c>
      <c r="FC260" s="207"/>
      <c r="FD260" s="36" t="str">
        <f t="shared" si="89"/>
        <v>Transactional</v>
      </c>
      <c r="FE260" s="40">
        <f>COUNTIF($FD$2:$FD$92, FD260)/(COUNTIF($FD$2:$FD$92, "&lt;&gt;""") - COUNTIF($FD$2:$FD$92, ""))</f>
        <v>0.6</v>
      </c>
      <c r="FF260" s="36" t="str">
        <f t="shared" si="90"/>
        <v>B2B/B2C</v>
      </c>
      <c r="FG260" s="40">
        <f>COUNTIF($FF$2:$FF$92, FF260)/(COUNTIF($FF$2:$FF$92, "&lt;&gt;""") - COUNTIF($FF$2:$FF$92, ""))</f>
        <v>0.27777777777777779</v>
      </c>
      <c r="FH260" s="36" t="str">
        <f t="shared" si="91"/>
        <v>Low</v>
      </c>
      <c r="FI260" s="40">
        <f>COUNTIF($FH$2:$FH$92, FH260)/(COUNTIF($FH$2:$FH$92, "&lt;&gt;""") - COUNTIF($FH$2:$FH$92, ""))</f>
        <v>0.46666666666666667</v>
      </c>
      <c r="FJ260" s="36" t="str">
        <f t="shared" si="92"/>
        <v>High</v>
      </c>
      <c r="FK260" s="40">
        <f>COUNTIF($FJ$2:$FJ$92, FJ260)/(COUNTIF($FJ$2:$FJ$92, "&lt;&gt;""") - COUNTIF($FJ$2:$FJ$92, ""))</f>
        <v>0.58888888888888891</v>
      </c>
      <c r="FL260" s="207"/>
      <c r="FM260" s="192">
        <f t="shared" si="93"/>
        <v>1</v>
      </c>
      <c r="FN260" s="192" t="e">
        <f t="shared" ca="1" si="94"/>
        <v>#NAME?</v>
      </c>
      <c r="FO260" s="192" t="e">
        <f t="shared" ca="1" si="95"/>
        <v>#NAME?</v>
      </c>
      <c r="FP260" s="192" t="e">
        <f t="shared" ca="1" si="96"/>
        <v>#NAME?</v>
      </c>
      <c r="FQ260" s="209" t="e">
        <f t="shared" ca="1" si="97"/>
        <v>#NAME?</v>
      </c>
      <c r="FR260" s="208" t="e">
        <f t="shared" ca="1" si="346"/>
        <v>#NAME?</v>
      </c>
      <c r="FS260" s="36" t="str">
        <f t="shared" si="99"/>
        <v>Pre-Product</v>
      </c>
      <c r="FT260" s="196">
        <f>COUNTIF($FS$2:$FS$92, FS260)/(COUNTIF($FS$2:$FS$92, "&lt;&gt;""") - COUNTIF($FZ$2:$FZ$92, ""))</f>
        <v>0.22222222222222221</v>
      </c>
      <c r="FU260" s="207"/>
      <c r="FV260" s="192">
        <f t="shared" si="100"/>
        <v>3</v>
      </c>
      <c r="FW260" s="197" t="e">
        <f t="shared" ca="1" si="101"/>
        <v>#NAME?</v>
      </c>
      <c r="FX260" s="209" t="e">
        <f t="shared" ca="1" si="102"/>
        <v>#NAME?</v>
      </c>
      <c r="FY260" s="211" t="e">
        <f t="shared" ca="1" si="347"/>
        <v>#NAME?</v>
      </c>
      <c r="FZ260" s="36" t="str">
        <f t="shared" si="104"/>
        <v>No</v>
      </c>
      <c r="GA260" s="196">
        <f>COUNTIF($FZ$2:$FZ$92, FZ260)/(COUNTIF($FZ$2:$FZ$92, "&lt;&gt;""") - COUNTIF($FZ$2:$FZ$92, ""))</f>
        <v>0.76666666666666672</v>
      </c>
      <c r="GB260" s="196">
        <f t="shared" si="105"/>
        <v>0</v>
      </c>
      <c r="GC260" s="196">
        <f>COUNTIF($GB$2:$GB$92, GB260)/(COUNTIF($GB$2:$GB$92, "&lt;&gt;""") - COUNTIF($GB$2:$GB$92, ""))</f>
        <v>1.1111111111111112E-2</v>
      </c>
      <c r="GD260" s="196">
        <f t="shared" si="106"/>
        <v>0</v>
      </c>
      <c r="GE260" s="196">
        <f>COUNTIF($GD$2:$GD$92, GD260)/(COUNTIF($GD$2:$GD$92, "&lt;&gt;""") - COUNTIF($GD$2:$GD$92, ""))</f>
        <v>1.1111111111111112E-2</v>
      </c>
      <c r="GF260" s="207"/>
      <c r="GG260" s="36"/>
      <c r="GH260" s="209" t="e">
        <f t="shared" ca="1" si="107"/>
        <v>#NAME?</v>
      </c>
      <c r="GI260" s="212" t="e">
        <f t="shared" ca="1" si="348"/>
        <v>#NAME?</v>
      </c>
    </row>
    <row r="261" spans="1:191" ht="15.75" customHeight="1">
      <c r="A261" s="171"/>
      <c r="B261" s="171" t="s">
        <v>501</v>
      </c>
      <c r="C261" s="16">
        <v>1801449</v>
      </c>
      <c r="D261" s="233" t="s">
        <v>1812</v>
      </c>
      <c r="E261" s="270">
        <v>43864.538194444445</v>
      </c>
      <c r="F261" s="16" t="s">
        <v>337</v>
      </c>
      <c r="G261" s="235" t="s">
        <v>1813</v>
      </c>
      <c r="H261" s="235" t="s">
        <v>1814</v>
      </c>
      <c r="I261" s="271">
        <v>43861</v>
      </c>
      <c r="J261" s="233" t="s">
        <v>1815</v>
      </c>
      <c r="K261" s="233" t="s">
        <v>1812</v>
      </c>
      <c r="M261" s="243" t="s">
        <v>28</v>
      </c>
      <c r="N261" s="16" t="s">
        <v>168</v>
      </c>
      <c r="O261" s="16" t="s">
        <v>173</v>
      </c>
      <c r="P261" s="16" t="s">
        <v>197</v>
      </c>
      <c r="Q261" s="16" t="s">
        <v>35</v>
      </c>
      <c r="S261" s="16" t="s">
        <v>216</v>
      </c>
      <c r="T261" s="237"/>
      <c r="U261" s="213"/>
      <c r="V261" s="54">
        <v>10998984</v>
      </c>
      <c r="W261" s="54"/>
      <c r="X261" s="226"/>
      <c r="Y261" s="55" t="str">
        <f t="shared" si="158"/>
        <v/>
      </c>
      <c r="Z261" s="274">
        <f t="shared" si="159"/>
        <v>10998984</v>
      </c>
      <c r="AA261" s="183" t="e">
        <f t="shared" ca="1" si="160"/>
        <v>#NAME?</v>
      </c>
      <c r="AB261" s="16" t="s">
        <v>36</v>
      </c>
      <c r="AC261" s="16" t="s">
        <v>218</v>
      </c>
      <c r="AD261" s="16" t="s">
        <v>38</v>
      </c>
      <c r="AE261" s="16" t="s">
        <v>227</v>
      </c>
      <c r="AF261" s="16" t="s">
        <v>39</v>
      </c>
      <c r="AG261" s="16" t="s">
        <v>181</v>
      </c>
      <c r="AH261" s="16" t="s">
        <v>190</v>
      </c>
      <c r="AI261" s="54"/>
      <c r="AJ261" s="278">
        <v>200000000000</v>
      </c>
      <c r="AK261" s="224" t="e">
        <f t="shared" ca="1" si="161"/>
        <v>#NAME?</v>
      </c>
      <c r="AL261" s="278">
        <v>3390000000</v>
      </c>
      <c r="AM261" s="224" t="e">
        <f t="shared" ca="1" si="162"/>
        <v>#NAME?</v>
      </c>
      <c r="AN261" s="278">
        <v>0.27</v>
      </c>
      <c r="AO261" s="185" t="e">
        <f t="shared" ca="1" si="63"/>
        <v>#NAME?</v>
      </c>
      <c r="AP261" s="185" t="s">
        <v>264</v>
      </c>
      <c r="AQ261" s="16" t="s">
        <v>181</v>
      </c>
      <c r="AR261" s="16" t="s">
        <v>181</v>
      </c>
      <c r="AS261" s="16" t="s">
        <v>42</v>
      </c>
      <c r="AT261" s="159"/>
      <c r="AU261" s="159"/>
      <c r="AV261" s="16" t="s">
        <v>190</v>
      </c>
      <c r="AW261" s="16" t="s">
        <v>190</v>
      </c>
      <c r="AX261" s="16" t="s">
        <v>227</v>
      </c>
      <c r="AY261" s="16" t="s">
        <v>227</v>
      </c>
      <c r="AZ261" s="54">
        <v>544360</v>
      </c>
      <c r="BA261" s="55" t="e">
        <f t="shared" ca="1" si="163"/>
        <v>#NAME?</v>
      </c>
      <c r="BB261" s="278">
        <v>18798</v>
      </c>
      <c r="BC261" s="278">
        <v>203768</v>
      </c>
      <c r="BD261" s="62" t="e">
        <f t="shared" ca="1" si="164"/>
        <v>#NAME?</v>
      </c>
      <c r="BE261" s="277">
        <f t="shared" si="165"/>
        <v>9.2251972831847981E-2</v>
      </c>
      <c r="BF261" s="62" t="e">
        <f t="shared" ca="1" si="166"/>
        <v>#NAME?</v>
      </c>
      <c r="BG261" s="16" t="s">
        <v>219</v>
      </c>
      <c r="BI261" s="16" t="s">
        <v>227</v>
      </c>
      <c r="BJ261" s="16">
        <v>0</v>
      </c>
      <c r="BK261" s="278">
        <v>1</v>
      </c>
      <c r="BL261" s="16" t="s">
        <v>227</v>
      </c>
      <c r="BM261" s="16" t="s">
        <v>190</v>
      </c>
      <c r="BN261" s="16" t="s">
        <v>190</v>
      </c>
      <c r="BO261" s="16" t="s">
        <v>190</v>
      </c>
      <c r="BP261" s="16">
        <v>1</v>
      </c>
      <c r="BQ261" s="16">
        <v>3</v>
      </c>
      <c r="BR261" s="16">
        <v>0</v>
      </c>
      <c r="BS261" s="16">
        <v>0</v>
      </c>
      <c r="BT261" s="205"/>
      <c r="BU261" s="16">
        <v>3</v>
      </c>
      <c r="BV261" s="16">
        <v>0</v>
      </c>
      <c r="BW261" s="16">
        <v>39</v>
      </c>
      <c r="BX261" s="16" t="s">
        <v>190</v>
      </c>
      <c r="BY261" s="205"/>
      <c r="CD261" s="205"/>
      <c r="CI261" s="205"/>
      <c r="CN261" s="205"/>
      <c r="CS261" s="205"/>
      <c r="CX261" s="205"/>
      <c r="DC261" s="205"/>
      <c r="DH261" s="205"/>
      <c r="DM261" s="205"/>
      <c r="DN261" s="205"/>
      <c r="DO261" s="205"/>
      <c r="DQ261" s="206"/>
      <c r="DR261" s="188">
        <f t="shared" si="64"/>
        <v>3</v>
      </c>
      <c r="DS261" s="188"/>
      <c r="DT261" s="189">
        <f t="shared" si="65"/>
        <v>0</v>
      </c>
      <c r="DU261" s="189"/>
      <c r="DV261" s="188">
        <f t="shared" si="66"/>
        <v>39</v>
      </c>
      <c r="DW261" s="183" t="e">
        <f t="shared" ca="1" si="67"/>
        <v>#NAME?</v>
      </c>
      <c r="DX261" s="207"/>
      <c r="DY261" s="190" t="e">
        <f t="shared" ca="1" si="68"/>
        <v>#NAME?</v>
      </c>
      <c r="DZ261" s="191" t="str">
        <f t="shared" si="338"/>
        <v/>
      </c>
      <c r="EA261" s="191" t="str">
        <f t="shared" si="339"/>
        <v/>
      </c>
      <c r="EB261" s="191" t="str">
        <f t="shared" si="340"/>
        <v/>
      </c>
      <c r="EC261" s="208" t="e">
        <f t="shared" ca="1" si="72"/>
        <v>#NAME?</v>
      </c>
      <c r="ED261" s="36" t="str">
        <f t="shared" si="73"/>
        <v>Equity - Common</v>
      </c>
      <c r="EE261" s="193">
        <f>COUNTIF($ED$2:$ED$92, ED261)/(COUNTIF($ED$2:$ED$92, "&lt;&gt;""") - COUNTIF($ED$2:$ED$92, ""))</f>
        <v>0.32222222222222224</v>
      </c>
      <c r="EF261" s="36" t="str">
        <f t="shared" si="74"/>
        <v>Growth</v>
      </c>
      <c r="EG261" s="207"/>
      <c r="EH261" s="194" t="e">
        <f t="shared" ca="1" si="75"/>
        <v>#NAME?</v>
      </c>
      <c r="EI261" s="194" t="e">
        <f t="shared" ca="1" si="76"/>
        <v>#NAME?</v>
      </c>
      <c r="EJ261" s="209" t="e">
        <f t="shared" ca="1" si="77"/>
        <v>#NAME?</v>
      </c>
      <c r="EK261" s="208" t="e">
        <f t="shared" ca="1" si="341"/>
        <v>#NAME?</v>
      </c>
      <c r="EL261" s="36" t="str">
        <f t="shared" si="79"/>
        <v>No</v>
      </c>
      <c r="EM261" s="207"/>
      <c r="EN261" s="192">
        <f t="shared" si="342"/>
        <v>1.2857142857142856</v>
      </c>
      <c r="EO261" s="192">
        <f t="shared" si="343"/>
        <v>1</v>
      </c>
      <c r="EP261" s="209">
        <f t="shared" si="82"/>
        <v>2.2857142857142856</v>
      </c>
      <c r="EQ261" s="210">
        <f t="shared" si="344"/>
        <v>1.2242990654205608</v>
      </c>
      <c r="ER261" s="36" t="e">
        <f t="shared" ca="1" si="84"/>
        <v>#NAME?</v>
      </c>
      <c r="ES261" s="40">
        <f ca="1">COUNTIF($ER$2:$ER$92, ER261)/(COUNTIF($ER$2:$ER$92, "&lt;&gt;""") - COUNTIF($ER$2:$ER$92, ""))</f>
        <v>1</v>
      </c>
      <c r="ET261" s="36">
        <f t="shared" si="85"/>
        <v>1</v>
      </c>
      <c r="EU261" s="40">
        <f>COUNTIF($ET$2:$ET$92, ET261)/(COUNTIF($ET$2:$ET$92, "&lt;&gt;""") - COUNTIF($ET$2:$ET$92, ""))</f>
        <v>0.45555555555555555</v>
      </c>
      <c r="EV261" s="36">
        <f t="shared" si="86"/>
        <v>3</v>
      </c>
      <c r="EW261" s="40">
        <f>COUNTIF($EV$2:$EV$92, EV261)/(COUNTIF($EV$2:$EV$92, "&lt;&gt;""") - COUNTIF($EV$2:$EV$92, ""))</f>
        <v>8.8888888888888892E-2</v>
      </c>
      <c r="EX261" s="36" t="str">
        <f t="shared" si="87"/>
        <v>Yes</v>
      </c>
      <c r="EY261" s="40">
        <f>COUNTIF($EX$2:$EX$92, EX261)/(COUNTIF($EX$2:$EX$92, "&lt;&gt;""") - COUNTIF($EX$2:$EX$92, ""))</f>
        <v>0.27777777777777779</v>
      </c>
      <c r="EZ261" s="36" t="str">
        <f t="shared" ref="EZ261:FB261" si="404">BM261</f>
        <v>No</v>
      </c>
      <c r="FA261" s="36" t="str">
        <f t="shared" si="404"/>
        <v>No</v>
      </c>
      <c r="FB261" s="36" t="str">
        <f t="shared" si="404"/>
        <v>No</v>
      </c>
      <c r="FC261" s="207"/>
      <c r="FD261" s="36" t="str">
        <f t="shared" si="89"/>
        <v>Transactional</v>
      </c>
      <c r="FE261" s="40">
        <f>COUNTIF($FD$2:$FD$92, FD261)/(COUNTIF($FD$2:$FD$92, "&lt;&gt;""") - COUNTIF($FD$2:$FD$92, ""))</f>
        <v>0.6</v>
      </c>
      <c r="FF261" s="36" t="str">
        <f t="shared" si="90"/>
        <v>B2B/B2C</v>
      </c>
      <c r="FG261" s="40">
        <f>COUNTIF($FF$2:$FF$92, FF261)/(COUNTIF($FF$2:$FF$92, "&lt;&gt;""") - COUNTIF($FF$2:$FF$92, ""))</f>
        <v>0.27777777777777779</v>
      </c>
      <c r="FH261" s="36" t="str">
        <f t="shared" si="91"/>
        <v>High</v>
      </c>
      <c r="FI261" s="40">
        <f>COUNTIF($FH$2:$FH$92, FH261)/(COUNTIF($FH$2:$FH$92, "&lt;&gt;""") - COUNTIF($FH$2:$FH$92, ""))</f>
        <v>0.53333333333333333</v>
      </c>
      <c r="FJ261" s="36" t="str">
        <f t="shared" si="92"/>
        <v>Low</v>
      </c>
      <c r="FK261" s="40">
        <f>COUNTIF($FJ$2:$FJ$92, FJ261)/(COUNTIF($FJ$2:$FJ$92, "&lt;&gt;""") - COUNTIF($FJ$2:$FJ$92, ""))</f>
        <v>0.41111111111111109</v>
      </c>
      <c r="FL261" s="207"/>
      <c r="FM261" s="192">
        <f t="shared" si="93"/>
        <v>5</v>
      </c>
      <c r="FN261" s="192" t="e">
        <f t="shared" ca="1" si="94"/>
        <v>#NAME?</v>
      </c>
      <c r="FO261" s="192" t="e">
        <f t="shared" ca="1" si="95"/>
        <v>#NAME?</v>
      </c>
      <c r="FP261" s="192" t="e">
        <f t="shared" ca="1" si="96"/>
        <v>#NAME?</v>
      </c>
      <c r="FQ261" s="209" t="e">
        <f t="shared" ca="1" si="97"/>
        <v>#NAME?</v>
      </c>
      <c r="FR261" s="208" t="e">
        <f t="shared" ca="1" si="346"/>
        <v>#NAME?</v>
      </c>
      <c r="FS261" s="36" t="str">
        <f t="shared" si="99"/>
        <v>Profitable</v>
      </c>
      <c r="FT261" s="196">
        <f>COUNTIF($FS$2:$FS$92, FS261)/(COUNTIF($FS$2:$FS$92, "&lt;&gt;""") - COUNTIF($FZ$2:$FZ$92, ""))</f>
        <v>6.6666666666666666E-2</v>
      </c>
      <c r="FU261" s="207"/>
      <c r="FV261" s="192" t="e">
        <f t="shared" ca="1" si="100"/>
        <v>#NAME?</v>
      </c>
      <c r="FW261" s="197" t="e">
        <f t="shared" ca="1" si="101"/>
        <v>#NAME?</v>
      </c>
      <c r="FX261" s="209" t="e">
        <f t="shared" ca="1" si="102"/>
        <v>#NAME?</v>
      </c>
      <c r="FY261" s="211" t="e">
        <f t="shared" ca="1" si="347"/>
        <v>#NAME?</v>
      </c>
      <c r="FZ261" s="36" t="str">
        <f t="shared" si="104"/>
        <v>No</v>
      </c>
      <c r="GA261" s="196">
        <f>COUNTIF($FZ$2:$FZ$92, FZ261)/(COUNTIF($FZ$2:$FZ$92, "&lt;&gt;""") - COUNTIF($FZ$2:$FZ$92, ""))</f>
        <v>0.76666666666666672</v>
      </c>
      <c r="GB261" s="196">
        <f t="shared" si="105"/>
        <v>0</v>
      </c>
      <c r="GC261" s="196">
        <f>COUNTIF($GB$2:$GB$92, GB261)/(COUNTIF($GB$2:$GB$92, "&lt;&gt;""") - COUNTIF($GB$2:$GB$92, ""))</f>
        <v>1.1111111111111112E-2</v>
      </c>
      <c r="GD261" s="196">
        <f t="shared" si="106"/>
        <v>0</v>
      </c>
      <c r="GE261" s="196">
        <f>COUNTIF($GD$2:$GD$92, GD261)/(COUNTIF($GD$2:$GD$92, "&lt;&gt;""") - COUNTIF($GD$2:$GD$92, ""))</f>
        <v>1.1111111111111112E-2</v>
      </c>
      <c r="GF261" s="207"/>
      <c r="GG261" s="36"/>
      <c r="GH261" s="209" t="e">
        <f t="shared" ca="1" si="107"/>
        <v>#NAME?</v>
      </c>
      <c r="GI261" s="212" t="e">
        <f t="shared" ca="1" si="348"/>
        <v>#NAME?</v>
      </c>
    </row>
    <row r="262" spans="1:191" ht="15.75" customHeight="1">
      <c r="A262" s="171"/>
      <c r="B262" s="171" t="s">
        <v>501</v>
      </c>
      <c r="C262" s="16">
        <v>1801855</v>
      </c>
      <c r="D262" s="233" t="s">
        <v>1816</v>
      </c>
      <c r="E262" s="270">
        <v>43864.540277777778</v>
      </c>
      <c r="F262" s="16" t="s">
        <v>337</v>
      </c>
      <c r="G262" s="235" t="s">
        <v>1817</v>
      </c>
      <c r="H262" s="235" t="s">
        <v>1818</v>
      </c>
      <c r="I262" s="271">
        <v>43861</v>
      </c>
      <c r="J262" s="233" t="s">
        <v>1819</v>
      </c>
      <c r="K262" s="233" t="s">
        <v>1816</v>
      </c>
      <c r="M262" s="243" t="s">
        <v>28</v>
      </c>
      <c r="N262" s="16" t="s">
        <v>168</v>
      </c>
      <c r="O262" s="16" t="s">
        <v>173</v>
      </c>
      <c r="P262" s="16" t="s">
        <v>174</v>
      </c>
      <c r="Q262" s="16" t="s">
        <v>35</v>
      </c>
      <c r="S262" s="16" t="s">
        <v>216</v>
      </c>
      <c r="T262" s="237"/>
      <c r="U262" s="213"/>
      <c r="V262" s="54">
        <v>3000000</v>
      </c>
      <c r="W262" s="54"/>
      <c r="X262" s="226"/>
      <c r="Y262" s="55" t="str">
        <f t="shared" si="158"/>
        <v/>
      </c>
      <c r="Z262" s="274">
        <f t="shared" si="159"/>
        <v>3000000</v>
      </c>
      <c r="AA262" s="183" t="e">
        <f t="shared" ca="1" si="160"/>
        <v>#NAME?</v>
      </c>
      <c r="AB262" s="16" t="s">
        <v>36</v>
      </c>
      <c r="AC262" s="16" t="s">
        <v>179</v>
      </c>
      <c r="AD262" s="16" t="s">
        <v>38</v>
      </c>
      <c r="AE262" s="16" t="s">
        <v>227</v>
      </c>
      <c r="AF262" s="16" t="s">
        <v>181</v>
      </c>
      <c r="AG262" s="16" t="s">
        <v>181</v>
      </c>
      <c r="AH262" s="16" t="s">
        <v>190</v>
      </c>
      <c r="AI262" s="54"/>
      <c r="AJ262" s="278">
        <v>200000000000</v>
      </c>
      <c r="AK262" s="224" t="e">
        <f t="shared" ca="1" si="161"/>
        <v>#NAME?</v>
      </c>
      <c r="AL262" s="278">
        <v>10200000000</v>
      </c>
      <c r="AM262" s="224" t="e">
        <f t="shared" ca="1" si="162"/>
        <v>#NAME?</v>
      </c>
      <c r="AN262" s="278">
        <v>0.19</v>
      </c>
      <c r="AO262" s="185" t="e">
        <f t="shared" ca="1" si="63"/>
        <v>#NAME?</v>
      </c>
      <c r="AP262" s="185" t="s">
        <v>264</v>
      </c>
      <c r="AQ262" s="16" t="s">
        <v>181</v>
      </c>
      <c r="AR262" s="16" t="s">
        <v>181</v>
      </c>
      <c r="AS262" s="16" t="s">
        <v>42</v>
      </c>
      <c r="AT262" s="159"/>
      <c r="AU262" s="159"/>
      <c r="AV262" s="16" t="s">
        <v>190</v>
      </c>
      <c r="AW262" s="16" t="s">
        <v>190</v>
      </c>
      <c r="AX262" s="16" t="s">
        <v>227</v>
      </c>
      <c r="AY262" s="16" t="s">
        <v>227</v>
      </c>
      <c r="AZ262" s="54">
        <v>93578</v>
      </c>
      <c r="BA262" s="55" t="e">
        <f t="shared" ca="1" si="163"/>
        <v>#NAME?</v>
      </c>
      <c r="BB262" s="278">
        <v>991</v>
      </c>
      <c r="BC262" s="278">
        <v>18148</v>
      </c>
      <c r="BD262" s="62" t="e">
        <f t="shared" ca="1" si="164"/>
        <v>#NAME?</v>
      </c>
      <c r="BE262" s="277">
        <f t="shared" si="165"/>
        <v>5.4606568216883401E-2</v>
      </c>
      <c r="BF262" s="62" t="e">
        <f t="shared" ca="1" si="166"/>
        <v>#NAME?</v>
      </c>
      <c r="BG262" s="16" t="s">
        <v>219</v>
      </c>
      <c r="BI262" s="16" t="s">
        <v>190</v>
      </c>
      <c r="BJ262" s="16">
        <v>0</v>
      </c>
      <c r="BK262" s="278">
        <v>1</v>
      </c>
      <c r="BL262" s="16" t="s">
        <v>227</v>
      </c>
      <c r="BM262" s="16" t="s">
        <v>227</v>
      </c>
      <c r="BN262" s="16" t="s">
        <v>190</v>
      </c>
      <c r="BO262" s="16" t="s">
        <v>190</v>
      </c>
      <c r="BP262" s="16">
        <v>2</v>
      </c>
      <c r="BQ262" s="16">
        <v>5</v>
      </c>
      <c r="BR262" s="16">
        <v>0</v>
      </c>
      <c r="BS262" s="16">
        <v>0</v>
      </c>
      <c r="BT262" s="205"/>
      <c r="BU262" s="16">
        <v>8</v>
      </c>
      <c r="BV262" s="16">
        <v>0</v>
      </c>
      <c r="BW262" s="16">
        <v>50</v>
      </c>
      <c r="BX262" s="16" t="s">
        <v>190</v>
      </c>
      <c r="BY262" s="205"/>
      <c r="CD262" s="205"/>
      <c r="CI262" s="205"/>
      <c r="CN262" s="205"/>
      <c r="CS262" s="205"/>
      <c r="CX262" s="205"/>
      <c r="DC262" s="205"/>
      <c r="DH262" s="205"/>
      <c r="DM262" s="205"/>
      <c r="DN262" s="205"/>
      <c r="DO262" s="205"/>
      <c r="DQ262" s="206"/>
      <c r="DR262" s="188">
        <f t="shared" si="64"/>
        <v>8</v>
      </c>
      <c r="DS262" s="188"/>
      <c r="DT262" s="189">
        <f t="shared" si="65"/>
        <v>0</v>
      </c>
      <c r="DU262" s="189"/>
      <c r="DV262" s="188">
        <f t="shared" si="66"/>
        <v>50</v>
      </c>
      <c r="DW262" s="183" t="e">
        <f t="shared" ca="1" si="67"/>
        <v>#NAME?</v>
      </c>
      <c r="DX262" s="207"/>
      <c r="DY262" s="190" t="e">
        <f t="shared" ca="1" si="68"/>
        <v>#NAME?</v>
      </c>
      <c r="DZ262" s="191" t="str">
        <f t="shared" si="338"/>
        <v/>
      </c>
      <c r="EA262" s="191" t="str">
        <f t="shared" si="339"/>
        <v/>
      </c>
      <c r="EB262" s="191" t="str">
        <f t="shared" si="340"/>
        <v/>
      </c>
      <c r="EC262" s="208" t="e">
        <f t="shared" ca="1" si="72"/>
        <v>#NAME?</v>
      </c>
      <c r="ED262" s="36" t="str">
        <f t="shared" si="73"/>
        <v>Equity - Common</v>
      </c>
      <c r="EE262" s="193">
        <f>COUNTIF($ED$2:$ED$92, ED262)/(COUNTIF($ED$2:$ED$92, "&lt;&gt;""") - COUNTIF($ED$2:$ED$92, ""))</f>
        <v>0.32222222222222224</v>
      </c>
      <c r="EF262" s="36" t="str">
        <f t="shared" si="74"/>
        <v>Growth</v>
      </c>
      <c r="EG262" s="207"/>
      <c r="EH262" s="194" t="e">
        <f t="shared" ca="1" si="75"/>
        <v>#NAME?</v>
      </c>
      <c r="EI262" s="194" t="e">
        <f t="shared" ca="1" si="76"/>
        <v>#NAME?</v>
      </c>
      <c r="EJ262" s="209" t="e">
        <f t="shared" ca="1" si="77"/>
        <v>#NAME?</v>
      </c>
      <c r="EK262" s="208" t="e">
        <f t="shared" ca="1" si="341"/>
        <v>#NAME?</v>
      </c>
      <c r="EL262" s="36" t="str">
        <f t="shared" si="79"/>
        <v>No</v>
      </c>
      <c r="EM262" s="207"/>
      <c r="EN262" s="192">
        <f t="shared" si="342"/>
        <v>1.7619047619047619</v>
      </c>
      <c r="EO262" s="192">
        <f t="shared" si="343"/>
        <v>1</v>
      </c>
      <c r="EP262" s="209">
        <f t="shared" si="82"/>
        <v>2.7619047619047619</v>
      </c>
      <c r="EQ262" s="210">
        <f t="shared" si="344"/>
        <v>1.5981308411214954</v>
      </c>
      <c r="ER262" s="36" t="e">
        <f t="shared" ca="1" si="84"/>
        <v>#NAME?</v>
      </c>
      <c r="ES262" s="40">
        <f ca="1">COUNTIF($ER$2:$ER$92, ER262)/(COUNTIF($ER$2:$ER$92, "&lt;&gt;""") - COUNTIF($ER$2:$ER$92, ""))</f>
        <v>1</v>
      </c>
      <c r="ET262" s="36">
        <f t="shared" si="85"/>
        <v>1</v>
      </c>
      <c r="EU262" s="40">
        <f>COUNTIF($ET$2:$ET$92, ET262)/(COUNTIF($ET$2:$ET$92, "&lt;&gt;""") - COUNTIF($ET$2:$ET$92, ""))</f>
        <v>0.45555555555555555</v>
      </c>
      <c r="EV262" s="36">
        <f t="shared" si="86"/>
        <v>5</v>
      </c>
      <c r="EW262" s="40">
        <f>COUNTIF($EV$2:$EV$92, EV262)/(COUNTIF($EV$2:$EV$92, "&lt;&gt;""") - COUNTIF($EV$2:$EV$92, ""))</f>
        <v>0.13333333333333333</v>
      </c>
      <c r="EX262" s="36" t="str">
        <f t="shared" si="87"/>
        <v>Yes</v>
      </c>
      <c r="EY262" s="40">
        <f>COUNTIF($EX$2:$EX$92, EX262)/(COUNTIF($EX$2:$EX$92, "&lt;&gt;""") - COUNTIF($EX$2:$EX$92, ""))</f>
        <v>0.27777777777777779</v>
      </c>
      <c r="EZ262" s="36" t="str">
        <f t="shared" ref="EZ262:FB262" si="405">BM262</f>
        <v>Yes</v>
      </c>
      <c r="FA262" s="36" t="str">
        <f t="shared" si="405"/>
        <v>No</v>
      </c>
      <c r="FB262" s="36" t="str">
        <f t="shared" si="405"/>
        <v>No</v>
      </c>
      <c r="FC262" s="207"/>
      <c r="FD262" s="36" t="str">
        <f t="shared" si="89"/>
        <v>Transactional</v>
      </c>
      <c r="FE262" s="40">
        <f>COUNTIF($FD$2:$FD$92, FD262)/(COUNTIF($FD$2:$FD$92, "&lt;&gt;""") - COUNTIF($FD$2:$FD$92, ""))</f>
        <v>0.6</v>
      </c>
      <c r="FF262" s="36" t="str">
        <f t="shared" si="90"/>
        <v>B2C</v>
      </c>
      <c r="FG262" s="40">
        <f>COUNTIF($FF$2:$FF$92, FF262)/(COUNTIF($FF$2:$FF$92, "&lt;&gt;""") - COUNTIF($FF$2:$FF$92, ""))</f>
        <v>0.41111111111111109</v>
      </c>
      <c r="FH262" s="36" t="str">
        <f t="shared" si="91"/>
        <v>Low</v>
      </c>
      <c r="FI262" s="40">
        <f>COUNTIF($FH$2:$FH$92, FH262)/(COUNTIF($FH$2:$FH$92, "&lt;&gt;""") - COUNTIF($FH$2:$FH$92, ""))</f>
        <v>0.46666666666666667</v>
      </c>
      <c r="FJ262" s="36" t="str">
        <f t="shared" si="92"/>
        <v>Low</v>
      </c>
      <c r="FK262" s="40">
        <f>COUNTIF($FJ$2:$FJ$92, FJ262)/(COUNTIF($FJ$2:$FJ$92, "&lt;&gt;""") - COUNTIF($FJ$2:$FJ$92, ""))</f>
        <v>0.41111111111111109</v>
      </c>
      <c r="FL262" s="207"/>
      <c r="FM262" s="192">
        <f t="shared" si="93"/>
        <v>5</v>
      </c>
      <c r="FN262" s="192" t="e">
        <f t="shared" ca="1" si="94"/>
        <v>#NAME?</v>
      </c>
      <c r="FO262" s="192" t="e">
        <f t="shared" ca="1" si="95"/>
        <v>#NAME?</v>
      </c>
      <c r="FP262" s="192" t="e">
        <f t="shared" ca="1" si="96"/>
        <v>#NAME?</v>
      </c>
      <c r="FQ262" s="209" t="e">
        <f t="shared" ca="1" si="97"/>
        <v>#NAME?</v>
      </c>
      <c r="FR262" s="208" t="e">
        <f t="shared" ca="1" si="346"/>
        <v>#NAME?</v>
      </c>
      <c r="FS262" s="36" t="str">
        <f t="shared" si="99"/>
        <v>Profitable</v>
      </c>
      <c r="FT262" s="196">
        <f>COUNTIF($FS$2:$FS$92, FS262)/(COUNTIF($FS$2:$FS$92, "&lt;&gt;""") - COUNTIF($FZ$2:$FZ$92, ""))</f>
        <v>6.6666666666666666E-2</v>
      </c>
      <c r="FU262" s="207"/>
      <c r="FV262" s="192" t="e">
        <f t="shared" ca="1" si="100"/>
        <v>#NAME?</v>
      </c>
      <c r="FW262" s="197" t="e">
        <f t="shared" ca="1" si="101"/>
        <v>#NAME?</v>
      </c>
      <c r="FX262" s="209" t="e">
        <f t="shared" ca="1" si="102"/>
        <v>#NAME?</v>
      </c>
      <c r="FY262" s="211" t="e">
        <f t="shared" ca="1" si="347"/>
        <v>#NAME?</v>
      </c>
      <c r="FZ262" s="36" t="str">
        <f t="shared" si="104"/>
        <v>No</v>
      </c>
      <c r="GA262" s="196">
        <f>COUNTIF($FZ$2:$FZ$92, FZ262)/(COUNTIF($FZ$2:$FZ$92, "&lt;&gt;""") - COUNTIF($FZ$2:$FZ$92, ""))</f>
        <v>0.76666666666666672</v>
      </c>
      <c r="GB262" s="196">
        <f t="shared" si="105"/>
        <v>0</v>
      </c>
      <c r="GC262" s="196">
        <f>COUNTIF($GB$2:$GB$92, GB262)/(COUNTIF($GB$2:$GB$92, "&lt;&gt;""") - COUNTIF($GB$2:$GB$92, ""))</f>
        <v>1.1111111111111112E-2</v>
      </c>
      <c r="GD262" s="196">
        <f t="shared" si="106"/>
        <v>0</v>
      </c>
      <c r="GE262" s="196">
        <f>COUNTIF($GD$2:$GD$92, GD262)/(COUNTIF($GD$2:$GD$92, "&lt;&gt;""") - COUNTIF($GD$2:$GD$92, ""))</f>
        <v>1.1111111111111112E-2</v>
      </c>
      <c r="GF262" s="207"/>
      <c r="GG262" s="36"/>
      <c r="GH262" s="209" t="e">
        <f t="shared" ca="1" si="107"/>
        <v>#NAME?</v>
      </c>
      <c r="GI262" s="212" t="e">
        <f t="shared" ca="1" si="348"/>
        <v>#NAME?</v>
      </c>
    </row>
    <row r="263" spans="1:191" ht="15.75" customHeight="1">
      <c r="A263" s="171"/>
      <c r="B263" s="171" t="s">
        <v>501</v>
      </c>
      <c r="C263" s="16">
        <v>1799227</v>
      </c>
      <c r="D263" s="233" t="s">
        <v>1820</v>
      </c>
      <c r="E263" s="270">
        <v>43864.542361111111</v>
      </c>
      <c r="F263" s="16" t="s">
        <v>337</v>
      </c>
      <c r="G263" s="235" t="s">
        <v>1821</v>
      </c>
      <c r="H263" s="235" t="s">
        <v>1822</v>
      </c>
      <c r="I263" s="271">
        <v>43861</v>
      </c>
      <c r="J263" s="233" t="s">
        <v>1823</v>
      </c>
      <c r="K263" s="233" t="s">
        <v>1820</v>
      </c>
      <c r="M263" s="35" t="s">
        <v>293</v>
      </c>
      <c r="N263" s="16" t="s">
        <v>168</v>
      </c>
      <c r="O263" s="16" t="s">
        <v>173</v>
      </c>
      <c r="P263" s="16" t="s">
        <v>174</v>
      </c>
      <c r="Q263" s="16" t="s">
        <v>35</v>
      </c>
      <c r="S263" s="16" t="s">
        <v>216</v>
      </c>
      <c r="T263" s="237"/>
      <c r="U263" s="213"/>
      <c r="V263" s="54">
        <v>2448000</v>
      </c>
      <c r="W263" s="54"/>
      <c r="X263" s="226"/>
      <c r="Y263" s="55" t="str">
        <f t="shared" si="158"/>
        <v/>
      </c>
      <c r="Z263" s="274">
        <f t="shared" si="159"/>
        <v>2448000</v>
      </c>
      <c r="AA263" s="183" t="e">
        <f t="shared" ca="1" si="160"/>
        <v>#NAME?</v>
      </c>
      <c r="AB263" s="16" t="s">
        <v>36</v>
      </c>
      <c r="AC263" s="16" t="s">
        <v>218</v>
      </c>
      <c r="AD263" s="16" t="s">
        <v>38</v>
      </c>
      <c r="AE263" s="16" t="s">
        <v>227</v>
      </c>
      <c r="AF263" s="16" t="s">
        <v>181</v>
      </c>
      <c r="AG263" s="16" t="s">
        <v>181</v>
      </c>
      <c r="AH263" s="16" t="s">
        <v>190</v>
      </c>
      <c r="AI263" s="54"/>
      <c r="AJ263" s="278">
        <v>319400000000</v>
      </c>
      <c r="AK263" s="224" t="e">
        <f t="shared" ca="1" si="161"/>
        <v>#NAME?</v>
      </c>
      <c r="AL263" s="278">
        <v>319400000000</v>
      </c>
      <c r="AM263" s="224" t="e">
        <f t="shared" ca="1" si="162"/>
        <v>#NAME?</v>
      </c>
      <c r="AN263" s="278">
        <v>0.08</v>
      </c>
      <c r="AO263" s="185" t="e">
        <f t="shared" ca="1" si="63"/>
        <v>#NAME?</v>
      </c>
      <c r="AP263" s="185" t="s">
        <v>264</v>
      </c>
      <c r="AQ263" s="16" t="s">
        <v>181</v>
      </c>
      <c r="AR263" s="16" t="s">
        <v>181</v>
      </c>
      <c r="AS263" s="16" t="s">
        <v>42</v>
      </c>
      <c r="AT263" s="159"/>
      <c r="AU263" s="159"/>
      <c r="AV263" s="16" t="s">
        <v>190</v>
      </c>
      <c r="AW263" s="16" t="s">
        <v>190</v>
      </c>
      <c r="AX263" s="16" t="s">
        <v>227</v>
      </c>
      <c r="AY263" s="16" t="s">
        <v>227</v>
      </c>
      <c r="AZ263" s="54">
        <v>128989</v>
      </c>
      <c r="BA263" s="55" t="e">
        <f t="shared" ca="1" si="163"/>
        <v>#NAME?</v>
      </c>
      <c r="BB263" s="278">
        <v>3108</v>
      </c>
      <c r="BC263" s="278">
        <v>5000</v>
      </c>
      <c r="BD263" s="62" t="e">
        <f t="shared" ca="1" si="164"/>
        <v>#NAME?</v>
      </c>
      <c r="BE263" s="277">
        <f t="shared" si="165"/>
        <v>0.62160000000000004</v>
      </c>
      <c r="BF263" s="62" t="e">
        <f t="shared" ca="1" si="166"/>
        <v>#NAME?</v>
      </c>
      <c r="BG263" s="16" t="s">
        <v>219</v>
      </c>
      <c r="BI263" s="16" t="s">
        <v>190</v>
      </c>
      <c r="BJ263" s="16">
        <v>0</v>
      </c>
      <c r="BK263" s="278">
        <v>1</v>
      </c>
      <c r="BL263" s="16" t="s">
        <v>227</v>
      </c>
      <c r="BM263" s="16" t="s">
        <v>190</v>
      </c>
      <c r="BN263" s="16" t="s">
        <v>227</v>
      </c>
      <c r="BO263" s="16" t="s">
        <v>190</v>
      </c>
      <c r="BP263" s="16">
        <v>1</v>
      </c>
      <c r="BQ263" s="16">
        <v>8</v>
      </c>
      <c r="BR263" s="16">
        <v>3</v>
      </c>
      <c r="BS263" s="16">
        <v>0</v>
      </c>
      <c r="BT263" s="205"/>
      <c r="BU263" s="16">
        <v>3</v>
      </c>
      <c r="BV263" s="16">
        <v>0</v>
      </c>
      <c r="BW263" s="16">
        <v>42</v>
      </c>
      <c r="BX263" s="16" t="s">
        <v>190</v>
      </c>
      <c r="BY263" s="205"/>
      <c r="CD263" s="205"/>
      <c r="CI263" s="205"/>
      <c r="CN263" s="205"/>
      <c r="CS263" s="205"/>
      <c r="CX263" s="205"/>
      <c r="DC263" s="205"/>
      <c r="DH263" s="205"/>
      <c r="DM263" s="205"/>
      <c r="DN263" s="205"/>
      <c r="DO263" s="205"/>
      <c r="DQ263" s="206"/>
      <c r="DR263" s="188">
        <f t="shared" si="64"/>
        <v>3</v>
      </c>
      <c r="DS263" s="188"/>
      <c r="DT263" s="189">
        <f t="shared" si="65"/>
        <v>0</v>
      </c>
      <c r="DU263" s="189"/>
      <c r="DV263" s="188">
        <f t="shared" si="66"/>
        <v>42</v>
      </c>
      <c r="DW263" s="183" t="e">
        <f t="shared" ca="1" si="67"/>
        <v>#NAME?</v>
      </c>
      <c r="DX263" s="207"/>
      <c r="DY263" s="190" t="e">
        <f t="shared" ca="1" si="68"/>
        <v>#NAME?</v>
      </c>
      <c r="DZ263" s="191" t="str">
        <f t="shared" si="338"/>
        <v/>
      </c>
      <c r="EA263" s="191" t="str">
        <f t="shared" si="339"/>
        <v/>
      </c>
      <c r="EB263" s="191" t="str">
        <f t="shared" si="340"/>
        <v/>
      </c>
      <c r="EC263" s="208" t="e">
        <f t="shared" ca="1" si="72"/>
        <v>#NAME?</v>
      </c>
      <c r="ED263" s="36" t="str">
        <f t="shared" si="73"/>
        <v>Equity - Common</v>
      </c>
      <c r="EE263" s="193">
        <f>COUNTIF($ED$2:$ED$92, ED263)/(COUNTIF($ED$2:$ED$92, "&lt;&gt;""") - COUNTIF($ED$2:$ED$92, ""))</f>
        <v>0.32222222222222224</v>
      </c>
      <c r="EF263" s="36" t="str">
        <f t="shared" si="74"/>
        <v>Growth</v>
      </c>
      <c r="EG263" s="207"/>
      <c r="EH263" s="194" t="e">
        <f t="shared" ca="1" si="75"/>
        <v>#NAME?</v>
      </c>
      <c r="EI263" s="194" t="e">
        <f t="shared" ca="1" si="76"/>
        <v>#NAME?</v>
      </c>
      <c r="EJ263" s="209" t="e">
        <f t="shared" ca="1" si="77"/>
        <v>#NAME?</v>
      </c>
      <c r="EK263" s="208" t="e">
        <f t="shared" ca="1" si="341"/>
        <v>#NAME?</v>
      </c>
      <c r="EL263" s="36" t="str">
        <f t="shared" si="79"/>
        <v>No</v>
      </c>
      <c r="EM263" s="207"/>
      <c r="EN263" s="192">
        <f t="shared" si="342"/>
        <v>1.2857142857142856</v>
      </c>
      <c r="EO263" s="192">
        <f t="shared" si="343"/>
        <v>1</v>
      </c>
      <c r="EP263" s="209">
        <f t="shared" si="82"/>
        <v>2.2857142857142856</v>
      </c>
      <c r="EQ263" s="210">
        <f t="shared" si="344"/>
        <v>1.2242990654205608</v>
      </c>
      <c r="ER263" s="36" t="e">
        <f t="shared" ca="1" si="84"/>
        <v>#NAME?</v>
      </c>
      <c r="ES263" s="40">
        <f ca="1">COUNTIF($ER$2:$ER$92, ER263)/(COUNTIF($ER$2:$ER$92, "&lt;&gt;""") - COUNTIF($ER$2:$ER$92, ""))</f>
        <v>1</v>
      </c>
      <c r="ET263" s="36">
        <f t="shared" si="85"/>
        <v>1</v>
      </c>
      <c r="EU263" s="40">
        <f>COUNTIF($ET$2:$ET$92, ET263)/(COUNTIF($ET$2:$ET$92, "&lt;&gt;""") - COUNTIF($ET$2:$ET$92, ""))</f>
        <v>0.45555555555555555</v>
      </c>
      <c r="EV263" s="36">
        <f t="shared" si="86"/>
        <v>8</v>
      </c>
      <c r="EW263" s="40">
        <f>COUNTIF($EV$2:$EV$92, EV263)/(COUNTIF($EV$2:$EV$92, "&lt;&gt;""") - COUNTIF($EV$2:$EV$92, ""))</f>
        <v>5.5555555555555552E-2</v>
      </c>
      <c r="EX263" s="36" t="str">
        <f t="shared" si="87"/>
        <v>Yes</v>
      </c>
      <c r="EY263" s="40">
        <f>COUNTIF($EX$2:$EX$92, EX263)/(COUNTIF($EX$2:$EX$92, "&lt;&gt;""") - COUNTIF($EX$2:$EX$92, ""))</f>
        <v>0.27777777777777779</v>
      </c>
      <c r="EZ263" s="36" t="str">
        <f t="shared" ref="EZ263:FB263" si="406">BM263</f>
        <v>No</v>
      </c>
      <c r="FA263" s="36" t="str">
        <f t="shared" si="406"/>
        <v>Yes</v>
      </c>
      <c r="FB263" s="36" t="str">
        <f t="shared" si="406"/>
        <v>No</v>
      </c>
      <c r="FC263" s="207"/>
      <c r="FD263" s="36" t="str">
        <f t="shared" si="89"/>
        <v>Transactional</v>
      </c>
      <c r="FE263" s="40">
        <f>COUNTIF($FD$2:$FD$92, FD263)/(COUNTIF($FD$2:$FD$92, "&lt;&gt;""") - COUNTIF($FD$2:$FD$92, ""))</f>
        <v>0.6</v>
      </c>
      <c r="FF263" s="36" t="str">
        <f t="shared" si="90"/>
        <v>B2B/B2C</v>
      </c>
      <c r="FG263" s="40">
        <f>COUNTIF($FF$2:$FF$92, FF263)/(COUNTIF($FF$2:$FF$92, "&lt;&gt;""") - COUNTIF($FF$2:$FF$92, ""))</f>
        <v>0.27777777777777779</v>
      </c>
      <c r="FH263" s="36" t="str">
        <f t="shared" si="91"/>
        <v>Low</v>
      </c>
      <c r="FI263" s="40">
        <f>COUNTIF($FH$2:$FH$92, FH263)/(COUNTIF($FH$2:$FH$92, "&lt;&gt;""") - COUNTIF($FH$2:$FH$92, ""))</f>
        <v>0.46666666666666667</v>
      </c>
      <c r="FJ263" s="36" t="str">
        <f t="shared" si="92"/>
        <v>Low</v>
      </c>
      <c r="FK263" s="40">
        <f>COUNTIF($FJ$2:$FJ$92, FJ263)/(COUNTIF($FJ$2:$FJ$92, "&lt;&gt;""") - COUNTIF($FJ$2:$FJ$92, ""))</f>
        <v>0.41111111111111109</v>
      </c>
      <c r="FL263" s="207"/>
      <c r="FM263" s="192">
        <f t="shared" si="93"/>
        <v>5</v>
      </c>
      <c r="FN263" s="192" t="e">
        <f t="shared" ca="1" si="94"/>
        <v>#NAME?</v>
      </c>
      <c r="FO263" s="192" t="e">
        <f t="shared" ca="1" si="95"/>
        <v>#NAME?</v>
      </c>
      <c r="FP263" s="192" t="e">
        <f t="shared" ca="1" si="96"/>
        <v>#NAME?</v>
      </c>
      <c r="FQ263" s="209" t="e">
        <f t="shared" ca="1" si="97"/>
        <v>#NAME?</v>
      </c>
      <c r="FR263" s="208" t="e">
        <f t="shared" ca="1" si="346"/>
        <v>#NAME?</v>
      </c>
      <c r="FS263" s="36" t="str">
        <f t="shared" si="99"/>
        <v>Profitable</v>
      </c>
      <c r="FT263" s="196">
        <f>COUNTIF($FS$2:$FS$92, FS263)/(COUNTIF($FS$2:$FS$92, "&lt;&gt;""") - COUNTIF($FZ$2:$FZ$92, ""))</f>
        <v>6.6666666666666666E-2</v>
      </c>
      <c r="FU263" s="207"/>
      <c r="FV263" s="192" t="e">
        <f t="shared" ca="1" si="100"/>
        <v>#NAME?</v>
      </c>
      <c r="FW263" s="197" t="e">
        <f t="shared" ca="1" si="101"/>
        <v>#NAME?</v>
      </c>
      <c r="FX263" s="209" t="e">
        <f t="shared" ca="1" si="102"/>
        <v>#NAME?</v>
      </c>
      <c r="FY263" s="211" t="e">
        <f t="shared" ca="1" si="347"/>
        <v>#NAME?</v>
      </c>
      <c r="FZ263" s="36" t="str">
        <f t="shared" si="104"/>
        <v>No</v>
      </c>
      <c r="GA263" s="196">
        <f>COUNTIF($FZ$2:$FZ$92, FZ263)/(COUNTIF($FZ$2:$FZ$92, "&lt;&gt;""") - COUNTIF($FZ$2:$FZ$92, ""))</f>
        <v>0.76666666666666672</v>
      </c>
      <c r="GB263" s="196">
        <f t="shared" si="105"/>
        <v>0</v>
      </c>
      <c r="GC263" s="196">
        <f>COUNTIF($GB$2:$GB$92, GB263)/(COUNTIF($GB$2:$GB$92, "&lt;&gt;""") - COUNTIF($GB$2:$GB$92, ""))</f>
        <v>1.1111111111111112E-2</v>
      </c>
      <c r="GD263" s="196">
        <f t="shared" si="106"/>
        <v>0</v>
      </c>
      <c r="GE263" s="196">
        <f>COUNTIF($GD$2:$GD$92, GD263)/(COUNTIF($GD$2:$GD$92, "&lt;&gt;""") - COUNTIF($GD$2:$GD$92, ""))</f>
        <v>1.1111111111111112E-2</v>
      </c>
      <c r="GF263" s="207"/>
      <c r="GG263" s="36"/>
      <c r="GH263" s="209" t="e">
        <f t="shared" ca="1" si="107"/>
        <v>#NAME?</v>
      </c>
      <c r="GI263" s="212" t="e">
        <f t="shared" ca="1" si="348"/>
        <v>#NAME?</v>
      </c>
    </row>
    <row r="264" spans="1:191" ht="15.75" customHeight="1">
      <c r="A264" s="171"/>
      <c r="B264" s="171" t="s">
        <v>501</v>
      </c>
      <c r="C264" s="16">
        <v>1801610</v>
      </c>
      <c r="D264" s="233" t="s">
        <v>1824</v>
      </c>
      <c r="E264" s="270">
        <v>43865.55972222222</v>
      </c>
      <c r="F264" s="16" t="s">
        <v>329</v>
      </c>
      <c r="G264" s="235" t="s">
        <v>1825</v>
      </c>
      <c r="H264" s="235" t="s">
        <v>1826</v>
      </c>
      <c r="I264" s="271">
        <v>43865</v>
      </c>
      <c r="J264" s="233" t="s">
        <v>1827</v>
      </c>
      <c r="K264" s="233" t="s">
        <v>1824</v>
      </c>
      <c r="M264" s="35" t="s">
        <v>293</v>
      </c>
      <c r="N264" s="16" t="s">
        <v>168</v>
      </c>
      <c r="O264" s="16" t="s">
        <v>173</v>
      </c>
      <c r="P264" s="16" t="s">
        <v>197</v>
      </c>
      <c r="Q264" s="16" t="s">
        <v>35</v>
      </c>
      <c r="S264" s="16" t="s">
        <v>269</v>
      </c>
      <c r="T264" s="237"/>
      <c r="U264" s="213"/>
      <c r="V264" s="54"/>
      <c r="W264" s="54">
        <v>12000000</v>
      </c>
      <c r="X264" s="226">
        <v>0.1</v>
      </c>
      <c r="Y264" s="55">
        <f t="shared" si="158"/>
        <v>10800000</v>
      </c>
      <c r="Z264" s="274">
        <f t="shared" si="159"/>
        <v>10800000</v>
      </c>
      <c r="AA264" s="183" t="e">
        <f t="shared" ca="1" si="160"/>
        <v>#NAME?</v>
      </c>
      <c r="AB264" s="16" t="s">
        <v>36</v>
      </c>
      <c r="AC264" s="16" t="s">
        <v>218</v>
      </c>
      <c r="AD264" s="16" t="s">
        <v>38</v>
      </c>
      <c r="AE264" s="16" t="s">
        <v>227</v>
      </c>
      <c r="AF264" s="16" t="s">
        <v>39</v>
      </c>
      <c r="AG264" s="16" t="s">
        <v>181</v>
      </c>
      <c r="AH264" s="16" t="s">
        <v>190</v>
      </c>
      <c r="AI264" s="54"/>
      <c r="AJ264" s="278">
        <v>10140000000</v>
      </c>
      <c r="AK264" s="224" t="e">
        <f t="shared" ca="1" si="161"/>
        <v>#NAME?</v>
      </c>
      <c r="AL264" s="278">
        <v>2600000000</v>
      </c>
      <c r="AM264" s="224" t="e">
        <f t="shared" ca="1" si="162"/>
        <v>#NAME?</v>
      </c>
      <c r="AN264" s="278">
        <v>0.02</v>
      </c>
      <c r="AO264" s="185" t="e">
        <f t="shared" ca="1" si="63"/>
        <v>#NAME?</v>
      </c>
      <c r="AP264" s="185" t="s">
        <v>264</v>
      </c>
      <c r="AQ264" s="16" t="s">
        <v>181</v>
      </c>
      <c r="AR264" s="16" t="s">
        <v>181</v>
      </c>
      <c r="AS264" s="16" t="s">
        <v>42</v>
      </c>
      <c r="AT264" s="159"/>
      <c r="AU264" s="159"/>
      <c r="AV264" s="16" t="s">
        <v>227</v>
      </c>
      <c r="AW264" s="16" t="s">
        <v>190</v>
      </c>
      <c r="AX264" s="16" t="s">
        <v>227</v>
      </c>
      <c r="AY264" s="16" t="s">
        <v>227</v>
      </c>
      <c r="AZ264" s="54">
        <v>2692030</v>
      </c>
      <c r="BA264" s="55" t="e">
        <f t="shared" ca="1" si="163"/>
        <v>#NAME?</v>
      </c>
      <c r="BB264" s="278">
        <v>2433</v>
      </c>
      <c r="BC264" s="278">
        <v>1796000</v>
      </c>
      <c r="BD264" s="62" t="e">
        <f t="shared" ca="1" si="164"/>
        <v>#NAME?</v>
      </c>
      <c r="BE264" s="277">
        <f t="shared" si="165"/>
        <v>1.3546770601336304E-3</v>
      </c>
      <c r="BF264" s="62" t="e">
        <f t="shared" ca="1" si="166"/>
        <v>#NAME?</v>
      </c>
      <c r="BG264" s="16" t="s">
        <v>219</v>
      </c>
      <c r="BI264" s="16" t="s">
        <v>227</v>
      </c>
      <c r="BJ264" s="16">
        <v>0</v>
      </c>
      <c r="BK264" s="278">
        <v>1</v>
      </c>
      <c r="BL264" s="16" t="s">
        <v>227</v>
      </c>
      <c r="BM264" s="16" t="s">
        <v>190</v>
      </c>
      <c r="BN264" s="16" t="s">
        <v>190</v>
      </c>
      <c r="BO264" s="16" t="s">
        <v>190</v>
      </c>
      <c r="BP264" s="16">
        <v>2</v>
      </c>
      <c r="BQ264" s="16">
        <v>2</v>
      </c>
      <c r="BR264" s="16">
        <v>1</v>
      </c>
      <c r="BS264" s="16">
        <v>0</v>
      </c>
      <c r="BT264" s="205"/>
      <c r="BU264" s="16">
        <v>12</v>
      </c>
      <c r="BV264" s="16">
        <v>0</v>
      </c>
      <c r="BW264" s="16">
        <v>40</v>
      </c>
      <c r="BX264" s="16" t="s">
        <v>190</v>
      </c>
      <c r="BY264" s="205"/>
      <c r="CD264" s="205"/>
      <c r="CI264" s="205"/>
      <c r="CN264" s="205"/>
      <c r="CS264" s="205"/>
      <c r="CX264" s="205"/>
      <c r="DC264" s="205"/>
      <c r="DH264" s="205"/>
      <c r="DM264" s="205"/>
      <c r="DN264" s="205"/>
      <c r="DO264" s="205"/>
      <c r="DQ264" s="206"/>
      <c r="DR264" s="188">
        <f t="shared" si="64"/>
        <v>12</v>
      </c>
      <c r="DS264" s="188"/>
      <c r="DT264" s="189">
        <f t="shared" si="65"/>
        <v>0</v>
      </c>
      <c r="DU264" s="189"/>
      <c r="DV264" s="188">
        <f t="shared" si="66"/>
        <v>40</v>
      </c>
      <c r="DW264" s="183" t="e">
        <f t="shared" ca="1" si="67"/>
        <v>#NAME?</v>
      </c>
      <c r="DX264" s="207"/>
      <c r="DY264" s="190" t="e">
        <f t="shared" ca="1" si="68"/>
        <v>#NAME?</v>
      </c>
      <c r="DZ264" s="191">
        <f t="shared" si="338"/>
        <v>2.0526315789473681</v>
      </c>
      <c r="EA264" s="191" t="str">
        <f t="shared" si="339"/>
        <v/>
      </c>
      <c r="EB264" s="191" t="str">
        <f t="shared" si="340"/>
        <v/>
      </c>
      <c r="EC264" s="208" t="e">
        <f t="shared" ca="1" si="72"/>
        <v>#NAME?</v>
      </c>
      <c r="ED264" s="36" t="str">
        <f t="shared" si="73"/>
        <v>SAFE</v>
      </c>
      <c r="EE264" s="193">
        <f>COUNTIF($ED$2:$ED$92, ED264)/(COUNTIF($ED$2:$ED$92, "&lt;&gt;""") - COUNTIF($ED$2:$ED$92, ""))</f>
        <v>0.37777777777777777</v>
      </c>
      <c r="EF264" s="36" t="str">
        <f t="shared" si="74"/>
        <v>Growth</v>
      </c>
      <c r="EG264" s="207"/>
      <c r="EH264" s="194" t="e">
        <f t="shared" ca="1" si="75"/>
        <v>#NAME?</v>
      </c>
      <c r="EI264" s="194" t="e">
        <f t="shared" ca="1" si="76"/>
        <v>#NAME?</v>
      </c>
      <c r="EJ264" s="209" t="e">
        <f t="shared" ca="1" si="77"/>
        <v>#NAME?</v>
      </c>
      <c r="EK264" s="208" t="e">
        <f t="shared" ca="1" si="341"/>
        <v>#NAME?</v>
      </c>
      <c r="EL264" s="36" t="str">
        <f t="shared" si="79"/>
        <v>Yes</v>
      </c>
      <c r="EM264" s="207"/>
      <c r="EN264" s="192">
        <f t="shared" si="342"/>
        <v>2.1428571428571428</v>
      </c>
      <c r="EO264" s="192">
        <f t="shared" si="343"/>
        <v>1</v>
      </c>
      <c r="EP264" s="209">
        <f t="shared" si="82"/>
        <v>3.1428571428571428</v>
      </c>
      <c r="EQ264" s="210">
        <f t="shared" si="344"/>
        <v>1.8971962616822431</v>
      </c>
      <c r="ER264" s="36" t="e">
        <f t="shared" ca="1" si="84"/>
        <v>#NAME?</v>
      </c>
      <c r="ES264" s="40">
        <f ca="1">COUNTIF($ER$2:$ER$92, ER264)/(COUNTIF($ER$2:$ER$92, "&lt;&gt;""") - COUNTIF($ER$2:$ER$92, ""))</f>
        <v>1</v>
      </c>
      <c r="ET264" s="36">
        <f t="shared" si="85"/>
        <v>1</v>
      </c>
      <c r="EU264" s="40">
        <f>COUNTIF($ET$2:$ET$92, ET264)/(COUNTIF($ET$2:$ET$92, "&lt;&gt;""") - COUNTIF($ET$2:$ET$92, ""))</f>
        <v>0.45555555555555555</v>
      </c>
      <c r="EV264" s="36">
        <f t="shared" si="86"/>
        <v>2</v>
      </c>
      <c r="EW264" s="40">
        <f>COUNTIF($EV$2:$EV$92, EV264)/(COUNTIF($EV$2:$EV$92, "&lt;&gt;""") - COUNTIF($EV$2:$EV$92, ""))</f>
        <v>0.15555555555555556</v>
      </c>
      <c r="EX264" s="36" t="str">
        <f t="shared" si="87"/>
        <v>Yes</v>
      </c>
      <c r="EY264" s="40">
        <f>COUNTIF($EX$2:$EX$92, EX264)/(COUNTIF($EX$2:$EX$92, "&lt;&gt;""") - COUNTIF($EX$2:$EX$92, ""))</f>
        <v>0.27777777777777779</v>
      </c>
      <c r="EZ264" s="36" t="str">
        <f t="shared" ref="EZ264:FB264" si="407">BM264</f>
        <v>No</v>
      </c>
      <c r="FA264" s="36" t="str">
        <f t="shared" si="407"/>
        <v>No</v>
      </c>
      <c r="FB264" s="36" t="str">
        <f t="shared" si="407"/>
        <v>No</v>
      </c>
      <c r="FC264" s="207"/>
      <c r="FD264" s="36" t="str">
        <f t="shared" si="89"/>
        <v>Transactional</v>
      </c>
      <c r="FE264" s="40">
        <f>COUNTIF($FD$2:$FD$92, FD264)/(COUNTIF($FD$2:$FD$92, "&lt;&gt;""") - COUNTIF($FD$2:$FD$92, ""))</f>
        <v>0.6</v>
      </c>
      <c r="FF264" s="36" t="str">
        <f t="shared" si="90"/>
        <v>B2B/B2C</v>
      </c>
      <c r="FG264" s="40">
        <f>COUNTIF($FF$2:$FF$92, FF264)/(COUNTIF($FF$2:$FF$92, "&lt;&gt;""") - COUNTIF($FF$2:$FF$92, ""))</f>
        <v>0.27777777777777779</v>
      </c>
      <c r="FH264" s="36" t="str">
        <f t="shared" si="91"/>
        <v>High</v>
      </c>
      <c r="FI264" s="40">
        <f>COUNTIF($FH$2:$FH$92, FH264)/(COUNTIF($FH$2:$FH$92, "&lt;&gt;""") - COUNTIF($FH$2:$FH$92, ""))</f>
        <v>0.53333333333333333</v>
      </c>
      <c r="FJ264" s="36" t="str">
        <f t="shared" si="92"/>
        <v>Low</v>
      </c>
      <c r="FK264" s="40">
        <f>COUNTIF($FJ$2:$FJ$92, FJ264)/(COUNTIF($FJ$2:$FJ$92, "&lt;&gt;""") - COUNTIF($FJ$2:$FJ$92, ""))</f>
        <v>0.41111111111111109</v>
      </c>
      <c r="FL264" s="207"/>
      <c r="FM264" s="192">
        <f t="shared" si="93"/>
        <v>5</v>
      </c>
      <c r="FN264" s="192" t="e">
        <f t="shared" ca="1" si="94"/>
        <v>#NAME?</v>
      </c>
      <c r="FO264" s="192" t="e">
        <f t="shared" ca="1" si="95"/>
        <v>#NAME?</v>
      </c>
      <c r="FP264" s="192" t="e">
        <f t="shared" ca="1" si="96"/>
        <v>#NAME?</v>
      </c>
      <c r="FQ264" s="209" t="e">
        <f t="shared" ca="1" si="97"/>
        <v>#NAME?</v>
      </c>
      <c r="FR264" s="208" t="e">
        <f t="shared" ca="1" si="346"/>
        <v>#NAME?</v>
      </c>
      <c r="FS264" s="36" t="str">
        <f t="shared" si="99"/>
        <v>Profitable</v>
      </c>
      <c r="FT264" s="196">
        <f>COUNTIF($FS$2:$FS$92, FS264)/(COUNTIF($FS$2:$FS$92, "&lt;&gt;""") - COUNTIF($FZ$2:$FZ$92, ""))</f>
        <v>6.6666666666666666E-2</v>
      </c>
      <c r="FU264" s="207"/>
      <c r="FV264" s="192" t="e">
        <f t="shared" ca="1" si="100"/>
        <v>#NAME?</v>
      </c>
      <c r="FW264" s="197" t="e">
        <f t="shared" ca="1" si="101"/>
        <v>#NAME?</v>
      </c>
      <c r="FX264" s="209" t="e">
        <f t="shared" ca="1" si="102"/>
        <v>#NAME?</v>
      </c>
      <c r="FY264" s="211" t="e">
        <f t="shared" ca="1" si="347"/>
        <v>#NAME?</v>
      </c>
      <c r="FZ264" s="36" t="str">
        <f t="shared" si="104"/>
        <v>No</v>
      </c>
      <c r="GA264" s="196">
        <f>COUNTIF($FZ$2:$FZ$92, FZ264)/(COUNTIF($FZ$2:$FZ$92, "&lt;&gt;""") - COUNTIF($FZ$2:$FZ$92, ""))</f>
        <v>0.76666666666666672</v>
      </c>
      <c r="GB264" s="196">
        <f t="shared" si="105"/>
        <v>0</v>
      </c>
      <c r="GC264" s="196">
        <f>COUNTIF($GB$2:$GB$92, GB264)/(COUNTIF($GB$2:$GB$92, "&lt;&gt;""") - COUNTIF($GB$2:$GB$92, ""))</f>
        <v>1.1111111111111112E-2</v>
      </c>
      <c r="GD264" s="196">
        <f t="shared" si="106"/>
        <v>0</v>
      </c>
      <c r="GE264" s="196">
        <f>COUNTIF($GD$2:$GD$92, GD264)/(COUNTIF($GD$2:$GD$92, "&lt;&gt;""") - COUNTIF($GD$2:$GD$92, ""))</f>
        <v>1.1111111111111112E-2</v>
      </c>
      <c r="GF264" s="207"/>
      <c r="GG264" s="36"/>
      <c r="GH264" s="209" t="e">
        <f t="shared" ca="1" si="107"/>
        <v>#NAME?</v>
      </c>
      <c r="GI264" s="212" t="e">
        <f t="shared" ca="1" si="348"/>
        <v>#NAME?</v>
      </c>
    </row>
    <row r="265" spans="1:191" ht="15.75" customHeight="1">
      <c r="A265" s="171"/>
      <c r="B265" s="171" t="s">
        <v>501</v>
      </c>
      <c r="C265" s="16">
        <v>1796093</v>
      </c>
      <c r="D265" s="233" t="s">
        <v>1828</v>
      </c>
      <c r="E265" s="270">
        <v>43865.568749999999</v>
      </c>
      <c r="F265" s="16" t="s">
        <v>344</v>
      </c>
      <c r="G265" s="235" t="s">
        <v>1829</v>
      </c>
      <c r="H265" s="235" t="s">
        <v>1830</v>
      </c>
      <c r="I265" s="271">
        <v>43846</v>
      </c>
      <c r="J265" s="233" t="s">
        <v>1831</v>
      </c>
      <c r="K265" s="233" t="s">
        <v>1832</v>
      </c>
      <c r="M265" s="16" t="s">
        <v>323</v>
      </c>
      <c r="N265" s="16" t="s">
        <v>168</v>
      </c>
      <c r="O265" s="16" t="s">
        <v>30</v>
      </c>
      <c r="P265" s="16" t="s">
        <v>31</v>
      </c>
      <c r="Q265" s="16" t="s">
        <v>35</v>
      </c>
      <c r="S265" s="16" t="s">
        <v>269</v>
      </c>
      <c r="T265" s="237"/>
      <c r="U265" s="213"/>
      <c r="V265" s="54"/>
      <c r="W265" s="54">
        <v>5000000</v>
      </c>
      <c r="X265" s="226">
        <v>0.2</v>
      </c>
      <c r="Y265" s="55">
        <f t="shared" si="158"/>
        <v>4000000</v>
      </c>
      <c r="Z265" s="274">
        <f t="shared" si="159"/>
        <v>4000000</v>
      </c>
      <c r="AA265" s="183" t="e">
        <f t="shared" ca="1" si="160"/>
        <v>#NAME?</v>
      </c>
      <c r="AB265" s="16" t="s">
        <v>36</v>
      </c>
      <c r="AC265" s="16" t="s">
        <v>218</v>
      </c>
      <c r="AD265" s="16" t="s">
        <v>38</v>
      </c>
      <c r="AE265" s="16" t="s">
        <v>227</v>
      </c>
      <c r="AF265" s="16" t="s">
        <v>39</v>
      </c>
      <c r="AG265" s="16" t="s">
        <v>181</v>
      </c>
      <c r="AH265" s="16" t="s">
        <v>190</v>
      </c>
      <c r="AI265" s="54"/>
      <c r="AJ265" s="278">
        <v>752600000000</v>
      </c>
      <c r="AK265" s="224" t="e">
        <f t="shared" ca="1" si="161"/>
        <v>#NAME?</v>
      </c>
      <c r="AL265" s="278">
        <v>752600000000</v>
      </c>
      <c r="AM265" s="224" t="e">
        <f t="shared" ca="1" si="162"/>
        <v>#NAME?</v>
      </c>
      <c r="AN265" s="278">
        <v>0.13</v>
      </c>
      <c r="AO265" s="185" t="e">
        <f t="shared" ca="1" si="63"/>
        <v>#NAME?</v>
      </c>
      <c r="AP265" s="185" t="s">
        <v>169</v>
      </c>
      <c r="AQ265" s="16" t="s">
        <v>39</v>
      </c>
      <c r="AR265" s="16" t="s">
        <v>39</v>
      </c>
      <c r="AS265" s="16" t="s">
        <v>182</v>
      </c>
      <c r="AT265" s="159"/>
      <c r="AU265" s="159"/>
      <c r="AV265" s="16" t="s">
        <v>227</v>
      </c>
      <c r="AW265" s="16" t="s">
        <v>190</v>
      </c>
      <c r="AX265" s="16" t="s">
        <v>190</v>
      </c>
      <c r="AY265" s="16" t="s">
        <v>190</v>
      </c>
      <c r="AZ265" s="54">
        <v>0</v>
      </c>
      <c r="BA265" s="55" t="e">
        <f t="shared" ca="1" si="163"/>
        <v>#NAME?</v>
      </c>
      <c r="BB265" s="278">
        <v>0</v>
      </c>
      <c r="BC265" s="278">
        <v>0</v>
      </c>
      <c r="BD265" s="62" t="e">
        <f t="shared" ca="1" si="164"/>
        <v>#NAME?</v>
      </c>
      <c r="BE265" s="277">
        <f t="shared" si="165"/>
        <v>1</v>
      </c>
      <c r="BF265" s="62" t="e">
        <f t="shared" ca="1" si="166"/>
        <v>#NAME?</v>
      </c>
      <c r="BG265" s="16" t="s">
        <v>43</v>
      </c>
      <c r="BI265" s="16" t="s">
        <v>190</v>
      </c>
      <c r="BJ265" s="16">
        <v>0</v>
      </c>
      <c r="BK265" s="278">
        <v>3</v>
      </c>
      <c r="BL265" s="16" t="s">
        <v>227</v>
      </c>
      <c r="BM265" s="16" t="s">
        <v>190</v>
      </c>
      <c r="BN265" s="16" t="s">
        <v>190</v>
      </c>
      <c r="BO265" s="16" t="s">
        <v>190</v>
      </c>
      <c r="BP265" s="16">
        <v>4</v>
      </c>
      <c r="BQ265" s="16">
        <v>3</v>
      </c>
      <c r="BR265" s="16">
        <v>3</v>
      </c>
      <c r="BS265" s="16">
        <v>0</v>
      </c>
      <c r="BT265" s="205"/>
      <c r="BU265" s="16">
        <v>10</v>
      </c>
      <c r="BV265" s="16">
        <v>0</v>
      </c>
      <c r="BW265" s="16">
        <v>35</v>
      </c>
      <c r="BX265" s="16" t="s">
        <v>190</v>
      </c>
      <c r="BY265" s="205"/>
      <c r="BZ265" s="16">
        <v>0</v>
      </c>
      <c r="CA265" s="16">
        <v>0</v>
      </c>
      <c r="CB265" s="16">
        <v>33</v>
      </c>
      <c r="CC265" s="16" t="s">
        <v>190</v>
      </c>
      <c r="CD265" s="205"/>
      <c r="CE265" s="16">
        <v>0</v>
      </c>
      <c r="CF265" s="16">
        <v>0</v>
      </c>
      <c r="CG265" s="16">
        <v>32</v>
      </c>
      <c r="CH265" s="16" t="s">
        <v>190</v>
      </c>
      <c r="CI265" s="205"/>
      <c r="CN265" s="205"/>
      <c r="CS265" s="205"/>
      <c r="CX265" s="205"/>
      <c r="DC265" s="205"/>
      <c r="DH265" s="205"/>
      <c r="DM265" s="205"/>
      <c r="DN265" s="205"/>
      <c r="DO265" s="205"/>
      <c r="DQ265" s="206"/>
      <c r="DR265" s="188">
        <f t="shared" si="64"/>
        <v>3.3333333333333335</v>
      </c>
      <c r="DS265" s="188"/>
      <c r="DT265" s="189">
        <f t="shared" si="65"/>
        <v>0</v>
      </c>
      <c r="DU265" s="189"/>
      <c r="DV265" s="188">
        <f t="shared" si="66"/>
        <v>33.333333333333336</v>
      </c>
      <c r="DW265" s="183" t="e">
        <f t="shared" ca="1" si="67"/>
        <v>#NAME?</v>
      </c>
      <c r="DX265" s="207"/>
      <c r="DY265" s="190" t="e">
        <f t="shared" ca="1" si="68"/>
        <v>#NAME?</v>
      </c>
      <c r="DZ265" s="191">
        <f t="shared" si="338"/>
        <v>3.1052631578947367</v>
      </c>
      <c r="EA265" s="191" t="str">
        <f t="shared" si="339"/>
        <v/>
      </c>
      <c r="EB265" s="191" t="str">
        <f t="shared" si="340"/>
        <v/>
      </c>
      <c r="EC265" s="208" t="e">
        <f t="shared" ca="1" si="72"/>
        <v>#NAME?</v>
      </c>
      <c r="ED265" s="36" t="str">
        <f t="shared" si="73"/>
        <v>SAFE</v>
      </c>
      <c r="EE265" s="193">
        <f>COUNTIF($ED$2:$ED$92, ED265)/(COUNTIF($ED$2:$ED$92, "&lt;&gt;""") - COUNTIF($ED$2:$ED$92, ""))</f>
        <v>0.37777777777777777</v>
      </c>
      <c r="EF265" s="36" t="str">
        <f t="shared" si="74"/>
        <v>Early</v>
      </c>
      <c r="EG265" s="207"/>
      <c r="EH265" s="194" t="e">
        <f t="shared" ca="1" si="75"/>
        <v>#NAME?</v>
      </c>
      <c r="EI265" s="194" t="e">
        <f t="shared" ca="1" si="76"/>
        <v>#NAME?</v>
      </c>
      <c r="EJ265" s="209" t="e">
        <f t="shared" ca="1" si="77"/>
        <v>#NAME?</v>
      </c>
      <c r="EK265" s="208" t="e">
        <f t="shared" ca="1" si="341"/>
        <v>#NAME?</v>
      </c>
      <c r="EL265" s="36" t="str">
        <f t="shared" si="79"/>
        <v>Yes</v>
      </c>
      <c r="EM265" s="207"/>
      <c r="EN265" s="192">
        <f t="shared" si="342"/>
        <v>1.3174603174603174</v>
      </c>
      <c r="EO265" s="192">
        <f t="shared" si="343"/>
        <v>1</v>
      </c>
      <c r="EP265" s="209">
        <f t="shared" si="82"/>
        <v>2.3174603174603172</v>
      </c>
      <c r="EQ265" s="210">
        <f t="shared" si="344"/>
        <v>1.2492211838006229</v>
      </c>
      <c r="ER265" s="36" t="e">
        <f t="shared" ca="1" si="84"/>
        <v>#NAME?</v>
      </c>
      <c r="ES265" s="40">
        <f ca="1">COUNTIF($ER$2:$ER$92, ER265)/(COUNTIF($ER$2:$ER$92, "&lt;&gt;""") - COUNTIF($ER$2:$ER$92, ""))</f>
        <v>1</v>
      </c>
      <c r="ET265" s="36">
        <f t="shared" si="85"/>
        <v>3</v>
      </c>
      <c r="EU265" s="40">
        <f>COUNTIF($ET$2:$ET$92, ET265)/(COUNTIF($ET$2:$ET$92, "&lt;&gt;""") - COUNTIF($ET$2:$ET$92, ""))</f>
        <v>4.4444444444444446E-2</v>
      </c>
      <c r="EV265" s="36">
        <f t="shared" si="86"/>
        <v>3</v>
      </c>
      <c r="EW265" s="40">
        <f>COUNTIF($EV$2:$EV$92, EV265)/(COUNTIF($EV$2:$EV$92, "&lt;&gt;""") - COUNTIF($EV$2:$EV$92, ""))</f>
        <v>8.8888888888888892E-2</v>
      </c>
      <c r="EX265" s="36" t="str">
        <f t="shared" si="87"/>
        <v>Yes</v>
      </c>
      <c r="EY265" s="40">
        <f>COUNTIF($EX$2:$EX$92, EX265)/(COUNTIF($EX$2:$EX$92, "&lt;&gt;""") - COUNTIF($EX$2:$EX$92, ""))</f>
        <v>0.27777777777777779</v>
      </c>
      <c r="EZ265" s="36" t="str">
        <f t="shared" ref="EZ265:FB265" si="408">BM265</f>
        <v>No</v>
      </c>
      <c r="FA265" s="36" t="str">
        <f t="shared" si="408"/>
        <v>No</v>
      </c>
      <c r="FB265" s="36" t="str">
        <f t="shared" si="408"/>
        <v>No</v>
      </c>
      <c r="FC265" s="207"/>
      <c r="FD265" s="36" t="str">
        <f t="shared" si="89"/>
        <v>Transactional</v>
      </c>
      <c r="FE265" s="40">
        <f>COUNTIF($FD$2:$FD$92, FD265)/(COUNTIF($FD$2:$FD$92, "&lt;&gt;""") - COUNTIF($FD$2:$FD$92, ""))</f>
        <v>0.6</v>
      </c>
      <c r="FF265" s="36" t="str">
        <f t="shared" si="90"/>
        <v>B2B/B2C</v>
      </c>
      <c r="FG265" s="40">
        <f>COUNTIF($FF$2:$FF$92, FF265)/(COUNTIF($FF$2:$FF$92, "&lt;&gt;""") - COUNTIF($FF$2:$FF$92, ""))</f>
        <v>0.27777777777777779</v>
      </c>
      <c r="FH265" s="36" t="str">
        <f t="shared" si="91"/>
        <v>High</v>
      </c>
      <c r="FI265" s="40">
        <f>COUNTIF($FH$2:$FH$92, FH265)/(COUNTIF($FH$2:$FH$92, "&lt;&gt;""") - COUNTIF($FH$2:$FH$92, ""))</f>
        <v>0.53333333333333333</v>
      </c>
      <c r="FJ265" s="36" t="str">
        <f t="shared" si="92"/>
        <v>Low</v>
      </c>
      <c r="FK265" s="40">
        <f>COUNTIF($FJ$2:$FJ$92, FJ265)/(COUNTIF($FJ$2:$FJ$92, "&lt;&gt;""") - COUNTIF($FJ$2:$FJ$92, ""))</f>
        <v>0.41111111111111109</v>
      </c>
      <c r="FL265" s="207"/>
      <c r="FM265" s="192">
        <f t="shared" si="93"/>
        <v>1</v>
      </c>
      <c r="FN265" s="192" t="e">
        <f t="shared" ca="1" si="94"/>
        <v>#NAME?</v>
      </c>
      <c r="FO265" s="192" t="e">
        <f t="shared" ca="1" si="95"/>
        <v>#NAME?</v>
      </c>
      <c r="FP265" s="192" t="e">
        <f t="shared" ca="1" si="96"/>
        <v>#NAME?</v>
      </c>
      <c r="FQ265" s="209" t="e">
        <f t="shared" ca="1" si="97"/>
        <v>#NAME?</v>
      </c>
      <c r="FR265" s="208" t="e">
        <f t="shared" ca="1" si="346"/>
        <v>#NAME?</v>
      </c>
      <c r="FS265" s="36" t="str">
        <f t="shared" si="99"/>
        <v>Pre-Product</v>
      </c>
      <c r="FT265" s="196">
        <f>COUNTIF($FS$2:$FS$92, FS265)/(COUNTIF($FS$2:$FS$92, "&lt;&gt;""") - COUNTIF($FZ$2:$FZ$92, ""))</f>
        <v>0.22222222222222221</v>
      </c>
      <c r="FU265" s="207"/>
      <c r="FV265" s="192" t="e">
        <f t="shared" ca="1" si="100"/>
        <v>#NAME?</v>
      </c>
      <c r="FW265" s="197" t="e">
        <f t="shared" ca="1" si="101"/>
        <v>#NAME?</v>
      </c>
      <c r="FX265" s="209" t="e">
        <f t="shared" ca="1" si="102"/>
        <v>#NAME?</v>
      </c>
      <c r="FY265" s="211" t="e">
        <f t="shared" ca="1" si="347"/>
        <v>#NAME?</v>
      </c>
      <c r="FZ265" s="36" t="str">
        <f t="shared" si="104"/>
        <v>No</v>
      </c>
      <c r="GA265" s="196">
        <f>COUNTIF($FZ$2:$FZ$92, FZ265)/(COUNTIF($FZ$2:$FZ$92, "&lt;&gt;""") - COUNTIF($FZ$2:$FZ$92, ""))</f>
        <v>0.76666666666666672</v>
      </c>
      <c r="GB265" s="196">
        <f t="shared" si="105"/>
        <v>0</v>
      </c>
      <c r="GC265" s="196">
        <f>COUNTIF($GB$2:$GB$92, GB265)/(COUNTIF($GB$2:$GB$92, "&lt;&gt;""") - COUNTIF($GB$2:$GB$92, ""))</f>
        <v>1.1111111111111112E-2</v>
      </c>
      <c r="GD265" s="196">
        <f t="shared" si="106"/>
        <v>0</v>
      </c>
      <c r="GE265" s="196">
        <f>COUNTIF($GD$2:$GD$92, GD265)/(COUNTIF($GD$2:$GD$92, "&lt;&gt;""") - COUNTIF($GD$2:$GD$92, ""))</f>
        <v>1.1111111111111112E-2</v>
      </c>
      <c r="GF265" s="207"/>
      <c r="GG265" s="36"/>
      <c r="GH265" s="209" t="e">
        <f t="shared" ca="1" si="107"/>
        <v>#NAME?</v>
      </c>
      <c r="GI265" s="212" t="e">
        <f t="shared" ca="1" si="348"/>
        <v>#NAME?</v>
      </c>
    </row>
    <row r="266" spans="1:191" ht="15.75" customHeight="1">
      <c r="A266" s="171"/>
      <c r="B266" s="171" t="s">
        <v>501</v>
      </c>
      <c r="C266" s="16">
        <v>1800456</v>
      </c>
      <c r="D266" s="233" t="s">
        <v>1833</v>
      </c>
      <c r="E266" s="270">
        <v>43866.694444444445</v>
      </c>
      <c r="F266" s="16" t="s">
        <v>344</v>
      </c>
      <c r="G266" s="235" t="s">
        <v>1834</v>
      </c>
      <c r="H266" s="235" t="s">
        <v>1835</v>
      </c>
      <c r="I266" s="271">
        <v>43851</v>
      </c>
      <c r="J266" s="233" t="s">
        <v>1836</v>
      </c>
      <c r="K266" s="233" t="s">
        <v>1833</v>
      </c>
      <c r="M266" s="29" t="s">
        <v>253</v>
      </c>
      <c r="N266" s="16" t="s">
        <v>320</v>
      </c>
      <c r="O266" s="16" t="s">
        <v>173</v>
      </c>
      <c r="P266" s="16" t="s">
        <v>197</v>
      </c>
      <c r="Q266" s="16" t="s">
        <v>35</v>
      </c>
      <c r="S266" s="16" t="s">
        <v>216</v>
      </c>
      <c r="T266" s="237"/>
      <c r="U266" s="213"/>
      <c r="V266" s="54">
        <v>15600000</v>
      </c>
      <c r="W266" s="54"/>
      <c r="X266" s="226"/>
      <c r="Y266" s="55" t="str">
        <f t="shared" si="158"/>
        <v/>
      </c>
      <c r="Z266" s="274">
        <f t="shared" si="159"/>
        <v>15600000</v>
      </c>
      <c r="AA266" s="183" t="e">
        <f t="shared" ca="1" si="160"/>
        <v>#NAME?</v>
      </c>
      <c r="AB266" s="16" t="s">
        <v>178</v>
      </c>
      <c r="AC266" s="16" t="s">
        <v>218</v>
      </c>
      <c r="AD266" s="16" t="s">
        <v>38</v>
      </c>
      <c r="AE266" s="16" t="s">
        <v>227</v>
      </c>
      <c r="AF266" s="16" t="s">
        <v>39</v>
      </c>
      <c r="AG266" s="16" t="s">
        <v>181</v>
      </c>
      <c r="AH266" s="16" t="s">
        <v>190</v>
      </c>
      <c r="AI266" s="54"/>
      <c r="AJ266" s="278">
        <v>1265000000</v>
      </c>
      <c r="AK266" s="224" t="e">
        <f t="shared" ca="1" si="161"/>
        <v>#NAME?</v>
      </c>
      <c r="AL266" s="278">
        <v>1265000000</v>
      </c>
      <c r="AM266" s="224" t="e">
        <f t="shared" ca="1" si="162"/>
        <v>#NAME?</v>
      </c>
      <c r="AN266" s="278">
        <v>0.05</v>
      </c>
      <c r="AO266" s="185" t="e">
        <f t="shared" ca="1" si="63"/>
        <v>#NAME?</v>
      </c>
      <c r="AP266" s="185" t="s">
        <v>192</v>
      </c>
      <c r="AQ266" s="16" t="s">
        <v>39</v>
      </c>
      <c r="AR266" s="16" t="s">
        <v>39</v>
      </c>
      <c r="AS266" s="16" t="s">
        <v>182</v>
      </c>
      <c r="AT266" s="159"/>
      <c r="AU266" s="159"/>
      <c r="AV266" s="16" t="s">
        <v>227</v>
      </c>
      <c r="AW266" s="16" t="s">
        <v>227</v>
      </c>
      <c r="AX266" s="16" t="s">
        <v>227</v>
      </c>
      <c r="AY266" s="16" t="s">
        <v>227</v>
      </c>
      <c r="AZ266" s="54">
        <v>107966</v>
      </c>
      <c r="BA266" s="55" t="e">
        <f t="shared" ca="1" si="163"/>
        <v>#NAME?</v>
      </c>
      <c r="BB266" s="278">
        <v>126105</v>
      </c>
      <c r="BC266" s="278">
        <v>3476667</v>
      </c>
      <c r="BD266" s="62" t="e">
        <f t="shared" ca="1" si="164"/>
        <v>#NAME?</v>
      </c>
      <c r="BE266" s="277">
        <f t="shared" si="165"/>
        <v>3.6271808602894667E-2</v>
      </c>
      <c r="BF266" s="62" t="e">
        <f t="shared" ca="1" si="166"/>
        <v>#NAME?</v>
      </c>
      <c r="BG266" s="16" t="s">
        <v>202</v>
      </c>
      <c r="BI266" s="16" t="s">
        <v>227</v>
      </c>
      <c r="BJ266" s="16">
        <v>0</v>
      </c>
      <c r="BK266" s="278">
        <v>1</v>
      </c>
      <c r="BL266" s="16" t="s">
        <v>227</v>
      </c>
      <c r="BM266" s="16" t="s">
        <v>190</v>
      </c>
      <c r="BN266" s="16" t="s">
        <v>190</v>
      </c>
      <c r="BO266" s="16" t="s">
        <v>227</v>
      </c>
      <c r="BP266" s="16">
        <v>1</v>
      </c>
      <c r="BQ266" s="16">
        <v>15</v>
      </c>
      <c r="BR266" s="16">
        <v>0</v>
      </c>
      <c r="BS266" s="16">
        <v>0</v>
      </c>
      <c r="BT266" s="205"/>
      <c r="BU266" s="16">
        <v>23</v>
      </c>
      <c r="BV266" s="16">
        <v>2</v>
      </c>
      <c r="BW266" s="16">
        <v>55</v>
      </c>
      <c r="BX266" s="16" t="s">
        <v>190</v>
      </c>
      <c r="BY266" s="205"/>
      <c r="CD266" s="205"/>
      <c r="CI266" s="205"/>
      <c r="CN266" s="205"/>
      <c r="CS266" s="205"/>
      <c r="CX266" s="205"/>
      <c r="DC266" s="205"/>
      <c r="DH266" s="205"/>
      <c r="DM266" s="205"/>
      <c r="DN266" s="205"/>
      <c r="DO266" s="205"/>
      <c r="DQ266" s="206"/>
      <c r="DR266" s="188">
        <f t="shared" si="64"/>
        <v>23</v>
      </c>
      <c r="DS266" s="188"/>
      <c r="DT266" s="189">
        <f t="shared" si="65"/>
        <v>2</v>
      </c>
      <c r="DU266" s="189"/>
      <c r="DV266" s="188">
        <f t="shared" si="66"/>
        <v>55</v>
      </c>
      <c r="DW266" s="183" t="e">
        <f t="shared" ca="1" si="67"/>
        <v>#NAME?</v>
      </c>
      <c r="DX266" s="207"/>
      <c r="DY266" s="190" t="e">
        <f t="shared" ca="1" si="68"/>
        <v>#NAME?</v>
      </c>
      <c r="DZ266" s="191" t="str">
        <f t="shared" si="338"/>
        <v/>
      </c>
      <c r="EA266" s="191" t="str">
        <f t="shared" si="339"/>
        <v/>
      </c>
      <c r="EB266" s="191" t="str">
        <f t="shared" si="340"/>
        <v/>
      </c>
      <c r="EC266" s="208" t="e">
        <f t="shared" ca="1" si="72"/>
        <v>#NAME?</v>
      </c>
      <c r="ED266" s="36" t="str">
        <f t="shared" si="73"/>
        <v>Equity - Common</v>
      </c>
      <c r="EE266" s="193">
        <f>COUNTIF($ED$2:$ED$92, ED266)/(COUNTIF($ED$2:$ED$92, "&lt;&gt;""") - COUNTIF($ED$2:$ED$92, ""))</f>
        <v>0.32222222222222224</v>
      </c>
      <c r="EF266" s="36" t="str">
        <f t="shared" si="74"/>
        <v>Growth</v>
      </c>
      <c r="EG266" s="207"/>
      <c r="EH266" s="194" t="e">
        <f t="shared" ca="1" si="75"/>
        <v>#NAME?</v>
      </c>
      <c r="EI266" s="194" t="e">
        <f t="shared" ca="1" si="76"/>
        <v>#NAME?</v>
      </c>
      <c r="EJ266" s="209" t="e">
        <f t="shared" ca="1" si="77"/>
        <v>#NAME?</v>
      </c>
      <c r="EK266" s="208" t="e">
        <f t="shared" ca="1" si="341"/>
        <v>#NAME?</v>
      </c>
      <c r="EL266" s="36" t="str">
        <f t="shared" si="79"/>
        <v>Yes</v>
      </c>
      <c r="EM266" s="207"/>
      <c r="EN266" s="192">
        <f t="shared" si="342"/>
        <v>3.1904761904761907</v>
      </c>
      <c r="EO266" s="192">
        <f t="shared" si="343"/>
        <v>3</v>
      </c>
      <c r="EP266" s="209">
        <f t="shared" si="82"/>
        <v>6.1904761904761907</v>
      </c>
      <c r="EQ266" s="210">
        <f t="shared" si="344"/>
        <v>4.2897196261682247</v>
      </c>
      <c r="ER266" s="36" t="e">
        <f t="shared" ca="1" si="84"/>
        <v>#NAME?</v>
      </c>
      <c r="ES266" s="40">
        <f ca="1">COUNTIF($ER$2:$ER$92, ER266)/(COUNTIF($ER$2:$ER$92, "&lt;&gt;""") - COUNTIF($ER$2:$ER$92, ""))</f>
        <v>1</v>
      </c>
      <c r="ET266" s="36">
        <f t="shared" si="85"/>
        <v>1</v>
      </c>
      <c r="EU266" s="40">
        <f>COUNTIF($ET$2:$ET$92, ET266)/(COUNTIF($ET$2:$ET$92, "&lt;&gt;""") - COUNTIF($ET$2:$ET$92, ""))</f>
        <v>0.45555555555555555</v>
      </c>
      <c r="EV266" s="36">
        <f t="shared" si="86"/>
        <v>15</v>
      </c>
      <c r="EW266" s="40">
        <f>COUNTIF($EV$2:$EV$92, EV266)/(COUNTIF($EV$2:$EV$92, "&lt;&gt;""") - COUNTIF($EV$2:$EV$92, ""))</f>
        <v>2.2222222222222223E-2</v>
      </c>
      <c r="EX266" s="36" t="str">
        <f t="shared" si="87"/>
        <v>Yes</v>
      </c>
      <c r="EY266" s="40">
        <f>COUNTIF($EX$2:$EX$92, EX266)/(COUNTIF($EX$2:$EX$92, "&lt;&gt;""") - COUNTIF($EX$2:$EX$92, ""))</f>
        <v>0.27777777777777779</v>
      </c>
      <c r="EZ266" s="36" t="str">
        <f t="shared" ref="EZ266:FB266" si="409">BM266</f>
        <v>No</v>
      </c>
      <c r="FA266" s="36" t="str">
        <f t="shared" si="409"/>
        <v>No</v>
      </c>
      <c r="FB266" s="36" t="str">
        <f t="shared" si="409"/>
        <v>Yes</v>
      </c>
      <c r="FC266" s="207"/>
      <c r="FD266" s="36" t="str">
        <f t="shared" si="89"/>
        <v>Recurring</v>
      </c>
      <c r="FE266" s="40">
        <f>COUNTIF($FD$2:$FD$92, FD266)/(COUNTIF($FD$2:$FD$92, "&lt;&gt;""") - COUNTIF($FD$2:$FD$92, ""))</f>
        <v>0.4</v>
      </c>
      <c r="FF266" s="36" t="str">
        <f t="shared" si="90"/>
        <v>B2B/B2C</v>
      </c>
      <c r="FG266" s="40">
        <f>COUNTIF($FF$2:$FF$92, FF266)/(COUNTIF($FF$2:$FF$92, "&lt;&gt;""") - COUNTIF($FF$2:$FF$92, ""))</f>
        <v>0.27777777777777779</v>
      </c>
      <c r="FH266" s="36" t="str">
        <f t="shared" si="91"/>
        <v>High</v>
      </c>
      <c r="FI266" s="40">
        <f>COUNTIF($FH$2:$FH$92, FH266)/(COUNTIF($FH$2:$FH$92, "&lt;&gt;""") - COUNTIF($FH$2:$FH$92, ""))</f>
        <v>0.53333333333333333</v>
      </c>
      <c r="FJ266" s="36" t="str">
        <f t="shared" si="92"/>
        <v>Low</v>
      </c>
      <c r="FK266" s="40">
        <f>COUNTIF($FJ$2:$FJ$92, FJ266)/(COUNTIF($FJ$2:$FJ$92, "&lt;&gt;""") - COUNTIF($FJ$2:$FJ$92, ""))</f>
        <v>0.41111111111111109</v>
      </c>
      <c r="FL266" s="207"/>
      <c r="FM266" s="192">
        <f t="shared" si="93"/>
        <v>5</v>
      </c>
      <c r="FN266" s="192" t="e">
        <f t="shared" ca="1" si="94"/>
        <v>#NAME?</v>
      </c>
      <c r="FO266" s="192" t="e">
        <f t="shared" ca="1" si="95"/>
        <v>#NAME?</v>
      </c>
      <c r="FP266" s="192" t="e">
        <f t="shared" ca="1" si="96"/>
        <v>#NAME?</v>
      </c>
      <c r="FQ266" s="209" t="e">
        <f t="shared" ca="1" si="97"/>
        <v>#NAME?</v>
      </c>
      <c r="FR266" s="208" t="e">
        <f t="shared" ca="1" si="346"/>
        <v>#NAME?</v>
      </c>
      <c r="FS266" s="36" t="str">
        <f t="shared" si="99"/>
        <v>Pre-Profit</v>
      </c>
      <c r="FT266" s="196">
        <f>COUNTIF($FS$2:$FS$92, FS266)/(COUNTIF($FS$2:$FS$92, "&lt;&gt;""") - COUNTIF($FZ$2:$FZ$92, ""))</f>
        <v>0.51111111111111107</v>
      </c>
      <c r="FU266" s="207"/>
      <c r="FV266" s="192" t="e">
        <f t="shared" ca="1" si="100"/>
        <v>#NAME?</v>
      </c>
      <c r="FW266" s="197" t="e">
        <f t="shared" ca="1" si="101"/>
        <v>#NAME?</v>
      </c>
      <c r="FX266" s="209" t="e">
        <f t="shared" ca="1" si="102"/>
        <v>#NAME?</v>
      </c>
      <c r="FY266" s="211" t="e">
        <f t="shared" ca="1" si="347"/>
        <v>#NAME?</v>
      </c>
      <c r="FZ266" s="36" t="str">
        <f t="shared" si="104"/>
        <v>Yes</v>
      </c>
      <c r="GA266" s="196">
        <f>COUNTIF($FZ$2:$FZ$92, FZ266)/(COUNTIF($FZ$2:$FZ$92, "&lt;&gt;""") - COUNTIF($FZ$2:$FZ$92, ""))</f>
        <v>0.23333333333333334</v>
      </c>
      <c r="GB266" s="196">
        <f t="shared" si="105"/>
        <v>0</v>
      </c>
      <c r="GC266" s="196">
        <f>COUNTIF($GB$2:$GB$92, GB266)/(COUNTIF($GB$2:$GB$92, "&lt;&gt;""") - COUNTIF($GB$2:$GB$92, ""))</f>
        <v>1.1111111111111112E-2</v>
      </c>
      <c r="GD266" s="196">
        <f t="shared" si="106"/>
        <v>0</v>
      </c>
      <c r="GE266" s="196">
        <f>COUNTIF($GD$2:$GD$92, GD266)/(COUNTIF($GD$2:$GD$92, "&lt;&gt;""") - COUNTIF($GD$2:$GD$92, ""))</f>
        <v>1.1111111111111112E-2</v>
      </c>
      <c r="GF266" s="207"/>
      <c r="GG266" s="36"/>
      <c r="GH266" s="209" t="e">
        <f t="shared" ca="1" si="107"/>
        <v>#NAME?</v>
      </c>
      <c r="GI266" s="212" t="e">
        <f t="shared" ca="1" si="348"/>
        <v>#NAME?</v>
      </c>
    </row>
    <row r="267" spans="1:191" ht="15.75" customHeight="1">
      <c r="A267" s="171"/>
      <c r="B267" s="171" t="s">
        <v>501</v>
      </c>
      <c r="C267" s="16">
        <v>1785626</v>
      </c>
      <c r="D267" s="233" t="s">
        <v>1837</v>
      </c>
      <c r="E267" s="270">
        <v>43867.513888888891</v>
      </c>
      <c r="F267" s="16" t="s">
        <v>321</v>
      </c>
      <c r="G267" s="235" t="s">
        <v>1838</v>
      </c>
      <c r="H267" s="235" t="s">
        <v>1839</v>
      </c>
      <c r="I267" s="271">
        <v>43877</v>
      </c>
      <c r="J267" s="233" t="s">
        <v>1840</v>
      </c>
      <c r="K267" s="233" t="s">
        <v>1837</v>
      </c>
      <c r="M267" s="16" t="s">
        <v>171</v>
      </c>
      <c r="N267" s="16" t="s">
        <v>168</v>
      </c>
      <c r="O267" s="16" t="s">
        <v>30</v>
      </c>
      <c r="P267" s="16" t="s">
        <v>31</v>
      </c>
      <c r="Q267" s="16" t="s">
        <v>35</v>
      </c>
      <c r="S267" s="16" t="s">
        <v>269</v>
      </c>
      <c r="T267" s="237"/>
      <c r="U267" s="213"/>
      <c r="V267" s="54"/>
      <c r="W267" s="54">
        <v>2000000</v>
      </c>
      <c r="X267" s="226">
        <v>0.2</v>
      </c>
      <c r="Y267" s="55">
        <f t="shared" si="158"/>
        <v>1600000</v>
      </c>
      <c r="Z267" s="274">
        <f t="shared" si="159"/>
        <v>1600000</v>
      </c>
      <c r="AA267" s="183" t="e">
        <f t="shared" ca="1" si="160"/>
        <v>#NAME?</v>
      </c>
      <c r="AB267" s="16" t="s">
        <v>36</v>
      </c>
      <c r="AC267" s="16" t="s">
        <v>218</v>
      </c>
      <c r="AD267" s="16" t="s">
        <v>38</v>
      </c>
      <c r="AE267" s="16" t="s">
        <v>227</v>
      </c>
      <c r="AF267" s="16" t="s">
        <v>181</v>
      </c>
      <c r="AG267" s="16" t="s">
        <v>181</v>
      </c>
      <c r="AH267" s="16" t="s">
        <v>190</v>
      </c>
      <c r="AI267" s="54"/>
      <c r="AJ267" s="278">
        <v>19910000000</v>
      </c>
      <c r="AK267" s="224" t="e">
        <f t="shared" ca="1" si="161"/>
        <v>#NAME?</v>
      </c>
      <c r="AL267" s="278">
        <v>19910000000</v>
      </c>
      <c r="AM267" s="224" t="e">
        <f t="shared" ca="1" si="162"/>
        <v>#NAME?</v>
      </c>
      <c r="AN267" s="278">
        <v>0.04</v>
      </c>
      <c r="AO267" s="185" t="e">
        <f t="shared" ca="1" si="63"/>
        <v>#NAME?</v>
      </c>
      <c r="AP267" s="185" t="s">
        <v>228</v>
      </c>
      <c r="AQ267" s="16" t="s">
        <v>181</v>
      </c>
      <c r="AR267" s="16" t="s">
        <v>181</v>
      </c>
      <c r="AS267" s="16" t="s">
        <v>42</v>
      </c>
      <c r="AT267" s="159"/>
      <c r="AU267" s="159"/>
      <c r="AV267" s="16" t="s">
        <v>190</v>
      </c>
      <c r="AW267" s="16" t="s">
        <v>227</v>
      </c>
      <c r="AX267" s="16" t="s">
        <v>190</v>
      </c>
      <c r="AY267" s="16" t="s">
        <v>190</v>
      </c>
      <c r="AZ267" s="54">
        <v>0</v>
      </c>
      <c r="BA267" s="55" t="e">
        <f t="shared" ca="1" si="163"/>
        <v>#NAME?</v>
      </c>
      <c r="BB267" s="278">
        <v>667</v>
      </c>
      <c r="BC267" s="278">
        <v>15000</v>
      </c>
      <c r="BD267" s="62" t="e">
        <f t="shared" ca="1" si="164"/>
        <v>#NAME?</v>
      </c>
      <c r="BE267" s="277">
        <f t="shared" si="165"/>
        <v>4.4466666666666668E-2</v>
      </c>
      <c r="BF267" s="62" t="e">
        <f t="shared" ca="1" si="166"/>
        <v>#NAME?</v>
      </c>
      <c r="BG267" s="16" t="s">
        <v>183</v>
      </c>
      <c r="BI267" s="16" t="s">
        <v>227</v>
      </c>
      <c r="BJ267" s="16">
        <v>0</v>
      </c>
      <c r="BK267" s="278">
        <v>1</v>
      </c>
      <c r="BL267" s="16" t="s">
        <v>190</v>
      </c>
      <c r="BM267" s="16" t="s">
        <v>227</v>
      </c>
      <c r="BN267" s="16" t="s">
        <v>190</v>
      </c>
      <c r="BO267" s="16" t="s">
        <v>190</v>
      </c>
      <c r="BP267" s="16">
        <v>4</v>
      </c>
      <c r="BQ267" s="16">
        <v>1</v>
      </c>
      <c r="BR267" s="16">
        <v>0</v>
      </c>
      <c r="BS267" s="16">
        <v>0</v>
      </c>
      <c r="BT267" s="205"/>
      <c r="BU267" s="16">
        <v>0</v>
      </c>
      <c r="BV267" s="16">
        <v>0</v>
      </c>
      <c r="BW267" s="16">
        <v>33</v>
      </c>
      <c r="BX267" s="16" t="s">
        <v>190</v>
      </c>
      <c r="BY267" s="205"/>
      <c r="CD267" s="205"/>
      <c r="CI267" s="205"/>
      <c r="CN267" s="205"/>
      <c r="CS267" s="205"/>
      <c r="CX267" s="205"/>
      <c r="DC267" s="205"/>
      <c r="DH267" s="205"/>
      <c r="DM267" s="205"/>
      <c r="DN267" s="205"/>
      <c r="DO267" s="205"/>
      <c r="DQ267" s="206"/>
      <c r="DR267" s="188">
        <f t="shared" si="64"/>
        <v>0</v>
      </c>
      <c r="DS267" s="188"/>
      <c r="DT267" s="189">
        <f t="shared" si="65"/>
        <v>0</v>
      </c>
      <c r="DU267" s="189"/>
      <c r="DV267" s="188">
        <f t="shared" si="66"/>
        <v>33</v>
      </c>
      <c r="DW267" s="183" t="e">
        <f t="shared" ca="1" si="67"/>
        <v>#NAME?</v>
      </c>
      <c r="DX267" s="207"/>
      <c r="DY267" s="190" t="e">
        <f t="shared" ca="1" si="68"/>
        <v>#NAME?</v>
      </c>
      <c r="DZ267" s="191">
        <f t="shared" si="338"/>
        <v>3.1052631578947367</v>
      </c>
      <c r="EA267" s="191" t="str">
        <f t="shared" si="339"/>
        <v/>
      </c>
      <c r="EB267" s="191" t="str">
        <f t="shared" si="340"/>
        <v/>
      </c>
      <c r="EC267" s="208" t="e">
        <f t="shared" ca="1" si="72"/>
        <v>#NAME?</v>
      </c>
      <c r="ED267" s="36" t="str">
        <f t="shared" si="73"/>
        <v>SAFE</v>
      </c>
      <c r="EE267" s="193">
        <f>COUNTIF($ED$2:$ED$92, ED267)/(COUNTIF($ED$2:$ED$92, "&lt;&gt;""") - COUNTIF($ED$2:$ED$92, ""))</f>
        <v>0.37777777777777777</v>
      </c>
      <c r="EF267" s="36" t="str">
        <f t="shared" si="74"/>
        <v>Early</v>
      </c>
      <c r="EG267" s="207"/>
      <c r="EH267" s="194" t="e">
        <f t="shared" ca="1" si="75"/>
        <v>#NAME?</v>
      </c>
      <c r="EI267" s="194" t="e">
        <f t="shared" ca="1" si="76"/>
        <v>#NAME?</v>
      </c>
      <c r="EJ267" s="209" t="e">
        <f t="shared" ca="1" si="77"/>
        <v>#NAME?</v>
      </c>
      <c r="EK267" s="208" t="e">
        <f t="shared" ca="1" si="341"/>
        <v>#NAME?</v>
      </c>
      <c r="EL267" s="36" t="str">
        <f t="shared" si="79"/>
        <v>No</v>
      </c>
      <c r="EM267" s="207"/>
      <c r="EN267" s="192">
        <f t="shared" si="342"/>
        <v>1</v>
      </c>
      <c r="EO267" s="192">
        <f t="shared" si="343"/>
        <v>1</v>
      </c>
      <c r="EP267" s="209">
        <f t="shared" si="82"/>
        <v>2</v>
      </c>
      <c r="EQ267" s="210">
        <f t="shared" si="344"/>
        <v>1</v>
      </c>
      <c r="ER267" s="36" t="e">
        <f t="shared" ca="1" si="84"/>
        <v>#NAME?</v>
      </c>
      <c r="ES267" s="40">
        <f ca="1">COUNTIF($ER$2:$ER$92, ER267)/(COUNTIF($ER$2:$ER$92, "&lt;&gt;""") - COUNTIF($ER$2:$ER$92, ""))</f>
        <v>1</v>
      </c>
      <c r="ET267" s="36">
        <f t="shared" si="85"/>
        <v>1</v>
      </c>
      <c r="EU267" s="40">
        <f>COUNTIF($ET$2:$ET$92, ET267)/(COUNTIF($ET$2:$ET$92, "&lt;&gt;""") - COUNTIF($ET$2:$ET$92, ""))</f>
        <v>0.45555555555555555</v>
      </c>
      <c r="EV267" s="36">
        <f t="shared" si="86"/>
        <v>1</v>
      </c>
      <c r="EW267" s="40">
        <f>COUNTIF($EV$2:$EV$92, EV267)/(COUNTIF($EV$2:$EV$92, "&lt;&gt;""") - COUNTIF($EV$2:$EV$92, ""))</f>
        <v>7.7777777777777779E-2</v>
      </c>
      <c r="EX267" s="36" t="str">
        <f t="shared" si="87"/>
        <v>No</v>
      </c>
      <c r="EY267" s="40">
        <f>COUNTIF($EX$2:$EX$92, EX267)/(COUNTIF($EX$2:$EX$92, "&lt;&gt;""") - COUNTIF($EX$2:$EX$92, ""))</f>
        <v>0.72222222222222221</v>
      </c>
      <c r="EZ267" s="36" t="str">
        <f t="shared" ref="EZ267:FB267" si="410">BM267</f>
        <v>Yes</v>
      </c>
      <c r="FA267" s="36" t="str">
        <f t="shared" si="410"/>
        <v>No</v>
      </c>
      <c r="FB267" s="36" t="str">
        <f t="shared" si="410"/>
        <v>No</v>
      </c>
      <c r="FC267" s="207"/>
      <c r="FD267" s="36" t="str">
        <f t="shared" si="89"/>
        <v>Transactional</v>
      </c>
      <c r="FE267" s="40">
        <f>COUNTIF($FD$2:$FD$92, FD267)/(COUNTIF($FD$2:$FD$92, "&lt;&gt;""") - COUNTIF($FD$2:$FD$92, ""))</f>
        <v>0.6</v>
      </c>
      <c r="FF267" s="36" t="str">
        <f t="shared" si="90"/>
        <v>B2B/B2C</v>
      </c>
      <c r="FG267" s="40">
        <f>COUNTIF($FF$2:$FF$92, FF267)/(COUNTIF($FF$2:$FF$92, "&lt;&gt;""") - COUNTIF($FF$2:$FF$92, ""))</f>
        <v>0.27777777777777779</v>
      </c>
      <c r="FH267" s="36" t="str">
        <f t="shared" si="91"/>
        <v>Low</v>
      </c>
      <c r="FI267" s="40">
        <f>COUNTIF($FH$2:$FH$92, FH267)/(COUNTIF($FH$2:$FH$92, "&lt;&gt;""") - COUNTIF($FH$2:$FH$92, ""))</f>
        <v>0.46666666666666667</v>
      </c>
      <c r="FJ267" s="36" t="str">
        <f t="shared" si="92"/>
        <v>Low</v>
      </c>
      <c r="FK267" s="40">
        <f>COUNTIF($FJ$2:$FJ$92, FJ267)/(COUNTIF($FJ$2:$FJ$92, "&lt;&gt;""") - COUNTIF($FJ$2:$FJ$92, ""))</f>
        <v>0.41111111111111109</v>
      </c>
      <c r="FL267" s="207"/>
      <c r="FM267" s="192">
        <f t="shared" si="93"/>
        <v>1</v>
      </c>
      <c r="FN267" s="192" t="e">
        <f t="shared" ca="1" si="94"/>
        <v>#NAME?</v>
      </c>
      <c r="FO267" s="192" t="e">
        <f t="shared" ca="1" si="95"/>
        <v>#NAME?</v>
      </c>
      <c r="FP267" s="192" t="e">
        <f t="shared" ca="1" si="96"/>
        <v>#NAME?</v>
      </c>
      <c r="FQ267" s="209" t="e">
        <f t="shared" ca="1" si="97"/>
        <v>#NAME?</v>
      </c>
      <c r="FR267" s="208" t="e">
        <f t="shared" ca="1" si="346"/>
        <v>#NAME?</v>
      </c>
      <c r="FS267" s="36" t="str">
        <f t="shared" si="99"/>
        <v>Pre-Revenue</v>
      </c>
      <c r="FT267" s="196">
        <f>COUNTIF($FS$2:$FS$92, FS267)/(COUNTIF($FS$2:$FS$92, "&lt;&gt;""") - COUNTIF($FZ$2:$FZ$92, ""))</f>
        <v>0.2</v>
      </c>
      <c r="FU267" s="207"/>
      <c r="FV267" s="192" t="e">
        <f t="shared" ca="1" si="100"/>
        <v>#NAME?</v>
      </c>
      <c r="FW267" s="197" t="e">
        <f t="shared" ca="1" si="101"/>
        <v>#NAME?</v>
      </c>
      <c r="FX267" s="209" t="e">
        <f t="shared" ca="1" si="102"/>
        <v>#NAME?</v>
      </c>
      <c r="FY267" s="211" t="e">
        <f t="shared" ca="1" si="347"/>
        <v>#NAME?</v>
      </c>
      <c r="FZ267" s="36" t="str">
        <f t="shared" si="104"/>
        <v>Yes</v>
      </c>
      <c r="GA267" s="196">
        <f>COUNTIF($FZ$2:$FZ$92, FZ267)/(COUNTIF($FZ$2:$FZ$92, "&lt;&gt;""") - COUNTIF($FZ$2:$FZ$92, ""))</f>
        <v>0.23333333333333334</v>
      </c>
      <c r="GB267" s="196">
        <f t="shared" si="105"/>
        <v>0</v>
      </c>
      <c r="GC267" s="196">
        <f>COUNTIF($GB$2:$GB$92, GB267)/(COUNTIF($GB$2:$GB$92, "&lt;&gt;""") - COUNTIF($GB$2:$GB$92, ""))</f>
        <v>1.1111111111111112E-2</v>
      </c>
      <c r="GD267" s="196">
        <f t="shared" si="106"/>
        <v>0</v>
      </c>
      <c r="GE267" s="196">
        <f>COUNTIF($GD$2:$GD$92, GD267)/(COUNTIF($GD$2:$GD$92, "&lt;&gt;""") - COUNTIF($GD$2:$GD$92, ""))</f>
        <v>1.1111111111111112E-2</v>
      </c>
      <c r="GF267" s="207"/>
      <c r="GG267" s="36"/>
      <c r="GH267" s="209" t="e">
        <f t="shared" ca="1" si="107"/>
        <v>#NAME?</v>
      </c>
      <c r="GI267" s="212" t="e">
        <f t="shared" ca="1" si="348"/>
        <v>#NAME?</v>
      </c>
    </row>
    <row r="268" spans="1:191" ht="15.75" customHeight="1">
      <c r="A268" s="171"/>
      <c r="B268" s="171" t="s">
        <v>501</v>
      </c>
      <c r="C268" s="16">
        <v>1478985</v>
      </c>
      <c r="D268" s="233" t="s">
        <v>1841</v>
      </c>
      <c r="E268" s="270">
        <v>43868.585416666669</v>
      </c>
      <c r="F268" s="16" t="s">
        <v>337</v>
      </c>
      <c r="G268" s="235" t="s">
        <v>1842</v>
      </c>
      <c r="H268" s="235" t="s">
        <v>1843</v>
      </c>
      <c r="I268" s="271">
        <v>43889</v>
      </c>
      <c r="J268" s="233" t="s">
        <v>1844</v>
      </c>
      <c r="K268" s="233" t="s">
        <v>1845</v>
      </c>
      <c r="M268" s="16" t="s">
        <v>266</v>
      </c>
      <c r="N268" s="16" t="s">
        <v>213</v>
      </c>
      <c r="O268" s="16" t="s">
        <v>30</v>
      </c>
      <c r="P268" s="16" t="s">
        <v>214</v>
      </c>
      <c r="Q268" s="16" t="s">
        <v>35</v>
      </c>
      <c r="S268" s="16" t="s">
        <v>216</v>
      </c>
      <c r="T268" s="237"/>
      <c r="U268" s="213"/>
      <c r="V268" s="54">
        <v>67934930</v>
      </c>
      <c r="W268" s="54"/>
      <c r="X268" s="226"/>
      <c r="Y268" s="55" t="str">
        <f t="shared" si="158"/>
        <v/>
      </c>
      <c r="Z268" s="274">
        <f t="shared" si="159"/>
        <v>67934930</v>
      </c>
      <c r="AA268" s="183" t="e">
        <f t="shared" ca="1" si="160"/>
        <v>#NAME?</v>
      </c>
      <c r="AB268" s="16" t="s">
        <v>36</v>
      </c>
      <c r="AC268" s="16" t="s">
        <v>37</v>
      </c>
      <c r="AD268" s="16" t="s">
        <v>180</v>
      </c>
      <c r="AE268" s="16" t="s">
        <v>227</v>
      </c>
      <c r="AF268" s="16" t="s">
        <v>181</v>
      </c>
      <c r="AG268" s="16" t="s">
        <v>39</v>
      </c>
      <c r="AH268" s="16" t="s">
        <v>190</v>
      </c>
      <c r="AI268" s="54"/>
      <c r="AJ268" s="278">
        <v>63260000000</v>
      </c>
      <c r="AK268" s="224" t="e">
        <f t="shared" ca="1" si="161"/>
        <v>#NAME?</v>
      </c>
      <c r="AL268" s="278">
        <v>63260000000</v>
      </c>
      <c r="AM268" s="224" t="e">
        <f t="shared" ca="1" si="162"/>
        <v>#NAME?</v>
      </c>
      <c r="AN268" s="278">
        <v>0.21</v>
      </c>
      <c r="AO268" s="185" t="e">
        <f t="shared" ca="1" si="63"/>
        <v>#NAME?</v>
      </c>
      <c r="AP268" s="185" t="s">
        <v>252</v>
      </c>
      <c r="AQ268" s="16" t="s">
        <v>181</v>
      </c>
      <c r="AR268" s="16" t="s">
        <v>39</v>
      </c>
      <c r="AS268" s="16" t="s">
        <v>42</v>
      </c>
      <c r="AT268" s="159"/>
      <c r="AU268" s="159"/>
      <c r="AV268" s="16" t="s">
        <v>227</v>
      </c>
      <c r="AW268" s="16" t="s">
        <v>227</v>
      </c>
      <c r="AX268" s="16" t="s">
        <v>227</v>
      </c>
      <c r="AY268" s="16" t="s">
        <v>227</v>
      </c>
      <c r="AZ268" s="54">
        <v>6000</v>
      </c>
      <c r="BA268" s="55" t="e">
        <f t="shared" ca="1" si="163"/>
        <v>#NAME?</v>
      </c>
      <c r="BB268" s="278">
        <v>148441</v>
      </c>
      <c r="BC268" s="278">
        <v>13815635</v>
      </c>
      <c r="BD268" s="62" t="e">
        <f t="shared" ca="1" si="164"/>
        <v>#NAME?</v>
      </c>
      <c r="BE268" s="277">
        <f t="shared" si="165"/>
        <v>1.0744421085241467E-2</v>
      </c>
      <c r="BF268" s="62" t="e">
        <f t="shared" ca="1" si="166"/>
        <v>#NAME?</v>
      </c>
      <c r="BG268" s="16" t="s">
        <v>202</v>
      </c>
      <c r="BI268" s="16" t="s">
        <v>227</v>
      </c>
      <c r="BJ268" s="16">
        <v>0</v>
      </c>
      <c r="BK268" s="278">
        <v>1</v>
      </c>
      <c r="BL268" s="16" t="s">
        <v>227</v>
      </c>
      <c r="BM268" s="16" t="s">
        <v>190</v>
      </c>
      <c r="BN268" s="16" t="s">
        <v>190</v>
      </c>
      <c r="BO268" s="16" t="s">
        <v>190</v>
      </c>
      <c r="BP268" s="16">
        <v>3</v>
      </c>
      <c r="BQ268" s="16">
        <v>8</v>
      </c>
      <c r="BR268" s="16">
        <v>3</v>
      </c>
      <c r="BS268" s="16">
        <v>0</v>
      </c>
      <c r="BT268" s="205"/>
      <c r="BU268" s="16">
        <v>18</v>
      </c>
      <c r="BV268" s="16">
        <v>0</v>
      </c>
      <c r="BW268" s="16">
        <v>55</v>
      </c>
      <c r="BX268" s="16" t="s">
        <v>227</v>
      </c>
      <c r="BY268" s="205"/>
      <c r="CD268" s="205"/>
      <c r="CI268" s="205"/>
      <c r="CN268" s="205"/>
      <c r="CS268" s="205"/>
      <c r="CX268" s="205"/>
      <c r="DC268" s="205"/>
      <c r="DH268" s="205"/>
      <c r="DM268" s="205"/>
      <c r="DN268" s="205"/>
      <c r="DO268" s="205"/>
      <c r="DQ268" s="206"/>
      <c r="DR268" s="188">
        <f t="shared" si="64"/>
        <v>18</v>
      </c>
      <c r="DS268" s="188"/>
      <c r="DT268" s="189">
        <f t="shared" si="65"/>
        <v>0</v>
      </c>
      <c r="DU268" s="189"/>
      <c r="DV268" s="188">
        <f t="shared" si="66"/>
        <v>55</v>
      </c>
      <c r="DW268" s="183" t="e">
        <f t="shared" ca="1" si="67"/>
        <v>#NAME?</v>
      </c>
      <c r="DX268" s="207"/>
      <c r="DY268" s="190" t="e">
        <f t="shared" ca="1" si="68"/>
        <v>#NAME?</v>
      </c>
      <c r="DZ268" s="191" t="str">
        <f t="shared" si="338"/>
        <v/>
      </c>
      <c r="EA268" s="191" t="str">
        <f t="shared" si="339"/>
        <v/>
      </c>
      <c r="EB268" s="191" t="str">
        <f t="shared" si="340"/>
        <v/>
      </c>
      <c r="EC268" s="208" t="e">
        <f t="shared" ca="1" si="72"/>
        <v>#NAME?</v>
      </c>
      <c r="ED268" s="36" t="str">
        <f t="shared" si="73"/>
        <v>Equity - Common</v>
      </c>
      <c r="EE268" s="193">
        <f>COUNTIF($ED$2:$ED$92, ED268)/(COUNTIF($ED$2:$ED$92, "&lt;&gt;""") - COUNTIF($ED$2:$ED$92, ""))</f>
        <v>0.32222222222222224</v>
      </c>
      <c r="EF268" s="36" t="str">
        <f t="shared" si="74"/>
        <v>Early</v>
      </c>
      <c r="EG268" s="207"/>
      <c r="EH268" s="194" t="e">
        <f t="shared" ca="1" si="75"/>
        <v>#NAME?</v>
      </c>
      <c r="EI268" s="194" t="e">
        <f t="shared" ca="1" si="76"/>
        <v>#NAME?</v>
      </c>
      <c r="EJ268" s="209" t="e">
        <f t="shared" ca="1" si="77"/>
        <v>#NAME?</v>
      </c>
      <c r="EK268" s="208" t="e">
        <f t="shared" ca="1" si="341"/>
        <v>#NAME?</v>
      </c>
      <c r="EL268" s="36" t="str">
        <f t="shared" si="79"/>
        <v>Yes</v>
      </c>
      <c r="EM268" s="207"/>
      <c r="EN268" s="192">
        <f t="shared" si="342"/>
        <v>2.7142857142857144</v>
      </c>
      <c r="EO268" s="192">
        <f t="shared" si="343"/>
        <v>1</v>
      </c>
      <c r="EP268" s="209">
        <f t="shared" si="82"/>
        <v>3.7142857142857144</v>
      </c>
      <c r="EQ268" s="210">
        <f t="shared" si="344"/>
        <v>2.3457943925233646</v>
      </c>
      <c r="ER268" s="36" t="e">
        <f t="shared" ca="1" si="84"/>
        <v>#NAME?</v>
      </c>
      <c r="ES268" s="40">
        <f ca="1">COUNTIF($ER$2:$ER$92, ER268)/(COUNTIF($ER$2:$ER$92, "&lt;&gt;""") - COUNTIF($ER$2:$ER$92, ""))</f>
        <v>1</v>
      </c>
      <c r="ET268" s="36">
        <f t="shared" si="85"/>
        <v>1</v>
      </c>
      <c r="EU268" s="40">
        <f>COUNTIF($ET$2:$ET$92, ET268)/(COUNTIF($ET$2:$ET$92, "&lt;&gt;""") - COUNTIF($ET$2:$ET$92, ""))</f>
        <v>0.45555555555555555</v>
      </c>
      <c r="EV268" s="36">
        <f t="shared" si="86"/>
        <v>8</v>
      </c>
      <c r="EW268" s="40">
        <f>COUNTIF($EV$2:$EV$92, EV268)/(COUNTIF($EV$2:$EV$92, "&lt;&gt;""") - COUNTIF($EV$2:$EV$92, ""))</f>
        <v>5.5555555555555552E-2</v>
      </c>
      <c r="EX268" s="36" t="str">
        <f t="shared" si="87"/>
        <v>Yes</v>
      </c>
      <c r="EY268" s="40">
        <f>COUNTIF($EX$2:$EX$92, EX268)/(COUNTIF($EX$2:$EX$92, "&lt;&gt;""") - COUNTIF($EX$2:$EX$92, ""))</f>
        <v>0.27777777777777779</v>
      </c>
      <c r="EZ268" s="36" t="str">
        <f t="shared" ref="EZ268:FB268" si="411">BM268</f>
        <v>No</v>
      </c>
      <c r="FA268" s="36" t="str">
        <f t="shared" si="411"/>
        <v>No</v>
      </c>
      <c r="FB268" s="36" t="str">
        <f t="shared" si="411"/>
        <v>No</v>
      </c>
      <c r="FC268" s="207"/>
      <c r="FD268" s="36" t="str">
        <f t="shared" si="89"/>
        <v>Transactional</v>
      </c>
      <c r="FE268" s="40">
        <f>COUNTIF($FD$2:$FD$92, FD268)/(COUNTIF($FD$2:$FD$92, "&lt;&gt;""") - COUNTIF($FD$2:$FD$92, ""))</f>
        <v>0.6</v>
      </c>
      <c r="FF268" s="36" t="str">
        <f t="shared" si="90"/>
        <v>B2B</v>
      </c>
      <c r="FG268" s="40">
        <f>COUNTIF($FF$2:$FF$92, FF268)/(COUNTIF($FF$2:$FF$92, "&lt;&gt;""") - COUNTIF($FF$2:$FF$92, ""))</f>
        <v>0.24444444444444444</v>
      </c>
      <c r="FH268" s="36" t="str">
        <f t="shared" si="91"/>
        <v>Low</v>
      </c>
      <c r="FI268" s="40">
        <f>COUNTIF($FH$2:$FH$92, FH268)/(COUNTIF($FH$2:$FH$92, "&lt;&gt;""") - COUNTIF($FH$2:$FH$92, ""))</f>
        <v>0.46666666666666667</v>
      </c>
      <c r="FJ268" s="36" t="str">
        <f t="shared" si="92"/>
        <v>High</v>
      </c>
      <c r="FK268" s="40">
        <f>COUNTIF($FJ$2:$FJ$92, FJ268)/(COUNTIF($FJ$2:$FJ$92, "&lt;&gt;""") - COUNTIF($FJ$2:$FJ$92, ""))</f>
        <v>0.58888888888888891</v>
      </c>
      <c r="FL268" s="207"/>
      <c r="FM268" s="192">
        <f t="shared" si="93"/>
        <v>5</v>
      </c>
      <c r="FN268" s="192" t="e">
        <f t="shared" ca="1" si="94"/>
        <v>#NAME?</v>
      </c>
      <c r="FO268" s="192" t="e">
        <f t="shared" ca="1" si="95"/>
        <v>#NAME?</v>
      </c>
      <c r="FP268" s="192" t="e">
        <f t="shared" ca="1" si="96"/>
        <v>#NAME?</v>
      </c>
      <c r="FQ268" s="209" t="e">
        <f t="shared" ca="1" si="97"/>
        <v>#NAME?</v>
      </c>
      <c r="FR268" s="208" t="e">
        <f t="shared" ca="1" si="346"/>
        <v>#NAME?</v>
      </c>
      <c r="FS268" s="36" t="str">
        <f t="shared" si="99"/>
        <v>Pre-Profit</v>
      </c>
      <c r="FT268" s="196">
        <f>COUNTIF($FS$2:$FS$92, FS268)/(COUNTIF($FS$2:$FS$92, "&lt;&gt;""") - COUNTIF($FZ$2:$FZ$92, ""))</f>
        <v>0.51111111111111107</v>
      </c>
      <c r="FU268" s="207"/>
      <c r="FV268" s="192">
        <f t="shared" si="100"/>
        <v>3</v>
      </c>
      <c r="FW268" s="197" t="e">
        <f t="shared" ca="1" si="101"/>
        <v>#NAME?</v>
      </c>
      <c r="FX268" s="209" t="e">
        <f t="shared" ca="1" si="102"/>
        <v>#NAME?</v>
      </c>
      <c r="FY268" s="211" t="e">
        <f t="shared" ca="1" si="347"/>
        <v>#NAME?</v>
      </c>
      <c r="FZ268" s="36" t="str">
        <f t="shared" si="104"/>
        <v>Yes</v>
      </c>
      <c r="GA268" s="196">
        <f>COUNTIF($FZ$2:$FZ$92, FZ268)/(COUNTIF($FZ$2:$FZ$92, "&lt;&gt;""") - COUNTIF($FZ$2:$FZ$92, ""))</f>
        <v>0.23333333333333334</v>
      </c>
      <c r="GB268" s="196">
        <f t="shared" si="105"/>
        <v>0</v>
      </c>
      <c r="GC268" s="196">
        <f>COUNTIF($GB$2:$GB$92, GB268)/(COUNTIF($GB$2:$GB$92, "&lt;&gt;""") - COUNTIF($GB$2:$GB$92, ""))</f>
        <v>1.1111111111111112E-2</v>
      </c>
      <c r="GD268" s="196">
        <f t="shared" si="106"/>
        <v>0</v>
      </c>
      <c r="GE268" s="196">
        <f>COUNTIF($GD$2:$GD$92, GD268)/(COUNTIF($GD$2:$GD$92, "&lt;&gt;""") - COUNTIF($GD$2:$GD$92, ""))</f>
        <v>1.1111111111111112E-2</v>
      </c>
      <c r="GF268" s="207"/>
      <c r="GG268" s="36"/>
      <c r="GH268" s="209" t="e">
        <f t="shared" ca="1" si="107"/>
        <v>#NAME?</v>
      </c>
      <c r="GI268" s="212" t="e">
        <f t="shared" ca="1" si="348"/>
        <v>#NAME?</v>
      </c>
    </row>
    <row r="269" spans="1:191" ht="15.75" customHeight="1">
      <c r="A269" s="171"/>
      <c r="B269" s="171" t="s">
        <v>501</v>
      </c>
      <c r="C269" s="16">
        <v>1767003</v>
      </c>
      <c r="D269" s="233" t="s">
        <v>1846</v>
      </c>
      <c r="E269" s="270">
        <v>43868.591666666667</v>
      </c>
      <c r="F269" s="16" t="s">
        <v>344</v>
      </c>
      <c r="G269" s="235" t="s">
        <v>1847</v>
      </c>
      <c r="H269" s="235" t="s">
        <v>1848</v>
      </c>
      <c r="I269" s="271">
        <v>43817</v>
      </c>
      <c r="J269" s="233" t="s">
        <v>1849</v>
      </c>
      <c r="K269" s="233" t="s">
        <v>1850</v>
      </c>
      <c r="M269" s="16" t="s">
        <v>1391</v>
      </c>
      <c r="N269" s="16" t="s">
        <v>168</v>
      </c>
      <c r="O269" s="16" t="s">
        <v>30</v>
      </c>
      <c r="P269" s="16" t="s">
        <v>197</v>
      </c>
      <c r="Q269" s="16" t="s">
        <v>35</v>
      </c>
      <c r="S269" s="16" t="s">
        <v>232</v>
      </c>
      <c r="T269" s="237"/>
      <c r="U269" s="213"/>
      <c r="V269" s="54">
        <v>2970000</v>
      </c>
      <c r="W269" s="54"/>
      <c r="X269" s="226"/>
      <c r="Y269" s="55" t="str">
        <f t="shared" si="158"/>
        <v/>
      </c>
      <c r="Z269" s="274">
        <f t="shared" si="159"/>
        <v>2970000</v>
      </c>
      <c r="AA269" s="183" t="e">
        <f t="shared" ca="1" si="160"/>
        <v>#NAME?</v>
      </c>
      <c r="AB269" s="16" t="s">
        <v>178</v>
      </c>
      <c r="AC269" s="16" t="s">
        <v>179</v>
      </c>
      <c r="AD269" s="16" t="s">
        <v>38</v>
      </c>
      <c r="AE269" s="16" t="s">
        <v>227</v>
      </c>
      <c r="AF269" s="16" t="s">
        <v>181</v>
      </c>
      <c r="AG269" s="16" t="s">
        <v>181</v>
      </c>
      <c r="AH269" s="16" t="s">
        <v>190</v>
      </c>
      <c r="AI269" s="54"/>
      <c r="AJ269" s="278">
        <v>1100000000000</v>
      </c>
      <c r="AK269" s="224" t="e">
        <f t="shared" ca="1" si="161"/>
        <v>#NAME?</v>
      </c>
      <c r="AL269" s="278">
        <v>1100000000000</v>
      </c>
      <c r="AM269" s="224" t="e">
        <f t="shared" ca="1" si="162"/>
        <v>#NAME?</v>
      </c>
      <c r="AN269" s="278">
        <v>0.03</v>
      </c>
      <c r="AO269" s="185" t="e">
        <f t="shared" ca="1" si="63"/>
        <v>#NAME?</v>
      </c>
      <c r="AP269" s="185" t="s">
        <v>264</v>
      </c>
      <c r="AQ269" s="16" t="s">
        <v>181</v>
      </c>
      <c r="AR269" s="16" t="s">
        <v>39</v>
      </c>
      <c r="AS269" s="16" t="s">
        <v>42</v>
      </c>
      <c r="AT269" s="159"/>
      <c r="AU269" s="159"/>
      <c r="AV269" s="16" t="s">
        <v>227</v>
      </c>
      <c r="AW269" s="16" t="s">
        <v>190</v>
      </c>
      <c r="AX269" s="16" t="s">
        <v>190</v>
      </c>
      <c r="AY269" s="16" t="s">
        <v>190</v>
      </c>
      <c r="AZ269" s="54">
        <v>0</v>
      </c>
      <c r="BA269" s="55" t="e">
        <f t="shared" ca="1" si="163"/>
        <v>#NAME?</v>
      </c>
      <c r="BB269" s="278">
        <v>21043</v>
      </c>
      <c r="BC269" s="278">
        <v>1243450</v>
      </c>
      <c r="BD269" s="62" t="e">
        <f t="shared" ca="1" si="164"/>
        <v>#NAME?</v>
      </c>
      <c r="BE269" s="277">
        <f t="shared" si="165"/>
        <v>1.6923076923076923E-2</v>
      </c>
      <c r="BF269" s="62" t="e">
        <f t="shared" ca="1" si="166"/>
        <v>#NAME?</v>
      </c>
      <c r="BG269" s="16" t="s">
        <v>183</v>
      </c>
      <c r="BI269" s="16" t="s">
        <v>190</v>
      </c>
      <c r="BJ269" s="16">
        <v>0</v>
      </c>
      <c r="BK269" s="278">
        <v>1</v>
      </c>
      <c r="BL269" s="16" t="s">
        <v>190</v>
      </c>
      <c r="BM269" s="16" t="s">
        <v>190</v>
      </c>
      <c r="BN269" s="16" t="s">
        <v>227</v>
      </c>
      <c r="BO269" s="16" t="s">
        <v>190</v>
      </c>
      <c r="BP269" s="16">
        <v>3</v>
      </c>
      <c r="BQ269" s="16">
        <v>5</v>
      </c>
      <c r="BR269" s="16">
        <v>1</v>
      </c>
      <c r="BS269" s="16">
        <v>0</v>
      </c>
      <c r="BT269" s="205"/>
      <c r="BU269" s="16">
        <v>0</v>
      </c>
      <c r="BV269" s="16">
        <v>0</v>
      </c>
      <c r="BW269" s="16">
        <v>72</v>
      </c>
      <c r="BX269" s="16" t="s">
        <v>227</v>
      </c>
      <c r="BY269" s="205"/>
      <c r="CD269" s="205"/>
      <c r="CI269" s="205"/>
      <c r="CN269" s="205"/>
      <c r="CS269" s="205"/>
      <c r="CX269" s="205"/>
      <c r="DC269" s="205"/>
      <c r="DH269" s="205"/>
      <c r="DM269" s="205"/>
      <c r="DN269" s="205"/>
      <c r="DO269" s="205"/>
      <c r="DQ269" s="206"/>
      <c r="DR269" s="188">
        <f t="shared" si="64"/>
        <v>0</v>
      </c>
      <c r="DS269" s="188"/>
      <c r="DT269" s="189">
        <f t="shared" si="65"/>
        <v>0</v>
      </c>
      <c r="DU269" s="189"/>
      <c r="DV269" s="188">
        <f t="shared" si="66"/>
        <v>72</v>
      </c>
      <c r="DW269" s="183" t="e">
        <f t="shared" ca="1" si="67"/>
        <v>#NAME?</v>
      </c>
      <c r="DX269" s="207"/>
      <c r="DY269" s="190" t="e">
        <f t="shared" ca="1" si="68"/>
        <v>#NAME?</v>
      </c>
      <c r="DZ269" s="191" t="str">
        <f t="shared" ref="DZ269:DZ289" si="412">IF(X269 &lt;&gt; "", 1+((X269-MIN(discount_rates))*(4)/(MAX(discount_rates) - MIN(discount_rates))), "")</f>
        <v/>
      </c>
      <c r="EA269" s="191" t="str">
        <f t="shared" ref="EA269:EA289" si="413">IF(S269="Debt", (1+((U269-MIN(interest_rates))*(4)/(MAX(interest_rates) - MIN(interest_rates)))), "")</f>
        <v/>
      </c>
      <c r="EB269" s="191" t="str">
        <f t="shared" ref="EB269:EB289" si="414">IF(OR(S269="Revenue Share", S269="Profit Share"), (1+((T269-MIN(return_mutiples))*(4)/(MAX(return_mutiples) - MIN(return_mutiples)))), "")</f>
        <v/>
      </c>
      <c r="EC269" s="208" t="e">
        <f t="shared" ca="1" si="72"/>
        <v>#NAME?</v>
      </c>
      <c r="ED269" s="36" t="str">
        <f t="shared" si="73"/>
        <v>Equity - Preferred</v>
      </c>
      <c r="EE269" s="193">
        <f>COUNTIF($ED$2:$ED$92, ED269)/(COUNTIF($ED$2:$ED$92, "&lt;&gt;""") - COUNTIF($ED$2:$ED$92, ""))</f>
        <v>6.6666666666666666E-2</v>
      </c>
      <c r="EF269" s="36" t="str">
        <f t="shared" si="74"/>
        <v>Early</v>
      </c>
      <c r="EG269" s="207"/>
      <c r="EH269" s="194" t="e">
        <f t="shared" ca="1" si="75"/>
        <v>#NAME?</v>
      </c>
      <c r="EI269" s="194" t="e">
        <f t="shared" ca="1" si="76"/>
        <v>#NAME?</v>
      </c>
      <c r="EJ269" s="209" t="e">
        <f t="shared" ca="1" si="77"/>
        <v>#NAME?</v>
      </c>
      <c r="EK269" s="208" t="e">
        <f t="shared" ref="EK269:EK332" ca="1" si="415">1+((EJ269-MIN(market_ratings_sums))*(4)/(MAX(market_ratings_sums) - MIN(market_ratings_sums)))</f>
        <v>#NAME?</v>
      </c>
      <c r="EL269" s="36" t="str">
        <f t="shared" si="79"/>
        <v>Yes</v>
      </c>
      <c r="EM269" s="207"/>
      <c r="EN269" s="192">
        <f t="shared" ref="EN269:EN289" si="416">1+((DR269-MIN(industry_experiences))*(4)/(MAX(industry_experiences) - MIN(industry_experiences)))</f>
        <v>1</v>
      </c>
      <c r="EO269" s="192">
        <f t="shared" ref="EO269:EO289" si="417">1+((DT269-MIN(exits))*(4)/(MAX(exits) - MIN(exits)))</f>
        <v>1</v>
      </c>
      <c r="EP269" s="209">
        <f t="shared" si="82"/>
        <v>2</v>
      </c>
      <c r="EQ269" s="210">
        <f t="shared" ref="EQ269:EQ332" si="418">1+((EP269-MIN(team_ratings_sums))*(4)/(MAX(team_ratings_sums) - MIN(team_ratings_sums)))</f>
        <v>1</v>
      </c>
      <c r="ER269" s="36" t="e">
        <f t="shared" ca="1" si="84"/>
        <v>#NAME?</v>
      </c>
      <c r="ES269" s="40">
        <f ca="1">COUNTIF($ER$2:$ER$92, ER269)/(COUNTIF($ER$2:$ER$92, "&lt;&gt;""") - COUNTIF($ER$2:$ER$92, ""))</f>
        <v>1</v>
      </c>
      <c r="ET269" s="36">
        <f t="shared" si="85"/>
        <v>1</v>
      </c>
      <c r="EU269" s="40">
        <f>COUNTIF($ET$2:$ET$92, ET269)/(COUNTIF($ET$2:$ET$92, "&lt;&gt;""") - COUNTIF($ET$2:$ET$92, ""))</f>
        <v>0.45555555555555555</v>
      </c>
      <c r="EV269" s="36">
        <f t="shared" si="86"/>
        <v>5</v>
      </c>
      <c r="EW269" s="40">
        <f>COUNTIF($EV$2:$EV$92, EV269)/(COUNTIF($EV$2:$EV$92, "&lt;&gt;""") - COUNTIF($EV$2:$EV$92, ""))</f>
        <v>0.13333333333333333</v>
      </c>
      <c r="EX269" s="36" t="str">
        <f t="shared" si="87"/>
        <v>No</v>
      </c>
      <c r="EY269" s="40">
        <f>COUNTIF($EX$2:$EX$92, EX269)/(COUNTIF($EX$2:$EX$92, "&lt;&gt;""") - COUNTIF($EX$2:$EX$92, ""))</f>
        <v>0.72222222222222221</v>
      </c>
      <c r="EZ269" s="36" t="str">
        <f t="shared" ref="EZ269:FB269" si="419">BM269</f>
        <v>No</v>
      </c>
      <c r="FA269" s="36" t="str">
        <f t="shared" si="419"/>
        <v>Yes</v>
      </c>
      <c r="FB269" s="36" t="str">
        <f t="shared" si="419"/>
        <v>No</v>
      </c>
      <c r="FC269" s="207"/>
      <c r="FD269" s="36" t="str">
        <f t="shared" si="89"/>
        <v>Recurring</v>
      </c>
      <c r="FE269" s="40">
        <f>COUNTIF($FD$2:$FD$92, FD269)/(COUNTIF($FD$2:$FD$92, "&lt;&gt;""") - COUNTIF($FD$2:$FD$92, ""))</f>
        <v>0.4</v>
      </c>
      <c r="FF269" s="36" t="str">
        <f t="shared" si="90"/>
        <v>B2C</v>
      </c>
      <c r="FG269" s="40">
        <f>COUNTIF($FF$2:$FF$92, FF269)/(COUNTIF($FF$2:$FF$92, "&lt;&gt;""") - COUNTIF($FF$2:$FF$92, ""))</f>
        <v>0.41111111111111109</v>
      </c>
      <c r="FH269" s="36" t="str">
        <f t="shared" si="91"/>
        <v>Low</v>
      </c>
      <c r="FI269" s="40">
        <f>COUNTIF($FH$2:$FH$92, FH269)/(COUNTIF($FH$2:$FH$92, "&lt;&gt;""") - COUNTIF($FH$2:$FH$92, ""))</f>
        <v>0.46666666666666667</v>
      </c>
      <c r="FJ269" s="36" t="str">
        <f t="shared" si="92"/>
        <v>Low</v>
      </c>
      <c r="FK269" s="40">
        <f>COUNTIF($FJ$2:$FJ$92, FJ269)/(COUNTIF($FJ$2:$FJ$92, "&lt;&gt;""") - COUNTIF($FJ$2:$FJ$92, ""))</f>
        <v>0.41111111111111109</v>
      </c>
      <c r="FL269" s="207"/>
      <c r="FM269" s="192">
        <f t="shared" si="93"/>
        <v>1</v>
      </c>
      <c r="FN269" s="192" t="e">
        <f t="shared" ca="1" si="94"/>
        <v>#NAME?</v>
      </c>
      <c r="FO269" s="192" t="e">
        <f t="shared" ca="1" si="95"/>
        <v>#NAME?</v>
      </c>
      <c r="FP269" s="192" t="e">
        <f t="shared" ca="1" si="96"/>
        <v>#NAME?</v>
      </c>
      <c r="FQ269" s="209" t="e">
        <f t="shared" ca="1" si="97"/>
        <v>#NAME?</v>
      </c>
      <c r="FR269" s="208" t="e">
        <f t="shared" ref="FR269:FR332" ca="1" si="420">1+((FQ269-MIN(performance_ratings_sums))*(4)/(MAX(performance_ratings_sums) - MIN(performance_ratings_sums)))</f>
        <v>#NAME?</v>
      </c>
      <c r="FS269" s="36" t="str">
        <f t="shared" si="99"/>
        <v>Pre-Revenue</v>
      </c>
      <c r="FT269" s="196">
        <f>COUNTIF($FS$2:$FS$92, FS269)/(COUNTIF($FS$2:$FS$92, "&lt;&gt;""") - COUNTIF($FZ$2:$FZ$92, ""))</f>
        <v>0.2</v>
      </c>
      <c r="FU269" s="207"/>
      <c r="FV269" s="192">
        <f t="shared" si="100"/>
        <v>3</v>
      </c>
      <c r="FW269" s="197" t="e">
        <f t="shared" ca="1" si="101"/>
        <v>#NAME?</v>
      </c>
      <c r="FX269" s="209" t="e">
        <f t="shared" ca="1" si="102"/>
        <v>#NAME?</v>
      </c>
      <c r="FY269" s="211" t="e">
        <f t="shared" ref="FY269:FY332" ca="1" si="421">1+((FX269-MIN(diffrentiation_sums))*(4)/(MAX(diffrentiation_sums) - MIN(diffrentiation_sums)))</f>
        <v>#NAME?</v>
      </c>
      <c r="FZ269" s="36" t="str">
        <f t="shared" si="104"/>
        <v>No</v>
      </c>
      <c r="GA269" s="196">
        <f>COUNTIF($FZ$2:$FZ$92, FZ269)/(COUNTIF($FZ$2:$FZ$92, "&lt;&gt;""") - COUNTIF($FZ$2:$FZ$92, ""))</f>
        <v>0.76666666666666672</v>
      </c>
      <c r="GB269" s="196">
        <f t="shared" si="105"/>
        <v>0</v>
      </c>
      <c r="GC269" s="196">
        <f>COUNTIF($GB$2:$GB$92, GB269)/(COUNTIF($GB$2:$GB$92, "&lt;&gt;""") - COUNTIF($GB$2:$GB$92, ""))</f>
        <v>1.1111111111111112E-2</v>
      </c>
      <c r="GD269" s="196">
        <f t="shared" si="106"/>
        <v>0</v>
      </c>
      <c r="GE269" s="196">
        <f>COUNTIF($GD$2:$GD$92, GD269)/(COUNTIF($GD$2:$GD$92, "&lt;&gt;""") - COUNTIF($GD$2:$GD$92, ""))</f>
        <v>1.1111111111111112E-2</v>
      </c>
      <c r="GF269" s="207"/>
      <c r="GG269" s="36"/>
      <c r="GH269" s="209" t="e">
        <f t="shared" ca="1" si="107"/>
        <v>#NAME?</v>
      </c>
      <c r="GI269" s="212" t="e">
        <f t="shared" ref="GI269:GI332" ca="1" si="422">1+((GH269-MIN(ratings_sums))*(4)/(MAX(ratings_sums) - MIN(ratings_sums)))</f>
        <v>#NAME?</v>
      </c>
    </row>
    <row r="270" spans="1:191" ht="15.75" customHeight="1">
      <c r="A270" s="171"/>
      <c r="B270" s="171" t="s">
        <v>501</v>
      </c>
      <c r="C270" s="16">
        <v>1800770</v>
      </c>
      <c r="D270" s="233" t="s">
        <v>1851</v>
      </c>
      <c r="E270" s="270">
        <v>43868.593055555553</v>
      </c>
      <c r="F270" s="16" t="s">
        <v>344</v>
      </c>
      <c r="G270" s="235" t="s">
        <v>1852</v>
      </c>
      <c r="H270" s="235" t="s">
        <v>1853</v>
      </c>
      <c r="I270" s="271">
        <v>43853</v>
      </c>
      <c r="J270" s="233" t="s">
        <v>1854</v>
      </c>
      <c r="K270" s="233" t="s">
        <v>1851</v>
      </c>
      <c r="M270" s="29" t="s">
        <v>253</v>
      </c>
      <c r="N270" s="16" t="s">
        <v>244</v>
      </c>
      <c r="O270" s="16" t="s">
        <v>173</v>
      </c>
      <c r="P270" s="16" t="s">
        <v>197</v>
      </c>
      <c r="Q270" s="16" t="s">
        <v>35</v>
      </c>
      <c r="S270" s="16" t="s">
        <v>269</v>
      </c>
      <c r="T270" s="237"/>
      <c r="U270" s="213"/>
      <c r="V270" s="54"/>
      <c r="W270" s="54">
        <v>10000000</v>
      </c>
      <c r="X270" s="226">
        <v>0</v>
      </c>
      <c r="Y270" s="55">
        <f t="shared" si="158"/>
        <v>10000000</v>
      </c>
      <c r="Z270" s="274">
        <f t="shared" si="159"/>
        <v>10000000</v>
      </c>
      <c r="AA270" s="183" t="e">
        <f t="shared" ca="1" si="160"/>
        <v>#NAME?</v>
      </c>
      <c r="AB270" s="16" t="s">
        <v>178</v>
      </c>
      <c r="AC270" s="16" t="s">
        <v>218</v>
      </c>
      <c r="AD270" s="16" t="s">
        <v>38</v>
      </c>
      <c r="AE270" s="16" t="s">
        <v>227</v>
      </c>
      <c r="AF270" s="16" t="s">
        <v>39</v>
      </c>
      <c r="AG270" s="16" t="s">
        <v>181</v>
      </c>
      <c r="AH270" s="16" t="s">
        <v>190</v>
      </c>
      <c r="AI270" s="54"/>
      <c r="AJ270" s="278">
        <v>80260000000</v>
      </c>
      <c r="AK270" s="224" t="e">
        <f t="shared" ca="1" si="161"/>
        <v>#NAME?</v>
      </c>
      <c r="AL270" s="278">
        <v>633300000</v>
      </c>
      <c r="AM270" s="224" t="e">
        <f t="shared" ca="1" si="162"/>
        <v>#NAME?</v>
      </c>
      <c r="AN270" s="278">
        <v>0.04</v>
      </c>
      <c r="AO270" s="185" t="e">
        <f t="shared" ca="1" si="63"/>
        <v>#NAME?</v>
      </c>
      <c r="AP270" s="185" t="s">
        <v>211</v>
      </c>
      <c r="AQ270" s="16" t="s">
        <v>39</v>
      </c>
      <c r="AR270" s="16" t="s">
        <v>181</v>
      </c>
      <c r="AS270" s="16" t="s">
        <v>182</v>
      </c>
      <c r="AT270" s="159"/>
      <c r="AU270" s="159"/>
      <c r="AV270" s="16" t="s">
        <v>227</v>
      </c>
      <c r="AW270" s="16" t="s">
        <v>190</v>
      </c>
      <c r="AX270" s="16" t="s">
        <v>227</v>
      </c>
      <c r="AY270" s="16" t="s">
        <v>227</v>
      </c>
      <c r="AZ270" s="54">
        <v>326909</v>
      </c>
      <c r="BA270" s="55" t="e">
        <f t="shared" ca="1" si="163"/>
        <v>#NAME?</v>
      </c>
      <c r="BB270" s="278">
        <v>474</v>
      </c>
      <c r="BC270" s="278">
        <v>25000</v>
      </c>
      <c r="BD270" s="62" t="e">
        <f t="shared" ca="1" si="164"/>
        <v>#NAME?</v>
      </c>
      <c r="BE270" s="277">
        <f t="shared" si="165"/>
        <v>1.8960000000000001E-2</v>
      </c>
      <c r="BF270" s="62" t="e">
        <f t="shared" ca="1" si="166"/>
        <v>#NAME?</v>
      </c>
      <c r="BG270" s="16" t="s">
        <v>219</v>
      </c>
      <c r="BI270" s="16" t="s">
        <v>190</v>
      </c>
      <c r="BJ270" s="16">
        <v>0</v>
      </c>
      <c r="BK270" s="278">
        <v>3</v>
      </c>
      <c r="BL270" s="16" t="s">
        <v>227</v>
      </c>
      <c r="BM270" s="16" t="s">
        <v>227</v>
      </c>
      <c r="BN270" s="16" t="s">
        <v>227</v>
      </c>
      <c r="BO270" s="16" t="s">
        <v>190</v>
      </c>
      <c r="BP270" s="16">
        <v>8</v>
      </c>
      <c r="BQ270" s="16">
        <v>7</v>
      </c>
      <c r="BR270" s="16">
        <v>0</v>
      </c>
      <c r="BS270" s="16">
        <v>0</v>
      </c>
      <c r="BT270" s="205"/>
      <c r="BU270" s="16">
        <v>2</v>
      </c>
      <c r="BV270" s="16">
        <v>1</v>
      </c>
      <c r="BW270" s="16">
        <v>31</v>
      </c>
      <c r="BX270" s="16" t="s">
        <v>227</v>
      </c>
      <c r="BY270" s="205"/>
      <c r="BZ270" s="16">
        <v>18</v>
      </c>
      <c r="CA270" s="16">
        <v>1</v>
      </c>
      <c r="CB270" s="16">
        <v>53</v>
      </c>
      <c r="CC270" s="16" t="s">
        <v>227</v>
      </c>
      <c r="CD270" s="205"/>
      <c r="CE270" s="16">
        <v>13</v>
      </c>
      <c r="CF270" s="16">
        <v>0</v>
      </c>
      <c r="CG270" s="16">
        <v>45</v>
      </c>
      <c r="CH270" s="16" t="s">
        <v>227</v>
      </c>
      <c r="CI270" s="205"/>
      <c r="CN270" s="205"/>
      <c r="CS270" s="205"/>
      <c r="CX270" s="205"/>
      <c r="DC270" s="205"/>
      <c r="DH270" s="205"/>
      <c r="DM270" s="205"/>
      <c r="DN270" s="205"/>
      <c r="DO270" s="205"/>
      <c r="DQ270" s="206"/>
      <c r="DR270" s="188">
        <f t="shared" si="64"/>
        <v>11</v>
      </c>
      <c r="DS270" s="188"/>
      <c r="DT270" s="189">
        <f t="shared" si="65"/>
        <v>2</v>
      </c>
      <c r="DU270" s="189"/>
      <c r="DV270" s="188">
        <f t="shared" si="66"/>
        <v>43</v>
      </c>
      <c r="DW270" s="183" t="e">
        <f t="shared" ca="1" si="67"/>
        <v>#NAME?</v>
      </c>
      <c r="DX270" s="207"/>
      <c r="DY270" s="190" t="e">
        <f t="shared" ca="1" si="68"/>
        <v>#NAME?</v>
      </c>
      <c r="DZ270" s="191">
        <f t="shared" si="412"/>
        <v>1</v>
      </c>
      <c r="EA270" s="191" t="str">
        <f t="shared" si="413"/>
        <v/>
      </c>
      <c r="EB270" s="191" t="str">
        <f t="shared" si="414"/>
        <v/>
      </c>
      <c r="EC270" s="208" t="e">
        <f t="shared" ca="1" si="72"/>
        <v>#NAME?</v>
      </c>
      <c r="ED270" s="36" t="str">
        <f t="shared" si="73"/>
        <v>SAFE</v>
      </c>
      <c r="EE270" s="193">
        <f>COUNTIF($ED$2:$ED$92, ED270)/(COUNTIF($ED$2:$ED$92, "&lt;&gt;""") - COUNTIF($ED$2:$ED$92, ""))</f>
        <v>0.37777777777777777</v>
      </c>
      <c r="EF270" s="36" t="str">
        <f t="shared" si="74"/>
        <v>Growth</v>
      </c>
      <c r="EG270" s="207"/>
      <c r="EH270" s="194" t="e">
        <f t="shared" ca="1" si="75"/>
        <v>#NAME?</v>
      </c>
      <c r="EI270" s="194" t="e">
        <f t="shared" ca="1" si="76"/>
        <v>#NAME?</v>
      </c>
      <c r="EJ270" s="209" t="e">
        <f t="shared" ca="1" si="77"/>
        <v>#NAME?</v>
      </c>
      <c r="EK270" s="208" t="e">
        <f t="shared" ca="1" si="415"/>
        <v>#NAME?</v>
      </c>
      <c r="EL270" s="36" t="str">
        <f t="shared" si="79"/>
        <v>Yes</v>
      </c>
      <c r="EM270" s="207"/>
      <c r="EN270" s="192">
        <f t="shared" si="416"/>
        <v>2.0476190476190474</v>
      </c>
      <c r="EO270" s="192">
        <f t="shared" si="417"/>
        <v>3</v>
      </c>
      <c r="EP270" s="209">
        <f t="shared" si="82"/>
        <v>5.0476190476190474</v>
      </c>
      <c r="EQ270" s="210">
        <f t="shared" si="418"/>
        <v>3.3925233644859811</v>
      </c>
      <c r="ER270" s="36" t="e">
        <f t="shared" ca="1" si="84"/>
        <v>#NAME?</v>
      </c>
      <c r="ES270" s="40">
        <f ca="1">COUNTIF($ER$2:$ER$92, ER270)/(COUNTIF($ER$2:$ER$92, "&lt;&gt;""") - COUNTIF($ER$2:$ER$92, ""))</f>
        <v>1</v>
      </c>
      <c r="ET270" s="36">
        <f t="shared" si="85"/>
        <v>3</v>
      </c>
      <c r="EU270" s="40">
        <f>COUNTIF($ET$2:$ET$92, ET270)/(COUNTIF($ET$2:$ET$92, "&lt;&gt;""") - COUNTIF($ET$2:$ET$92, ""))</f>
        <v>4.4444444444444446E-2</v>
      </c>
      <c r="EV270" s="36">
        <f t="shared" si="86"/>
        <v>7</v>
      </c>
      <c r="EW270" s="40">
        <f>COUNTIF($EV$2:$EV$92, EV270)/(COUNTIF($EV$2:$EV$92, "&lt;&gt;""") - COUNTIF($EV$2:$EV$92, ""))</f>
        <v>4.4444444444444446E-2</v>
      </c>
      <c r="EX270" s="36" t="str">
        <f t="shared" si="87"/>
        <v>Yes</v>
      </c>
      <c r="EY270" s="40">
        <f>COUNTIF($EX$2:$EX$92, EX270)/(COUNTIF($EX$2:$EX$92, "&lt;&gt;""") - COUNTIF($EX$2:$EX$92, ""))</f>
        <v>0.27777777777777779</v>
      </c>
      <c r="EZ270" s="36" t="str">
        <f t="shared" ref="EZ270:FB270" si="423">BM270</f>
        <v>Yes</v>
      </c>
      <c r="FA270" s="36" t="str">
        <f t="shared" si="423"/>
        <v>Yes</v>
      </c>
      <c r="FB270" s="36" t="str">
        <f t="shared" si="423"/>
        <v>No</v>
      </c>
      <c r="FC270" s="207"/>
      <c r="FD270" s="36" t="str">
        <f t="shared" si="89"/>
        <v>Recurring</v>
      </c>
      <c r="FE270" s="40">
        <f>COUNTIF($FD$2:$FD$92, FD270)/(COUNTIF($FD$2:$FD$92, "&lt;&gt;""") - COUNTIF($FD$2:$FD$92, ""))</f>
        <v>0.4</v>
      </c>
      <c r="FF270" s="36" t="str">
        <f t="shared" si="90"/>
        <v>B2B/B2C</v>
      </c>
      <c r="FG270" s="40">
        <f>COUNTIF($FF$2:$FF$92, FF270)/(COUNTIF($FF$2:$FF$92, "&lt;&gt;""") - COUNTIF($FF$2:$FF$92, ""))</f>
        <v>0.27777777777777779</v>
      </c>
      <c r="FH270" s="36" t="str">
        <f t="shared" si="91"/>
        <v>High</v>
      </c>
      <c r="FI270" s="40">
        <f>COUNTIF($FH$2:$FH$92, FH270)/(COUNTIF($FH$2:$FH$92, "&lt;&gt;""") - COUNTIF($FH$2:$FH$92, ""))</f>
        <v>0.53333333333333333</v>
      </c>
      <c r="FJ270" s="36" t="str">
        <f t="shared" si="92"/>
        <v>Low</v>
      </c>
      <c r="FK270" s="40">
        <f>COUNTIF($FJ$2:$FJ$92, FJ270)/(COUNTIF($FJ$2:$FJ$92, "&lt;&gt;""") - COUNTIF($FJ$2:$FJ$92, ""))</f>
        <v>0.41111111111111109</v>
      </c>
      <c r="FL270" s="207"/>
      <c r="FM270" s="192">
        <f t="shared" si="93"/>
        <v>5</v>
      </c>
      <c r="FN270" s="192" t="e">
        <f t="shared" ca="1" si="94"/>
        <v>#NAME?</v>
      </c>
      <c r="FO270" s="192" t="e">
        <f t="shared" ca="1" si="95"/>
        <v>#NAME?</v>
      </c>
      <c r="FP270" s="192" t="e">
        <f t="shared" ca="1" si="96"/>
        <v>#NAME?</v>
      </c>
      <c r="FQ270" s="209" t="e">
        <f t="shared" ca="1" si="97"/>
        <v>#NAME?</v>
      </c>
      <c r="FR270" s="208" t="e">
        <f t="shared" ca="1" si="420"/>
        <v>#NAME?</v>
      </c>
      <c r="FS270" s="36" t="str">
        <f t="shared" si="99"/>
        <v>Profitable</v>
      </c>
      <c r="FT270" s="196">
        <f>COUNTIF($FS$2:$FS$92, FS270)/(COUNTIF($FS$2:$FS$92, "&lt;&gt;""") - COUNTIF($FZ$2:$FZ$92, ""))</f>
        <v>6.6666666666666666E-2</v>
      </c>
      <c r="FU270" s="207"/>
      <c r="FV270" s="192">
        <f t="shared" si="100"/>
        <v>3</v>
      </c>
      <c r="FW270" s="197" t="e">
        <f t="shared" ca="1" si="101"/>
        <v>#NAME?</v>
      </c>
      <c r="FX270" s="209" t="e">
        <f t="shared" ca="1" si="102"/>
        <v>#NAME?</v>
      </c>
      <c r="FY270" s="211" t="e">
        <f t="shared" ca="1" si="421"/>
        <v>#NAME?</v>
      </c>
      <c r="FZ270" s="36" t="str">
        <f t="shared" si="104"/>
        <v>No</v>
      </c>
      <c r="GA270" s="196">
        <f>COUNTIF($FZ$2:$FZ$92, FZ270)/(COUNTIF($FZ$2:$FZ$92, "&lt;&gt;""") - COUNTIF($FZ$2:$FZ$92, ""))</f>
        <v>0.76666666666666672</v>
      </c>
      <c r="GB270" s="196">
        <f t="shared" si="105"/>
        <v>0</v>
      </c>
      <c r="GC270" s="196">
        <f>COUNTIF($GB$2:$GB$92, GB270)/(COUNTIF($GB$2:$GB$92, "&lt;&gt;""") - COUNTIF($GB$2:$GB$92, ""))</f>
        <v>1.1111111111111112E-2</v>
      </c>
      <c r="GD270" s="196">
        <f t="shared" si="106"/>
        <v>0</v>
      </c>
      <c r="GE270" s="196">
        <f>COUNTIF($GD$2:$GD$92, GD270)/(COUNTIF($GD$2:$GD$92, "&lt;&gt;""") - COUNTIF($GD$2:$GD$92, ""))</f>
        <v>1.1111111111111112E-2</v>
      </c>
      <c r="GF270" s="207"/>
      <c r="GG270" s="36"/>
      <c r="GH270" s="209" t="e">
        <f t="shared" ca="1" si="107"/>
        <v>#NAME?</v>
      </c>
      <c r="GI270" s="212" t="e">
        <f t="shared" ca="1" si="422"/>
        <v>#NAME?</v>
      </c>
    </row>
    <row r="271" spans="1:191" ht="15.75" customHeight="1">
      <c r="A271" s="171"/>
      <c r="B271" s="171" t="s">
        <v>501</v>
      </c>
      <c r="C271" s="16">
        <v>1802762</v>
      </c>
      <c r="D271" s="233" t="s">
        <v>1855</v>
      </c>
      <c r="E271" s="270">
        <v>43872.55972222222</v>
      </c>
      <c r="F271" s="16" t="s">
        <v>316</v>
      </c>
      <c r="G271" s="235" t="s">
        <v>1856</v>
      </c>
      <c r="H271" s="235" t="s">
        <v>1857</v>
      </c>
      <c r="I271" s="241">
        <v>43871</v>
      </c>
      <c r="J271" s="233" t="s">
        <v>1858</v>
      </c>
      <c r="K271" s="233" t="s">
        <v>1855</v>
      </c>
      <c r="M271" s="16" t="s">
        <v>1859</v>
      </c>
      <c r="N271" s="16" t="s">
        <v>230</v>
      </c>
      <c r="O271" s="16" t="s">
        <v>30</v>
      </c>
      <c r="P271" s="16" t="s">
        <v>31</v>
      </c>
      <c r="Q271" s="16" t="s">
        <v>35</v>
      </c>
      <c r="S271" s="16" t="s">
        <v>216</v>
      </c>
      <c r="T271" s="237"/>
      <c r="U271" s="213"/>
      <c r="V271" s="54">
        <v>4200000</v>
      </c>
      <c r="W271" s="54"/>
      <c r="X271" s="226"/>
      <c r="Y271" s="55" t="str">
        <f t="shared" si="158"/>
        <v/>
      </c>
      <c r="Z271" s="274">
        <f t="shared" si="159"/>
        <v>4200000</v>
      </c>
      <c r="AA271" s="183" t="e">
        <f t="shared" ca="1" si="160"/>
        <v>#NAME?</v>
      </c>
      <c r="AB271" s="16" t="s">
        <v>178</v>
      </c>
      <c r="AC271" s="16" t="s">
        <v>218</v>
      </c>
      <c r="AD271" s="16" t="s">
        <v>180</v>
      </c>
      <c r="AE271" s="16" t="s">
        <v>227</v>
      </c>
      <c r="AF271" s="16" t="s">
        <v>39</v>
      </c>
      <c r="AG271" s="16" t="s">
        <v>181</v>
      </c>
      <c r="AH271" s="16" t="s">
        <v>190</v>
      </c>
      <c r="AI271" s="54"/>
      <c r="AJ271" s="278">
        <v>693000000</v>
      </c>
      <c r="AK271" s="224" t="e">
        <f t="shared" ca="1" si="161"/>
        <v>#NAME?</v>
      </c>
      <c r="AL271" s="278">
        <v>693000000</v>
      </c>
      <c r="AM271" s="224" t="e">
        <f t="shared" ca="1" si="162"/>
        <v>#NAME?</v>
      </c>
      <c r="AN271" s="278">
        <v>0.45</v>
      </c>
      <c r="AO271" s="185" t="e">
        <f t="shared" ca="1" si="63"/>
        <v>#NAME?</v>
      </c>
      <c r="AP271" s="185" t="s">
        <v>192</v>
      </c>
      <c r="AQ271" s="16" t="s">
        <v>39</v>
      </c>
      <c r="AR271" s="16" t="s">
        <v>39</v>
      </c>
      <c r="AS271" s="16" t="s">
        <v>42</v>
      </c>
      <c r="AT271" s="159"/>
      <c r="AU271" s="159"/>
      <c r="AV271" s="16" t="s">
        <v>190</v>
      </c>
      <c r="AW271" s="16" t="s">
        <v>190</v>
      </c>
      <c r="AX271" s="16" t="s">
        <v>190</v>
      </c>
      <c r="AY271" s="16" t="s">
        <v>190</v>
      </c>
      <c r="AZ271" s="54">
        <v>0</v>
      </c>
      <c r="BA271" s="55" t="e">
        <f t="shared" ca="1" si="163"/>
        <v>#NAME?</v>
      </c>
      <c r="BB271" s="278">
        <v>0</v>
      </c>
      <c r="BC271" s="278">
        <v>0</v>
      </c>
      <c r="BD271" s="62" t="e">
        <f t="shared" ca="1" si="164"/>
        <v>#NAME?</v>
      </c>
      <c r="BE271" s="277">
        <f t="shared" si="165"/>
        <v>1</v>
      </c>
      <c r="BF271" s="62" t="e">
        <f t="shared" ca="1" si="166"/>
        <v>#NAME?</v>
      </c>
      <c r="BG271" s="16" t="s">
        <v>43</v>
      </c>
      <c r="BI271" s="16" t="s">
        <v>227</v>
      </c>
      <c r="BJ271" s="16">
        <v>0</v>
      </c>
      <c r="BK271" s="278">
        <v>3</v>
      </c>
      <c r="BL271" s="16" t="s">
        <v>227</v>
      </c>
      <c r="BM271" s="16" t="s">
        <v>190</v>
      </c>
      <c r="BN271" s="16" t="s">
        <v>227</v>
      </c>
      <c r="BO271" s="16" t="s">
        <v>190</v>
      </c>
      <c r="BP271" s="16">
        <v>4</v>
      </c>
      <c r="BQ271" s="16">
        <v>3</v>
      </c>
      <c r="BR271" s="16">
        <v>0</v>
      </c>
      <c r="BS271" s="16">
        <v>0</v>
      </c>
      <c r="BT271" s="205"/>
      <c r="BU271" s="16">
        <v>0</v>
      </c>
      <c r="BV271" s="16">
        <v>0</v>
      </c>
      <c r="BW271" s="16">
        <v>42</v>
      </c>
      <c r="BX271" s="16" t="s">
        <v>190</v>
      </c>
      <c r="BY271" s="205"/>
      <c r="BZ271" s="16">
        <v>21</v>
      </c>
      <c r="CA271" s="16">
        <v>0</v>
      </c>
      <c r="CB271" s="16">
        <v>56</v>
      </c>
      <c r="CC271" s="16" t="s">
        <v>190</v>
      </c>
      <c r="CD271" s="205"/>
      <c r="CE271" s="16">
        <v>2</v>
      </c>
      <c r="CF271" s="16">
        <v>0</v>
      </c>
      <c r="CG271" s="16">
        <v>22</v>
      </c>
      <c r="CH271" s="16" t="s">
        <v>227</v>
      </c>
      <c r="CI271" s="205"/>
      <c r="CN271" s="205"/>
      <c r="CS271" s="205"/>
      <c r="CX271" s="205"/>
      <c r="DC271" s="205"/>
      <c r="DH271" s="205"/>
      <c r="DM271" s="205"/>
      <c r="DN271" s="205"/>
      <c r="DO271" s="205"/>
      <c r="DQ271" s="206"/>
      <c r="DR271" s="188">
        <f t="shared" si="64"/>
        <v>7.666666666666667</v>
      </c>
      <c r="DS271" s="188"/>
      <c r="DT271" s="189">
        <f t="shared" si="65"/>
        <v>0</v>
      </c>
      <c r="DU271" s="189"/>
      <c r="DV271" s="188">
        <f t="shared" si="66"/>
        <v>40</v>
      </c>
      <c r="DW271" s="183" t="e">
        <f t="shared" ca="1" si="67"/>
        <v>#NAME?</v>
      </c>
      <c r="DX271" s="207"/>
      <c r="DY271" s="190" t="e">
        <f t="shared" ca="1" si="68"/>
        <v>#NAME?</v>
      </c>
      <c r="DZ271" s="191" t="str">
        <f t="shared" si="412"/>
        <v/>
      </c>
      <c r="EA271" s="191" t="str">
        <f t="shared" si="413"/>
        <v/>
      </c>
      <c r="EB271" s="191" t="str">
        <f t="shared" si="414"/>
        <v/>
      </c>
      <c r="EC271" s="208" t="e">
        <f t="shared" ca="1" si="72"/>
        <v>#NAME?</v>
      </c>
      <c r="ED271" s="36" t="str">
        <f t="shared" si="73"/>
        <v>Equity - Common</v>
      </c>
      <c r="EE271" s="193">
        <f>COUNTIF($ED$2:$ED$92, ED271)/(COUNTIF($ED$2:$ED$92, "&lt;&gt;""") - COUNTIF($ED$2:$ED$92, ""))</f>
        <v>0.32222222222222224</v>
      </c>
      <c r="EF271" s="36" t="str">
        <f t="shared" si="74"/>
        <v>Early</v>
      </c>
      <c r="EG271" s="207"/>
      <c r="EH271" s="194" t="e">
        <f t="shared" ca="1" si="75"/>
        <v>#NAME?</v>
      </c>
      <c r="EI271" s="194" t="e">
        <f t="shared" ca="1" si="76"/>
        <v>#NAME?</v>
      </c>
      <c r="EJ271" s="209" t="e">
        <f t="shared" ca="1" si="77"/>
        <v>#NAME?</v>
      </c>
      <c r="EK271" s="208" t="e">
        <f t="shared" ca="1" si="415"/>
        <v>#NAME?</v>
      </c>
      <c r="EL271" s="36" t="str">
        <f t="shared" si="79"/>
        <v>No</v>
      </c>
      <c r="EM271" s="207"/>
      <c r="EN271" s="192">
        <f t="shared" si="416"/>
        <v>1.7301587301587302</v>
      </c>
      <c r="EO271" s="192">
        <f t="shared" si="417"/>
        <v>1</v>
      </c>
      <c r="EP271" s="209">
        <f t="shared" si="82"/>
        <v>2.7301587301587302</v>
      </c>
      <c r="EQ271" s="210">
        <f t="shared" si="418"/>
        <v>1.5732087227414331</v>
      </c>
      <c r="ER271" s="36" t="e">
        <f t="shared" ca="1" si="84"/>
        <v>#NAME?</v>
      </c>
      <c r="ES271" s="40">
        <f ca="1">COUNTIF($ER$2:$ER$92, ER271)/(COUNTIF($ER$2:$ER$92, "&lt;&gt;""") - COUNTIF($ER$2:$ER$92, ""))</f>
        <v>1</v>
      </c>
      <c r="ET271" s="36">
        <f t="shared" si="85"/>
        <v>3</v>
      </c>
      <c r="EU271" s="40">
        <f>COUNTIF($ET$2:$ET$92, ET271)/(COUNTIF($ET$2:$ET$92, "&lt;&gt;""") - COUNTIF($ET$2:$ET$92, ""))</f>
        <v>4.4444444444444446E-2</v>
      </c>
      <c r="EV271" s="36">
        <f t="shared" si="86"/>
        <v>3</v>
      </c>
      <c r="EW271" s="40">
        <f>COUNTIF($EV$2:$EV$92, EV271)/(COUNTIF($EV$2:$EV$92, "&lt;&gt;""") - COUNTIF($EV$2:$EV$92, ""))</f>
        <v>8.8888888888888892E-2</v>
      </c>
      <c r="EX271" s="36" t="str">
        <f t="shared" si="87"/>
        <v>Yes</v>
      </c>
      <c r="EY271" s="40">
        <f>COUNTIF($EX$2:$EX$92, EX271)/(COUNTIF($EX$2:$EX$92, "&lt;&gt;""") - COUNTIF($EX$2:$EX$92, ""))</f>
        <v>0.27777777777777779</v>
      </c>
      <c r="EZ271" s="36" t="str">
        <f t="shared" ref="EZ271:FB271" si="424">BM271</f>
        <v>No</v>
      </c>
      <c r="FA271" s="36" t="str">
        <f t="shared" si="424"/>
        <v>Yes</v>
      </c>
      <c r="FB271" s="36" t="str">
        <f t="shared" si="424"/>
        <v>No</v>
      </c>
      <c r="FC271" s="207"/>
      <c r="FD271" s="36" t="str">
        <f t="shared" si="89"/>
        <v>Recurring</v>
      </c>
      <c r="FE271" s="40">
        <f>COUNTIF($FD$2:$FD$92, FD271)/(COUNTIF($FD$2:$FD$92, "&lt;&gt;""") - COUNTIF($FD$2:$FD$92, ""))</f>
        <v>0.4</v>
      </c>
      <c r="FF271" s="36" t="str">
        <f t="shared" si="90"/>
        <v>B2B/B2C</v>
      </c>
      <c r="FG271" s="40">
        <f>COUNTIF($FF$2:$FF$92, FF271)/(COUNTIF($FF$2:$FF$92, "&lt;&gt;""") - COUNTIF($FF$2:$FF$92, ""))</f>
        <v>0.27777777777777779</v>
      </c>
      <c r="FH271" s="36" t="str">
        <f t="shared" si="91"/>
        <v>High</v>
      </c>
      <c r="FI271" s="40">
        <f>COUNTIF($FH$2:$FH$92, FH271)/(COUNTIF($FH$2:$FH$92, "&lt;&gt;""") - COUNTIF($FH$2:$FH$92, ""))</f>
        <v>0.53333333333333333</v>
      </c>
      <c r="FJ271" s="36" t="str">
        <f t="shared" si="92"/>
        <v>Low</v>
      </c>
      <c r="FK271" s="40">
        <f>COUNTIF($FJ$2:$FJ$92, FJ271)/(COUNTIF($FJ$2:$FJ$92, "&lt;&gt;""") - COUNTIF($FJ$2:$FJ$92, ""))</f>
        <v>0.41111111111111109</v>
      </c>
      <c r="FL271" s="207"/>
      <c r="FM271" s="192">
        <f t="shared" si="93"/>
        <v>1</v>
      </c>
      <c r="FN271" s="192" t="e">
        <f t="shared" ca="1" si="94"/>
        <v>#NAME?</v>
      </c>
      <c r="FO271" s="192" t="e">
        <f t="shared" ca="1" si="95"/>
        <v>#NAME?</v>
      </c>
      <c r="FP271" s="192" t="e">
        <f t="shared" ca="1" si="96"/>
        <v>#NAME?</v>
      </c>
      <c r="FQ271" s="209" t="e">
        <f t="shared" ca="1" si="97"/>
        <v>#NAME?</v>
      </c>
      <c r="FR271" s="208" t="e">
        <f t="shared" ca="1" si="420"/>
        <v>#NAME?</v>
      </c>
      <c r="FS271" s="36" t="str">
        <f t="shared" si="99"/>
        <v>Pre-Product</v>
      </c>
      <c r="FT271" s="196">
        <f>COUNTIF($FS$2:$FS$92, FS271)/(COUNTIF($FS$2:$FS$92, "&lt;&gt;""") - COUNTIF($FZ$2:$FZ$92, ""))</f>
        <v>0.22222222222222221</v>
      </c>
      <c r="FU271" s="207"/>
      <c r="FV271" s="192" t="e">
        <f t="shared" ca="1" si="100"/>
        <v>#NAME?</v>
      </c>
      <c r="FW271" s="197" t="e">
        <f t="shared" ca="1" si="101"/>
        <v>#NAME?</v>
      </c>
      <c r="FX271" s="209" t="e">
        <f t="shared" ca="1" si="102"/>
        <v>#NAME?</v>
      </c>
      <c r="FY271" s="211" t="e">
        <f t="shared" ca="1" si="421"/>
        <v>#NAME?</v>
      </c>
      <c r="FZ271" s="36" t="str">
        <f t="shared" si="104"/>
        <v>No</v>
      </c>
      <c r="GA271" s="196">
        <f>COUNTIF($FZ$2:$FZ$92, FZ271)/(COUNTIF($FZ$2:$FZ$92, "&lt;&gt;""") - COUNTIF($FZ$2:$FZ$92, ""))</f>
        <v>0.76666666666666672</v>
      </c>
      <c r="GB271" s="196">
        <f t="shared" si="105"/>
        <v>0</v>
      </c>
      <c r="GC271" s="196">
        <f>COUNTIF($GB$2:$GB$92, GB271)/(COUNTIF($GB$2:$GB$92, "&lt;&gt;""") - COUNTIF($GB$2:$GB$92, ""))</f>
        <v>1.1111111111111112E-2</v>
      </c>
      <c r="GD271" s="196">
        <f t="shared" si="106"/>
        <v>0</v>
      </c>
      <c r="GE271" s="196">
        <f>COUNTIF($GD$2:$GD$92, GD271)/(COUNTIF($GD$2:$GD$92, "&lt;&gt;""") - COUNTIF($GD$2:$GD$92, ""))</f>
        <v>1.1111111111111112E-2</v>
      </c>
      <c r="GF271" s="207"/>
      <c r="GG271" s="36"/>
      <c r="GH271" s="209" t="e">
        <f t="shared" ca="1" si="107"/>
        <v>#NAME?</v>
      </c>
      <c r="GI271" s="212" t="e">
        <f t="shared" ca="1" si="422"/>
        <v>#NAME?</v>
      </c>
    </row>
    <row r="272" spans="1:191" ht="15.75" customHeight="1">
      <c r="A272" s="171"/>
      <c r="B272" s="171" t="s">
        <v>501</v>
      </c>
      <c r="C272" s="16">
        <v>1585681</v>
      </c>
      <c r="D272" s="233" t="s">
        <v>1860</v>
      </c>
      <c r="E272" s="270">
        <v>43874.495833333334</v>
      </c>
      <c r="F272" s="16" t="s">
        <v>337</v>
      </c>
      <c r="G272" s="235" t="s">
        <v>1861</v>
      </c>
      <c r="H272" s="235" t="s">
        <v>1862</v>
      </c>
      <c r="I272" s="271">
        <v>43873</v>
      </c>
      <c r="J272" s="233" t="s">
        <v>1863</v>
      </c>
      <c r="K272" s="233" t="s">
        <v>1864</v>
      </c>
      <c r="M272" s="35" t="s">
        <v>293</v>
      </c>
      <c r="N272" s="16" t="s">
        <v>168</v>
      </c>
      <c r="O272" s="16" t="s">
        <v>173</v>
      </c>
      <c r="P272" s="16" t="s">
        <v>214</v>
      </c>
      <c r="Q272" s="16" t="s">
        <v>35</v>
      </c>
      <c r="S272" s="16" t="s">
        <v>232</v>
      </c>
      <c r="T272" s="237"/>
      <c r="U272" s="213"/>
      <c r="V272" s="54">
        <v>5436506</v>
      </c>
      <c r="W272" s="54"/>
      <c r="X272" s="226"/>
      <c r="Y272" s="55" t="str">
        <f t="shared" si="158"/>
        <v/>
      </c>
      <c r="Z272" s="274">
        <f t="shared" si="159"/>
        <v>5436506</v>
      </c>
      <c r="AA272" s="183" t="e">
        <f t="shared" ca="1" si="160"/>
        <v>#NAME?</v>
      </c>
      <c r="AB272" s="16" t="s">
        <v>36</v>
      </c>
      <c r="AC272" s="16" t="s">
        <v>218</v>
      </c>
      <c r="AD272" s="16" t="s">
        <v>38</v>
      </c>
      <c r="AE272" s="16" t="s">
        <v>227</v>
      </c>
      <c r="AF272" s="16" t="s">
        <v>181</v>
      </c>
      <c r="AG272" s="16" t="s">
        <v>181</v>
      </c>
      <c r="AH272" s="16" t="s">
        <v>190</v>
      </c>
      <c r="AI272" s="54"/>
      <c r="AJ272" s="278">
        <v>123750000000</v>
      </c>
      <c r="AK272" s="224" t="e">
        <f t="shared" ca="1" si="161"/>
        <v>#NAME?</v>
      </c>
      <c r="AL272" s="278">
        <v>20910000000</v>
      </c>
      <c r="AM272" s="224" t="e">
        <f t="shared" ca="1" si="162"/>
        <v>#NAME?</v>
      </c>
      <c r="AN272" s="278">
        <v>-0.04</v>
      </c>
      <c r="AO272" s="185" t="e">
        <f t="shared" ca="1" si="63"/>
        <v>#NAME?</v>
      </c>
      <c r="AP272" s="185" t="s">
        <v>228</v>
      </c>
      <c r="AQ272" s="16" t="s">
        <v>181</v>
      </c>
      <c r="AR272" s="16" t="s">
        <v>181</v>
      </c>
      <c r="AS272" s="16" t="s">
        <v>42</v>
      </c>
      <c r="AT272" s="159"/>
      <c r="AU272" s="159"/>
      <c r="AV272" s="16" t="s">
        <v>190</v>
      </c>
      <c r="AW272" s="16" t="s">
        <v>227</v>
      </c>
      <c r="AX272" s="16" t="s">
        <v>227</v>
      </c>
      <c r="AY272" s="16" t="s">
        <v>227</v>
      </c>
      <c r="AZ272" s="54">
        <v>1580699</v>
      </c>
      <c r="BA272" s="55" t="e">
        <f t="shared" ca="1" si="163"/>
        <v>#NAME?</v>
      </c>
      <c r="BB272" s="278">
        <v>114224</v>
      </c>
      <c r="BC272" s="278">
        <v>4154770</v>
      </c>
      <c r="BD272" s="62" t="e">
        <f t="shared" ca="1" si="164"/>
        <v>#NAME?</v>
      </c>
      <c r="BE272" s="277">
        <f t="shared" si="165"/>
        <v>2.7492255889014314E-2</v>
      </c>
      <c r="BF272" s="62" t="e">
        <f t="shared" ca="1" si="166"/>
        <v>#NAME?</v>
      </c>
      <c r="BG272" s="16" t="s">
        <v>202</v>
      </c>
      <c r="BI272" s="16" t="s">
        <v>227</v>
      </c>
      <c r="BJ272" s="16">
        <v>0</v>
      </c>
      <c r="BK272" s="278">
        <v>1</v>
      </c>
      <c r="BL272" s="16" t="s">
        <v>227</v>
      </c>
      <c r="BM272" s="16" t="s">
        <v>190</v>
      </c>
      <c r="BN272" s="16" t="s">
        <v>190</v>
      </c>
      <c r="BO272" s="16" t="s">
        <v>190</v>
      </c>
      <c r="BP272" s="16">
        <v>1</v>
      </c>
      <c r="BQ272" s="16">
        <v>5</v>
      </c>
      <c r="BR272" s="16">
        <v>0</v>
      </c>
      <c r="BS272" s="16">
        <v>0</v>
      </c>
      <c r="BT272" s="205"/>
      <c r="BU272" s="16">
        <v>31</v>
      </c>
      <c r="BV272" s="16">
        <v>1</v>
      </c>
      <c r="BW272" s="16">
        <v>42</v>
      </c>
      <c r="BX272" s="16" t="s">
        <v>227</v>
      </c>
      <c r="BY272" s="205"/>
      <c r="CD272" s="205"/>
      <c r="CI272" s="205"/>
      <c r="CN272" s="205"/>
      <c r="CS272" s="205"/>
      <c r="CX272" s="205"/>
      <c r="DC272" s="205"/>
      <c r="DH272" s="205"/>
      <c r="DM272" s="205"/>
      <c r="DN272" s="205"/>
      <c r="DO272" s="205"/>
      <c r="DQ272" s="206"/>
      <c r="DR272" s="188">
        <f t="shared" si="64"/>
        <v>31</v>
      </c>
      <c r="DS272" s="188"/>
      <c r="DT272" s="189">
        <f t="shared" si="65"/>
        <v>1</v>
      </c>
      <c r="DU272" s="189"/>
      <c r="DV272" s="188">
        <f t="shared" si="66"/>
        <v>42</v>
      </c>
      <c r="DW272" s="183" t="e">
        <f t="shared" ca="1" si="67"/>
        <v>#NAME?</v>
      </c>
      <c r="DX272" s="207"/>
      <c r="DY272" s="190" t="e">
        <f t="shared" ca="1" si="68"/>
        <v>#NAME?</v>
      </c>
      <c r="DZ272" s="191" t="str">
        <f t="shared" si="412"/>
        <v/>
      </c>
      <c r="EA272" s="191" t="str">
        <f t="shared" si="413"/>
        <v/>
      </c>
      <c r="EB272" s="191" t="str">
        <f t="shared" si="414"/>
        <v/>
      </c>
      <c r="EC272" s="208" t="e">
        <f t="shared" ca="1" si="72"/>
        <v>#NAME?</v>
      </c>
      <c r="ED272" s="36" t="str">
        <f t="shared" si="73"/>
        <v>Equity - Preferred</v>
      </c>
      <c r="EE272" s="193">
        <f>COUNTIF($ED$2:$ED$92, ED272)/(COUNTIF($ED$2:$ED$92, "&lt;&gt;""") - COUNTIF($ED$2:$ED$92, ""))</f>
        <v>6.6666666666666666E-2</v>
      </c>
      <c r="EF272" s="36" t="str">
        <f t="shared" si="74"/>
        <v>Growth</v>
      </c>
      <c r="EG272" s="207"/>
      <c r="EH272" s="194" t="e">
        <f t="shared" ca="1" si="75"/>
        <v>#NAME?</v>
      </c>
      <c r="EI272" s="194" t="e">
        <f t="shared" ca="1" si="76"/>
        <v>#NAME?</v>
      </c>
      <c r="EJ272" s="209" t="e">
        <f t="shared" ca="1" si="77"/>
        <v>#NAME?</v>
      </c>
      <c r="EK272" s="208" t="e">
        <f t="shared" ca="1" si="415"/>
        <v>#NAME?</v>
      </c>
      <c r="EL272" s="36" t="str">
        <f t="shared" si="79"/>
        <v>No</v>
      </c>
      <c r="EM272" s="207"/>
      <c r="EN272" s="192">
        <f t="shared" si="416"/>
        <v>3.9523809523809526</v>
      </c>
      <c r="EO272" s="192">
        <f t="shared" si="417"/>
        <v>2</v>
      </c>
      <c r="EP272" s="209">
        <f t="shared" si="82"/>
        <v>5.9523809523809526</v>
      </c>
      <c r="EQ272" s="210">
        <f t="shared" si="418"/>
        <v>4.1028037383177569</v>
      </c>
      <c r="ER272" s="36" t="e">
        <f t="shared" ca="1" si="84"/>
        <v>#NAME?</v>
      </c>
      <c r="ES272" s="40">
        <f ca="1">COUNTIF($ER$2:$ER$92, ER272)/(COUNTIF($ER$2:$ER$92, "&lt;&gt;""") - COUNTIF($ER$2:$ER$92, ""))</f>
        <v>1</v>
      </c>
      <c r="ET272" s="36">
        <f t="shared" si="85"/>
        <v>1</v>
      </c>
      <c r="EU272" s="40">
        <f>COUNTIF($ET$2:$ET$92, ET272)/(COUNTIF($ET$2:$ET$92, "&lt;&gt;""") - COUNTIF($ET$2:$ET$92, ""))</f>
        <v>0.45555555555555555</v>
      </c>
      <c r="EV272" s="36">
        <f t="shared" si="86"/>
        <v>5</v>
      </c>
      <c r="EW272" s="40">
        <f>COUNTIF($EV$2:$EV$92, EV272)/(COUNTIF($EV$2:$EV$92, "&lt;&gt;""") - COUNTIF($EV$2:$EV$92, ""))</f>
        <v>0.13333333333333333</v>
      </c>
      <c r="EX272" s="36" t="str">
        <f t="shared" si="87"/>
        <v>Yes</v>
      </c>
      <c r="EY272" s="40">
        <f>COUNTIF($EX$2:$EX$92, EX272)/(COUNTIF($EX$2:$EX$92, "&lt;&gt;""") - COUNTIF($EX$2:$EX$92, ""))</f>
        <v>0.27777777777777779</v>
      </c>
      <c r="EZ272" s="36" t="str">
        <f t="shared" ref="EZ272:FB272" si="425">BM272</f>
        <v>No</v>
      </c>
      <c r="FA272" s="36" t="str">
        <f t="shared" si="425"/>
        <v>No</v>
      </c>
      <c r="FB272" s="36" t="str">
        <f t="shared" si="425"/>
        <v>No</v>
      </c>
      <c r="FC272" s="207"/>
      <c r="FD272" s="36" t="str">
        <f t="shared" si="89"/>
        <v>Transactional</v>
      </c>
      <c r="FE272" s="40">
        <f>COUNTIF($FD$2:$FD$92, FD272)/(COUNTIF($FD$2:$FD$92, "&lt;&gt;""") - COUNTIF($FD$2:$FD$92, ""))</f>
        <v>0.6</v>
      </c>
      <c r="FF272" s="36" t="str">
        <f t="shared" si="90"/>
        <v>B2B/B2C</v>
      </c>
      <c r="FG272" s="40">
        <f>COUNTIF($FF$2:$FF$92, FF272)/(COUNTIF($FF$2:$FF$92, "&lt;&gt;""") - COUNTIF($FF$2:$FF$92, ""))</f>
        <v>0.27777777777777779</v>
      </c>
      <c r="FH272" s="36" t="str">
        <f t="shared" si="91"/>
        <v>Low</v>
      </c>
      <c r="FI272" s="40">
        <f>COUNTIF($FH$2:$FH$92, FH272)/(COUNTIF($FH$2:$FH$92, "&lt;&gt;""") - COUNTIF($FH$2:$FH$92, ""))</f>
        <v>0.46666666666666667</v>
      </c>
      <c r="FJ272" s="36" t="str">
        <f t="shared" si="92"/>
        <v>Low</v>
      </c>
      <c r="FK272" s="40">
        <f>COUNTIF($FJ$2:$FJ$92, FJ272)/(COUNTIF($FJ$2:$FJ$92, "&lt;&gt;""") - COUNTIF($FJ$2:$FJ$92, ""))</f>
        <v>0.41111111111111109</v>
      </c>
      <c r="FL272" s="207"/>
      <c r="FM272" s="192">
        <f t="shared" si="93"/>
        <v>5</v>
      </c>
      <c r="FN272" s="192" t="e">
        <f t="shared" ca="1" si="94"/>
        <v>#NAME?</v>
      </c>
      <c r="FO272" s="192" t="e">
        <f t="shared" ca="1" si="95"/>
        <v>#NAME?</v>
      </c>
      <c r="FP272" s="192" t="e">
        <f t="shared" ca="1" si="96"/>
        <v>#NAME?</v>
      </c>
      <c r="FQ272" s="209" t="e">
        <f t="shared" ca="1" si="97"/>
        <v>#NAME?</v>
      </c>
      <c r="FR272" s="208" t="e">
        <f t="shared" ca="1" si="420"/>
        <v>#NAME?</v>
      </c>
      <c r="FS272" s="36" t="str">
        <f t="shared" si="99"/>
        <v>Pre-Profit</v>
      </c>
      <c r="FT272" s="196">
        <f>COUNTIF($FS$2:$FS$92, FS272)/(COUNTIF($FS$2:$FS$92, "&lt;&gt;""") - COUNTIF($FZ$2:$FZ$92, ""))</f>
        <v>0.51111111111111107</v>
      </c>
      <c r="FU272" s="207"/>
      <c r="FV272" s="192" t="e">
        <f t="shared" ca="1" si="100"/>
        <v>#NAME?</v>
      </c>
      <c r="FW272" s="197" t="e">
        <f t="shared" ca="1" si="101"/>
        <v>#NAME?</v>
      </c>
      <c r="FX272" s="209" t="e">
        <f t="shared" ca="1" si="102"/>
        <v>#NAME?</v>
      </c>
      <c r="FY272" s="211" t="e">
        <f t="shared" ca="1" si="421"/>
        <v>#NAME?</v>
      </c>
      <c r="FZ272" s="36" t="str">
        <f t="shared" si="104"/>
        <v>Yes</v>
      </c>
      <c r="GA272" s="196">
        <f>COUNTIF($FZ$2:$FZ$92, FZ272)/(COUNTIF($FZ$2:$FZ$92, "&lt;&gt;""") - COUNTIF($FZ$2:$FZ$92, ""))</f>
        <v>0.23333333333333334</v>
      </c>
      <c r="GB272" s="196">
        <f t="shared" si="105"/>
        <v>0</v>
      </c>
      <c r="GC272" s="196">
        <f>COUNTIF($GB$2:$GB$92, GB272)/(COUNTIF($GB$2:$GB$92, "&lt;&gt;""") - COUNTIF($GB$2:$GB$92, ""))</f>
        <v>1.1111111111111112E-2</v>
      </c>
      <c r="GD272" s="196">
        <f t="shared" si="106"/>
        <v>0</v>
      </c>
      <c r="GE272" s="196">
        <f>COUNTIF($GD$2:$GD$92, GD272)/(COUNTIF($GD$2:$GD$92, "&lt;&gt;""") - COUNTIF($GD$2:$GD$92, ""))</f>
        <v>1.1111111111111112E-2</v>
      </c>
      <c r="GF272" s="207"/>
      <c r="GG272" s="36"/>
      <c r="GH272" s="209" t="e">
        <f t="shared" ca="1" si="107"/>
        <v>#NAME?</v>
      </c>
      <c r="GI272" s="212" t="e">
        <f t="shared" ca="1" si="422"/>
        <v>#NAME?</v>
      </c>
    </row>
    <row r="273" spans="1:191" ht="15.75" customHeight="1">
      <c r="A273" s="171"/>
      <c r="B273" s="171" t="s">
        <v>501</v>
      </c>
      <c r="C273" s="16">
        <v>1800755</v>
      </c>
      <c r="D273" s="233" t="s">
        <v>1865</v>
      </c>
      <c r="E273" s="270">
        <v>43874.49722222222</v>
      </c>
      <c r="F273" s="16" t="s">
        <v>337</v>
      </c>
      <c r="G273" s="235" t="s">
        <v>1866</v>
      </c>
      <c r="H273" s="235" t="s">
        <v>1867</v>
      </c>
      <c r="I273" s="271">
        <v>43873</v>
      </c>
      <c r="J273" s="233" t="s">
        <v>1865</v>
      </c>
      <c r="K273" s="233" t="s">
        <v>1868</v>
      </c>
      <c r="M273" s="16" t="s">
        <v>293</v>
      </c>
      <c r="N273" s="16" t="s">
        <v>287</v>
      </c>
      <c r="O273" s="16" t="s">
        <v>173</v>
      </c>
      <c r="P273" s="16" t="s">
        <v>174</v>
      </c>
      <c r="Q273" s="16" t="s">
        <v>35</v>
      </c>
      <c r="S273" s="16" t="s">
        <v>216</v>
      </c>
      <c r="T273" s="237"/>
      <c r="U273" s="213"/>
      <c r="V273" s="54">
        <v>6000000</v>
      </c>
      <c r="W273" s="54"/>
      <c r="X273" s="226"/>
      <c r="Y273" s="55" t="str">
        <f t="shared" si="158"/>
        <v/>
      </c>
      <c r="Z273" s="274">
        <f t="shared" si="159"/>
        <v>6000000</v>
      </c>
      <c r="AA273" s="183" t="e">
        <f t="shared" ca="1" si="160"/>
        <v>#NAME?</v>
      </c>
      <c r="AB273" s="16" t="s">
        <v>36</v>
      </c>
      <c r="AC273" s="16" t="s">
        <v>218</v>
      </c>
      <c r="AD273" s="16" t="s">
        <v>38</v>
      </c>
      <c r="AE273" s="16" t="s">
        <v>227</v>
      </c>
      <c r="AF273" s="16" t="s">
        <v>181</v>
      </c>
      <c r="AG273" s="16" t="s">
        <v>181</v>
      </c>
      <c r="AH273" s="16" t="s">
        <v>190</v>
      </c>
      <c r="AI273" s="54"/>
      <c r="AJ273" s="278">
        <v>46460000000</v>
      </c>
      <c r="AK273" s="224" t="e">
        <f t="shared" ca="1" si="161"/>
        <v>#NAME?</v>
      </c>
      <c r="AL273" s="278">
        <v>46460000000</v>
      </c>
      <c r="AM273" s="224" t="e">
        <f t="shared" ca="1" si="162"/>
        <v>#NAME?</v>
      </c>
      <c r="AN273" s="278">
        <v>0.08</v>
      </c>
      <c r="AO273" s="185" t="e">
        <f t="shared" ca="1" si="63"/>
        <v>#NAME?</v>
      </c>
      <c r="AP273" s="185" t="s">
        <v>264</v>
      </c>
      <c r="AQ273" s="16" t="s">
        <v>39</v>
      </c>
      <c r="AR273" s="16" t="s">
        <v>181</v>
      </c>
      <c r="AS273" s="16" t="s">
        <v>42</v>
      </c>
      <c r="AT273" s="159"/>
      <c r="AU273" s="159"/>
      <c r="AV273" s="16" t="s">
        <v>190</v>
      </c>
      <c r="AW273" s="16" t="s">
        <v>227</v>
      </c>
      <c r="AX273" s="16" t="s">
        <v>227</v>
      </c>
      <c r="AY273" s="16" t="s">
        <v>227</v>
      </c>
      <c r="AZ273" s="54">
        <v>45755</v>
      </c>
      <c r="BA273" s="55" t="e">
        <f t="shared" ca="1" si="163"/>
        <v>#NAME?</v>
      </c>
      <c r="BB273" s="278">
        <v>15439</v>
      </c>
      <c r="BC273" s="278">
        <v>215000</v>
      </c>
      <c r="BD273" s="62" t="e">
        <f t="shared" ca="1" si="164"/>
        <v>#NAME?</v>
      </c>
      <c r="BE273" s="277">
        <f t="shared" si="165"/>
        <v>7.1809302325581401E-2</v>
      </c>
      <c r="BF273" s="62" t="e">
        <f t="shared" ca="1" si="166"/>
        <v>#NAME?</v>
      </c>
      <c r="BG273" s="16" t="s">
        <v>202</v>
      </c>
      <c r="BI273" s="16" t="s">
        <v>227</v>
      </c>
      <c r="BJ273" s="16">
        <v>0</v>
      </c>
      <c r="BK273" s="278">
        <v>2</v>
      </c>
      <c r="BL273" s="16" t="s">
        <v>190</v>
      </c>
      <c r="BM273" s="16" t="s">
        <v>190</v>
      </c>
      <c r="BN273" s="16" t="s">
        <v>190</v>
      </c>
      <c r="BO273" s="16" t="s">
        <v>190</v>
      </c>
      <c r="BP273" s="16">
        <v>2</v>
      </c>
      <c r="BQ273" s="16">
        <v>3</v>
      </c>
      <c r="BR273" s="16">
        <v>2</v>
      </c>
      <c r="BS273" s="16">
        <v>0</v>
      </c>
      <c r="BT273" s="205"/>
      <c r="BU273" s="16">
        <v>0</v>
      </c>
      <c r="BV273" s="16">
        <v>0</v>
      </c>
      <c r="BW273" s="16">
        <v>51</v>
      </c>
      <c r="BX273" s="16" t="s">
        <v>190</v>
      </c>
      <c r="BY273" s="205"/>
      <c r="BZ273" s="16">
        <v>0</v>
      </c>
      <c r="CA273" s="16">
        <v>0</v>
      </c>
      <c r="CC273" s="16" t="s">
        <v>190</v>
      </c>
      <c r="CD273" s="205"/>
      <c r="CI273" s="205"/>
      <c r="CN273" s="205"/>
      <c r="CS273" s="205"/>
      <c r="CX273" s="205"/>
      <c r="DC273" s="205"/>
      <c r="DH273" s="205"/>
      <c r="DM273" s="205"/>
      <c r="DN273" s="205"/>
      <c r="DO273" s="205"/>
      <c r="DQ273" s="206"/>
      <c r="DR273" s="188">
        <f t="shared" si="64"/>
        <v>0</v>
      </c>
      <c r="DS273" s="188"/>
      <c r="DT273" s="189">
        <f t="shared" si="65"/>
        <v>0</v>
      </c>
      <c r="DU273" s="189"/>
      <c r="DV273" s="188">
        <f t="shared" si="66"/>
        <v>51</v>
      </c>
      <c r="DW273" s="183" t="e">
        <f t="shared" ca="1" si="67"/>
        <v>#NAME?</v>
      </c>
      <c r="DX273" s="207"/>
      <c r="DY273" s="190" t="e">
        <f t="shared" ca="1" si="68"/>
        <v>#NAME?</v>
      </c>
      <c r="DZ273" s="191" t="str">
        <f t="shared" si="412"/>
        <v/>
      </c>
      <c r="EA273" s="191" t="str">
        <f t="shared" si="413"/>
        <v/>
      </c>
      <c r="EB273" s="191" t="str">
        <f t="shared" si="414"/>
        <v/>
      </c>
      <c r="EC273" s="208" t="e">
        <f t="shared" ca="1" si="72"/>
        <v>#NAME?</v>
      </c>
      <c r="ED273" s="36" t="str">
        <f t="shared" si="73"/>
        <v>Equity - Common</v>
      </c>
      <c r="EE273" s="193">
        <f>COUNTIF($ED$2:$ED$92, ED273)/(COUNTIF($ED$2:$ED$92, "&lt;&gt;""") - COUNTIF($ED$2:$ED$92, ""))</f>
        <v>0.32222222222222224</v>
      </c>
      <c r="EF273" s="36" t="str">
        <f t="shared" si="74"/>
        <v>Growth</v>
      </c>
      <c r="EG273" s="207"/>
      <c r="EH273" s="194" t="e">
        <f t="shared" ca="1" si="75"/>
        <v>#NAME?</v>
      </c>
      <c r="EI273" s="194" t="e">
        <f t="shared" ca="1" si="76"/>
        <v>#NAME?</v>
      </c>
      <c r="EJ273" s="209" t="e">
        <f t="shared" ca="1" si="77"/>
        <v>#NAME?</v>
      </c>
      <c r="EK273" s="208" t="e">
        <f t="shared" ca="1" si="415"/>
        <v>#NAME?</v>
      </c>
      <c r="EL273" s="36" t="str">
        <f t="shared" si="79"/>
        <v>No</v>
      </c>
      <c r="EM273" s="207"/>
      <c r="EN273" s="192">
        <f t="shared" si="416"/>
        <v>1</v>
      </c>
      <c r="EO273" s="192">
        <f t="shared" si="417"/>
        <v>1</v>
      </c>
      <c r="EP273" s="209">
        <f t="shared" si="82"/>
        <v>2</v>
      </c>
      <c r="EQ273" s="210">
        <f t="shared" si="418"/>
        <v>1</v>
      </c>
      <c r="ER273" s="36" t="e">
        <f t="shared" ca="1" si="84"/>
        <v>#NAME?</v>
      </c>
      <c r="ES273" s="40">
        <f ca="1">COUNTIF($ER$2:$ER$92, ER273)/(COUNTIF($ER$2:$ER$92, "&lt;&gt;""") - COUNTIF($ER$2:$ER$92, ""))</f>
        <v>1</v>
      </c>
      <c r="ET273" s="36">
        <f t="shared" si="85"/>
        <v>2</v>
      </c>
      <c r="EU273" s="40">
        <f>COUNTIF($ET$2:$ET$92, ET273)/(COUNTIF($ET$2:$ET$92, "&lt;&gt;""") - COUNTIF($ET$2:$ET$92, ""))</f>
        <v>0.45555555555555555</v>
      </c>
      <c r="EV273" s="36">
        <f t="shared" si="86"/>
        <v>3</v>
      </c>
      <c r="EW273" s="40">
        <f>COUNTIF($EV$2:$EV$92, EV273)/(COUNTIF($EV$2:$EV$92, "&lt;&gt;""") - COUNTIF($EV$2:$EV$92, ""))</f>
        <v>8.8888888888888892E-2</v>
      </c>
      <c r="EX273" s="36" t="str">
        <f t="shared" si="87"/>
        <v>No</v>
      </c>
      <c r="EY273" s="40">
        <f>COUNTIF($EX$2:$EX$92, EX273)/(COUNTIF($EX$2:$EX$92, "&lt;&gt;""") - COUNTIF($EX$2:$EX$92, ""))</f>
        <v>0.72222222222222221</v>
      </c>
      <c r="EZ273" s="36" t="str">
        <f t="shared" ref="EZ273:FB273" si="426">BM273</f>
        <v>No</v>
      </c>
      <c r="FA273" s="36" t="str">
        <f t="shared" si="426"/>
        <v>No</v>
      </c>
      <c r="FB273" s="36" t="str">
        <f t="shared" si="426"/>
        <v>No</v>
      </c>
      <c r="FC273" s="207"/>
      <c r="FD273" s="36" t="str">
        <f t="shared" si="89"/>
        <v>Transactional</v>
      </c>
      <c r="FE273" s="40">
        <f>COUNTIF($FD$2:$FD$92, FD273)/(COUNTIF($FD$2:$FD$92, "&lt;&gt;""") - COUNTIF($FD$2:$FD$92, ""))</f>
        <v>0.6</v>
      </c>
      <c r="FF273" s="36" t="str">
        <f t="shared" si="90"/>
        <v>B2B/B2C</v>
      </c>
      <c r="FG273" s="40">
        <f>COUNTIF($FF$2:$FF$92, FF273)/(COUNTIF($FF$2:$FF$92, "&lt;&gt;""") - COUNTIF($FF$2:$FF$92, ""))</f>
        <v>0.27777777777777779</v>
      </c>
      <c r="FH273" s="36" t="str">
        <f t="shared" si="91"/>
        <v>Low</v>
      </c>
      <c r="FI273" s="40">
        <f>COUNTIF($FH$2:$FH$92, FH273)/(COUNTIF($FH$2:$FH$92, "&lt;&gt;""") - COUNTIF($FH$2:$FH$92, ""))</f>
        <v>0.46666666666666667</v>
      </c>
      <c r="FJ273" s="36" t="str">
        <f t="shared" si="92"/>
        <v>Low</v>
      </c>
      <c r="FK273" s="40">
        <f>COUNTIF($FJ$2:$FJ$92, FJ273)/(COUNTIF($FJ$2:$FJ$92, "&lt;&gt;""") - COUNTIF($FJ$2:$FJ$92, ""))</f>
        <v>0.41111111111111109</v>
      </c>
      <c r="FL273" s="207"/>
      <c r="FM273" s="192">
        <f t="shared" si="93"/>
        <v>5</v>
      </c>
      <c r="FN273" s="192" t="e">
        <f t="shared" ca="1" si="94"/>
        <v>#NAME?</v>
      </c>
      <c r="FO273" s="192" t="e">
        <f t="shared" ca="1" si="95"/>
        <v>#NAME?</v>
      </c>
      <c r="FP273" s="192" t="e">
        <f t="shared" ca="1" si="96"/>
        <v>#NAME?</v>
      </c>
      <c r="FQ273" s="209" t="e">
        <f t="shared" ca="1" si="97"/>
        <v>#NAME?</v>
      </c>
      <c r="FR273" s="208" t="e">
        <f t="shared" ca="1" si="420"/>
        <v>#NAME?</v>
      </c>
      <c r="FS273" s="36" t="str">
        <f t="shared" si="99"/>
        <v>Pre-Profit</v>
      </c>
      <c r="FT273" s="196">
        <f>COUNTIF($FS$2:$FS$92, FS273)/(COUNTIF($FS$2:$FS$92, "&lt;&gt;""") - COUNTIF($FZ$2:$FZ$92, ""))</f>
        <v>0.51111111111111107</v>
      </c>
      <c r="FU273" s="207"/>
      <c r="FV273" s="192">
        <f t="shared" si="100"/>
        <v>3</v>
      </c>
      <c r="FW273" s="197" t="e">
        <f t="shared" ca="1" si="101"/>
        <v>#NAME?</v>
      </c>
      <c r="FX273" s="209" t="e">
        <f t="shared" ca="1" si="102"/>
        <v>#NAME?</v>
      </c>
      <c r="FY273" s="211" t="e">
        <f t="shared" ca="1" si="421"/>
        <v>#NAME?</v>
      </c>
      <c r="FZ273" s="36" t="str">
        <f t="shared" si="104"/>
        <v>Yes</v>
      </c>
      <c r="GA273" s="196">
        <f>COUNTIF($FZ$2:$FZ$92, FZ273)/(COUNTIF($FZ$2:$FZ$92, "&lt;&gt;""") - COUNTIF($FZ$2:$FZ$92, ""))</f>
        <v>0.23333333333333334</v>
      </c>
      <c r="GB273" s="196">
        <f t="shared" si="105"/>
        <v>0</v>
      </c>
      <c r="GC273" s="196">
        <f>COUNTIF($GB$2:$GB$92, GB273)/(COUNTIF($GB$2:$GB$92, "&lt;&gt;""") - COUNTIF($GB$2:$GB$92, ""))</f>
        <v>1.1111111111111112E-2</v>
      </c>
      <c r="GD273" s="196">
        <f t="shared" si="106"/>
        <v>0</v>
      </c>
      <c r="GE273" s="196">
        <f>COUNTIF($GD$2:$GD$92, GD273)/(COUNTIF($GD$2:$GD$92, "&lt;&gt;""") - COUNTIF($GD$2:$GD$92, ""))</f>
        <v>1.1111111111111112E-2</v>
      </c>
      <c r="GF273" s="207"/>
      <c r="GG273" s="36"/>
      <c r="GH273" s="209" t="e">
        <f t="shared" ca="1" si="107"/>
        <v>#NAME?</v>
      </c>
      <c r="GI273" s="212" t="e">
        <f t="shared" ca="1" si="422"/>
        <v>#NAME?</v>
      </c>
    </row>
    <row r="274" spans="1:191" ht="15.75" customHeight="1">
      <c r="A274" s="171"/>
      <c r="B274" s="171" t="s">
        <v>501</v>
      </c>
      <c r="C274" s="16">
        <v>1800826</v>
      </c>
      <c r="D274" s="233" t="s">
        <v>1869</v>
      </c>
      <c r="E274" s="234">
        <v>43874.5</v>
      </c>
      <c r="F274" s="16" t="s">
        <v>344</v>
      </c>
      <c r="G274" s="235" t="s">
        <v>1870</v>
      </c>
      <c r="H274" s="235" t="s">
        <v>1871</v>
      </c>
      <c r="I274" s="271">
        <v>43868</v>
      </c>
      <c r="J274" s="233" t="s">
        <v>1872</v>
      </c>
      <c r="K274" s="233" t="s">
        <v>1869</v>
      </c>
      <c r="M274" s="16" t="s">
        <v>323</v>
      </c>
      <c r="N274" s="16" t="s">
        <v>168</v>
      </c>
      <c r="O274" s="16" t="s">
        <v>30</v>
      </c>
      <c r="P274" s="16" t="s">
        <v>31</v>
      </c>
      <c r="Q274" s="16" t="s">
        <v>35</v>
      </c>
      <c r="S274" s="16" t="s">
        <v>232</v>
      </c>
      <c r="T274" s="237"/>
      <c r="U274" s="213"/>
      <c r="V274" s="54">
        <v>5000000</v>
      </c>
      <c r="W274" s="54"/>
      <c r="X274" s="226"/>
      <c r="Y274" s="55" t="str">
        <f t="shared" si="158"/>
        <v/>
      </c>
      <c r="Z274" s="274">
        <f t="shared" si="159"/>
        <v>5000000</v>
      </c>
      <c r="AA274" s="183" t="e">
        <f t="shared" ca="1" si="160"/>
        <v>#NAME?</v>
      </c>
      <c r="AB274" s="16" t="s">
        <v>36</v>
      </c>
      <c r="AC274" s="16" t="s">
        <v>179</v>
      </c>
      <c r="AD274" s="16" t="s">
        <v>38</v>
      </c>
      <c r="AE274" s="16" t="s">
        <v>227</v>
      </c>
      <c r="AF274" s="16" t="s">
        <v>181</v>
      </c>
      <c r="AG274" s="16" t="s">
        <v>181</v>
      </c>
      <c r="AH274" s="16" t="s">
        <v>190</v>
      </c>
      <c r="AI274" s="54"/>
      <c r="AJ274" s="278">
        <v>4450000000</v>
      </c>
      <c r="AK274" s="224" t="e">
        <f t="shared" ca="1" si="161"/>
        <v>#NAME?</v>
      </c>
      <c r="AL274" s="278">
        <v>775000000</v>
      </c>
      <c r="AM274" s="224" t="e">
        <f t="shared" ca="1" si="162"/>
        <v>#NAME?</v>
      </c>
      <c r="AN274" s="278">
        <v>0.02</v>
      </c>
      <c r="AO274" s="185" t="e">
        <f t="shared" ca="1" si="63"/>
        <v>#NAME?</v>
      </c>
      <c r="AP274" s="185" t="s">
        <v>264</v>
      </c>
      <c r="AQ274" s="16" t="s">
        <v>181</v>
      </c>
      <c r="AR274" s="16" t="s">
        <v>181</v>
      </c>
      <c r="AS274" s="16" t="s">
        <v>42</v>
      </c>
      <c r="AT274" s="159"/>
      <c r="AU274" s="159"/>
      <c r="AV274" s="16" t="s">
        <v>190</v>
      </c>
      <c r="AW274" s="16" t="s">
        <v>190</v>
      </c>
      <c r="AX274" s="16" t="s">
        <v>190</v>
      </c>
      <c r="AY274" s="16" t="s">
        <v>190</v>
      </c>
      <c r="AZ274" s="54">
        <v>0</v>
      </c>
      <c r="BA274" s="55" t="e">
        <f t="shared" ca="1" si="163"/>
        <v>#NAME?</v>
      </c>
      <c r="BB274" s="278">
        <v>220</v>
      </c>
      <c r="BC274" s="278">
        <v>0</v>
      </c>
      <c r="BD274" s="62" t="e">
        <f t="shared" ca="1" si="164"/>
        <v>#NAME?</v>
      </c>
      <c r="BE274" s="277">
        <f t="shared" si="165"/>
        <v>1</v>
      </c>
      <c r="BF274" s="62" t="e">
        <f t="shared" ca="1" si="166"/>
        <v>#NAME?</v>
      </c>
      <c r="BG274" s="16" t="s">
        <v>43</v>
      </c>
      <c r="BI274" s="16" t="s">
        <v>227</v>
      </c>
      <c r="BJ274" s="16">
        <v>1</v>
      </c>
      <c r="BK274" s="278">
        <v>1</v>
      </c>
      <c r="BL274" s="16" t="s">
        <v>190</v>
      </c>
      <c r="BM274" s="16" t="s">
        <v>190</v>
      </c>
      <c r="BN274" s="16" t="s">
        <v>190</v>
      </c>
      <c r="BO274" s="16" t="s">
        <v>190</v>
      </c>
      <c r="BP274" s="16">
        <v>1</v>
      </c>
      <c r="BQ274" s="16">
        <v>1</v>
      </c>
      <c r="BR274" s="16">
        <v>0</v>
      </c>
      <c r="BS274" s="16">
        <v>3</v>
      </c>
      <c r="BT274" s="205"/>
      <c r="BU274" s="16">
        <v>0</v>
      </c>
      <c r="BV274" s="16">
        <v>0</v>
      </c>
      <c r="BW274" s="16">
        <v>42</v>
      </c>
      <c r="BX274" s="16" t="s">
        <v>190</v>
      </c>
      <c r="BY274" s="205"/>
      <c r="CD274" s="205"/>
      <c r="CI274" s="205"/>
      <c r="CN274" s="205"/>
      <c r="CS274" s="205"/>
      <c r="CX274" s="205"/>
      <c r="DC274" s="205"/>
      <c r="DH274" s="205"/>
      <c r="DM274" s="205"/>
      <c r="DN274" s="205"/>
      <c r="DO274" s="205"/>
      <c r="DQ274" s="206"/>
      <c r="DR274" s="188">
        <f t="shared" si="64"/>
        <v>0</v>
      </c>
      <c r="DS274" s="188"/>
      <c r="DT274" s="189">
        <f t="shared" si="65"/>
        <v>0</v>
      </c>
      <c r="DU274" s="189"/>
      <c r="DV274" s="188">
        <f t="shared" si="66"/>
        <v>42</v>
      </c>
      <c r="DW274" s="183" t="e">
        <f t="shared" ca="1" si="67"/>
        <v>#NAME?</v>
      </c>
      <c r="DX274" s="207"/>
      <c r="DY274" s="190" t="e">
        <f t="shared" ca="1" si="68"/>
        <v>#NAME?</v>
      </c>
      <c r="DZ274" s="191" t="str">
        <f t="shared" si="412"/>
        <v/>
      </c>
      <c r="EA274" s="191" t="str">
        <f t="shared" si="413"/>
        <v/>
      </c>
      <c r="EB274" s="191" t="str">
        <f t="shared" si="414"/>
        <v/>
      </c>
      <c r="EC274" s="208" t="e">
        <f t="shared" ca="1" si="72"/>
        <v>#NAME?</v>
      </c>
      <c r="ED274" s="36" t="str">
        <f t="shared" si="73"/>
        <v>Equity - Preferred</v>
      </c>
      <c r="EE274" s="193">
        <f>COUNTIF($ED$2:$ED$92, ED274)/(COUNTIF($ED$2:$ED$92, "&lt;&gt;""") - COUNTIF($ED$2:$ED$92, ""))</f>
        <v>6.6666666666666666E-2</v>
      </c>
      <c r="EF274" s="36" t="str">
        <f t="shared" si="74"/>
        <v>Early</v>
      </c>
      <c r="EG274" s="207"/>
      <c r="EH274" s="194" t="e">
        <f t="shared" ca="1" si="75"/>
        <v>#NAME?</v>
      </c>
      <c r="EI274" s="194" t="e">
        <f t="shared" ca="1" si="76"/>
        <v>#NAME?</v>
      </c>
      <c r="EJ274" s="209" t="e">
        <f t="shared" ca="1" si="77"/>
        <v>#NAME?</v>
      </c>
      <c r="EK274" s="208" t="e">
        <f t="shared" ca="1" si="415"/>
        <v>#NAME?</v>
      </c>
      <c r="EL274" s="36" t="str">
        <f t="shared" si="79"/>
        <v>No</v>
      </c>
      <c r="EM274" s="207"/>
      <c r="EN274" s="192">
        <f t="shared" si="416"/>
        <v>1</v>
      </c>
      <c r="EO274" s="192">
        <f t="shared" si="417"/>
        <v>1</v>
      </c>
      <c r="EP274" s="209">
        <f t="shared" si="82"/>
        <v>2</v>
      </c>
      <c r="EQ274" s="210">
        <f t="shared" si="418"/>
        <v>1</v>
      </c>
      <c r="ER274" s="36" t="e">
        <f t="shared" ca="1" si="84"/>
        <v>#NAME?</v>
      </c>
      <c r="ES274" s="40">
        <f ca="1">COUNTIF($ER$2:$ER$92, ER274)/(COUNTIF($ER$2:$ER$92, "&lt;&gt;""") - COUNTIF($ER$2:$ER$92, ""))</f>
        <v>1</v>
      </c>
      <c r="ET274" s="36">
        <f t="shared" si="85"/>
        <v>1</v>
      </c>
      <c r="EU274" s="40">
        <f>COUNTIF($ET$2:$ET$92, ET274)/(COUNTIF($ET$2:$ET$92, "&lt;&gt;""") - COUNTIF($ET$2:$ET$92, ""))</f>
        <v>0.45555555555555555</v>
      </c>
      <c r="EV274" s="36">
        <f t="shared" si="86"/>
        <v>1</v>
      </c>
      <c r="EW274" s="40">
        <f>COUNTIF($EV$2:$EV$92, EV274)/(COUNTIF($EV$2:$EV$92, "&lt;&gt;""") - COUNTIF($EV$2:$EV$92, ""))</f>
        <v>7.7777777777777779E-2</v>
      </c>
      <c r="EX274" s="36" t="str">
        <f t="shared" si="87"/>
        <v>No</v>
      </c>
      <c r="EY274" s="40">
        <f>COUNTIF($EX$2:$EX$92, EX274)/(COUNTIF($EX$2:$EX$92, "&lt;&gt;""") - COUNTIF($EX$2:$EX$92, ""))</f>
        <v>0.72222222222222221</v>
      </c>
      <c r="EZ274" s="36" t="str">
        <f t="shared" ref="EZ274:FB274" si="427">BM274</f>
        <v>No</v>
      </c>
      <c r="FA274" s="36" t="str">
        <f t="shared" si="427"/>
        <v>No</v>
      </c>
      <c r="FB274" s="36" t="str">
        <f t="shared" si="427"/>
        <v>No</v>
      </c>
      <c r="FC274" s="207"/>
      <c r="FD274" s="36" t="str">
        <f t="shared" si="89"/>
        <v>Transactional</v>
      </c>
      <c r="FE274" s="40">
        <f>COUNTIF($FD$2:$FD$92, FD274)/(COUNTIF($FD$2:$FD$92, "&lt;&gt;""") - COUNTIF($FD$2:$FD$92, ""))</f>
        <v>0.6</v>
      </c>
      <c r="FF274" s="36" t="str">
        <f t="shared" si="90"/>
        <v>B2C</v>
      </c>
      <c r="FG274" s="40">
        <f>COUNTIF($FF$2:$FF$92, FF274)/(COUNTIF($FF$2:$FF$92, "&lt;&gt;""") - COUNTIF($FF$2:$FF$92, ""))</f>
        <v>0.41111111111111109</v>
      </c>
      <c r="FH274" s="36" t="str">
        <f t="shared" si="91"/>
        <v>Low</v>
      </c>
      <c r="FI274" s="40">
        <f>COUNTIF($FH$2:$FH$92, FH274)/(COUNTIF($FH$2:$FH$92, "&lt;&gt;""") - COUNTIF($FH$2:$FH$92, ""))</f>
        <v>0.46666666666666667</v>
      </c>
      <c r="FJ274" s="36" t="str">
        <f t="shared" si="92"/>
        <v>Low</v>
      </c>
      <c r="FK274" s="40">
        <f>COUNTIF($FJ$2:$FJ$92, FJ274)/(COUNTIF($FJ$2:$FJ$92, "&lt;&gt;""") - COUNTIF($FJ$2:$FJ$92, ""))</f>
        <v>0.41111111111111109</v>
      </c>
      <c r="FL274" s="207"/>
      <c r="FM274" s="192">
        <f t="shared" si="93"/>
        <v>1</v>
      </c>
      <c r="FN274" s="192" t="e">
        <f t="shared" ca="1" si="94"/>
        <v>#NAME?</v>
      </c>
      <c r="FO274" s="192" t="e">
        <f t="shared" ca="1" si="95"/>
        <v>#NAME?</v>
      </c>
      <c r="FP274" s="192" t="e">
        <f t="shared" ca="1" si="96"/>
        <v>#NAME?</v>
      </c>
      <c r="FQ274" s="209" t="e">
        <f t="shared" ca="1" si="97"/>
        <v>#NAME?</v>
      </c>
      <c r="FR274" s="208" t="e">
        <f t="shared" ca="1" si="420"/>
        <v>#NAME?</v>
      </c>
      <c r="FS274" s="36" t="str">
        <f t="shared" si="99"/>
        <v>Pre-Product</v>
      </c>
      <c r="FT274" s="196">
        <f>COUNTIF($FS$2:$FS$92, FS274)/(COUNTIF($FS$2:$FS$92, "&lt;&gt;""") - COUNTIF($FZ$2:$FZ$92, ""))</f>
        <v>0.22222222222222221</v>
      </c>
      <c r="FU274" s="207"/>
      <c r="FV274" s="192" t="e">
        <f t="shared" ca="1" si="100"/>
        <v>#NAME?</v>
      </c>
      <c r="FW274" s="197" t="e">
        <f t="shared" ca="1" si="101"/>
        <v>#NAME?</v>
      </c>
      <c r="FX274" s="209" t="e">
        <f t="shared" ca="1" si="102"/>
        <v>#NAME?</v>
      </c>
      <c r="FY274" s="211" t="e">
        <f t="shared" ca="1" si="421"/>
        <v>#NAME?</v>
      </c>
      <c r="FZ274" s="36" t="str">
        <f t="shared" si="104"/>
        <v>No</v>
      </c>
      <c r="GA274" s="196">
        <f>COUNTIF($FZ$2:$FZ$92, FZ274)/(COUNTIF($FZ$2:$FZ$92, "&lt;&gt;""") - COUNTIF($FZ$2:$FZ$92, ""))</f>
        <v>0.76666666666666672</v>
      </c>
      <c r="GB274" s="196">
        <f t="shared" si="105"/>
        <v>0</v>
      </c>
      <c r="GC274" s="196">
        <f>COUNTIF($GB$2:$GB$92, GB274)/(COUNTIF($GB$2:$GB$92, "&lt;&gt;""") - COUNTIF($GB$2:$GB$92, ""))</f>
        <v>1.1111111111111112E-2</v>
      </c>
      <c r="GD274" s="196">
        <f t="shared" si="106"/>
        <v>0</v>
      </c>
      <c r="GE274" s="196">
        <f>COUNTIF($GD$2:$GD$92, GD274)/(COUNTIF($GD$2:$GD$92, "&lt;&gt;""") - COUNTIF($GD$2:$GD$92, ""))</f>
        <v>1.1111111111111112E-2</v>
      </c>
      <c r="GF274" s="207"/>
      <c r="GG274" s="36"/>
      <c r="GH274" s="209" t="e">
        <f t="shared" ca="1" si="107"/>
        <v>#NAME?</v>
      </c>
      <c r="GI274" s="212" t="e">
        <f t="shared" ca="1" si="422"/>
        <v>#NAME?</v>
      </c>
    </row>
    <row r="275" spans="1:191" ht="15.75" customHeight="1">
      <c r="A275" s="171"/>
      <c r="B275" s="171" t="s">
        <v>501</v>
      </c>
      <c r="C275" s="16">
        <v>1803721</v>
      </c>
      <c r="D275" s="233" t="s">
        <v>1873</v>
      </c>
      <c r="E275" s="234">
        <v>43892.46597222222</v>
      </c>
      <c r="F275" s="16" t="s">
        <v>337</v>
      </c>
      <c r="G275" s="235" t="s">
        <v>1874</v>
      </c>
      <c r="H275" s="235" t="s">
        <v>1875</v>
      </c>
      <c r="I275" s="271">
        <v>43888</v>
      </c>
      <c r="J275" s="233" t="s">
        <v>1876</v>
      </c>
      <c r="K275" s="233" t="s">
        <v>1873</v>
      </c>
      <c r="M275" s="16" t="s">
        <v>323</v>
      </c>
      <c r="N275" s="16" t="s">
        <v>168</v>
      </c>
      <c r="O275" s="16" t="s">
        <v>30</v>
      </c>
      <c r="P275" s="16" t="s">
        <v>31</v>
      </c>
      <c r="Q275" s="16" t="s">
        <v>35</v>
      </c>
      <c r="S275" s="16" t="s">
        <v>216</v>
      </c>
      <c r="T275" s="237"/>
      <c r="U275" s="213"/>
      <c r="V275" s="54">
        <v>9000000</v>
      </c>
      <c r="W275" s="54"/>
      <c r="X275" s="226"/>
      <c r="Y275" s="55" t="str">
        <f t="shared" si="158"/>
        <v/>
      </c>
      <c r="Z275" s="274">
        <f t="shared" si="159"/>
        <v>9000000</v>
      </c>
      <c r="AA275" s="183" t="e">
        <f t="shared" ca="1" si="160"/>
        <v>#NAME?</v>
      </c>
      <c r="AB275" s="16" t="s">
        <v>178</v>
      </c>
      <c r="AC275" s="16" t="s">
        <v>218</v>
      </c>
      <c r="AD275" s="16" t="s">
        <v>38</v>
      </c>
      <c r="AE275" s="16" t="s">
        <v>227</v>
      </c>
      <c r="AF275" s="16" t="s">
        <v>39</v>
      </c>
      <c r="AG275" s="16" t="s">
        <v>181</v>
      </c>
      <c r="AH275" s="16" t="s">
        <v>190</v>
      </c>
      <c r="AI275" s="54"/>
      <c r="AJ275" s="278">
        <v>75570000000</v>
      </c>
      <c r="AK275" s="224" t="e">
        <f t="shared" ca="1" si="161"/>
        <v>#NAME?</v>
      </c>
      <c r="AL275" s="278">
        <v>75570000000</v>
      </c>
      <c r="AM275" s="224" t="e">
        <f t="shared" ca="1" si="162"/>
        <v>#NAME?</v>
      </c>
      <c r="AN275" s="278">
        <v>0.03</v>
      </c>
      <c r="AO275" s="185" t="e">
        <f t="shared" ca="1" si="63"/>
        <v>#NAME?</v>
      </c>
      <c r="AP275" s="185" t="s">
        <v>169</v>
      </c>
      <c r="AQ275" s="16" t="s">
        <v>39</v>
      </c>
      <c r="AR275" s="16" t="s">
        <v>181</v>
      </c>
      <c r="AS275" s="16" t="s">
        <v>42</v>
      </c>
      <c r="AT275" s="159"/>
      <c r="AU275" s="159"/>
      <c r="AV275" s="16" t="s">
        <v>190</v>
      </c>
      <c r="AW275" s="16" t="s">
        <v>190</v>
      </c>
      <c r="AX275" s="16" t="s">
        <v>227</v>
      </c>
      <c r="AY275" s="16" t="s">
        <v>227</v>
      </c>
      <c r="AZ275" s="54">
        <v>20273</v>
      </c>
      <c r="BA275" s="55" t="e">
        <f t="shared" ca="1" si="163"/>
        <v>#NAME?</v>
      </c>
      <c r="BB275" s="278">
        <v>874</v>
      </c>
      <c r="BC275" s="278">
        <v>0</v>
      </c>
      <c r="BD275" s="62" t="e">
        <f t="shared" ca="1" si="164"/>
        <v>#NAME?</v>
      </c>
      <c r="BE275" s="277">
        <f t="shared" si="165"/>
        <v>1</v>
      </c>
      <c r="BF275" s="62" t="e">
        <f t="shared" ca="1" si="166"/>
        <v>#NAME?</v>
      </c>
      <c r="BG275" s="16" t="s">
        <v>202</v>
      </c>
      <c r="BI275" s="16" t="s">
        <v>227</v>
      </c>
      <c r="BJ275" s="16">
        <v>3</v>
      </c>
      <c r="BK275" s="278">
        <v>2</v>
      </c>
      <c r="BL275" s="16" t="s">
        <v>190</v>
      </c>
      <c r="BM275" s="16" t="s">
        <v>190</v>
      </c>
      <c r="BN275" s="16" t="s">
        <v>190</v>
      </c>
      <c r="BO275" s="16" t="s">
        <v>190</v>
      </c>
      <c r="BP275" s="16">
        <v>2</v>
      </c>
      <c r="BQ275" s="16">
        <v>2</v>
      </c>
      <c r="BR275" s="16">
        <v>1</v>
      </c>
      <c r="BS275" s="16">
        <v>1</v>
      </c>
      <c r="BT275" s="205"/>
      <c r="BU275" s="16">
        <v>0</v>
      </c>
      <c r="BV275" s="16">
        <v>0</v>
      </c>
      <c r="BW275" s="16">
        <v>41</v>
      </c>
      <c r="BX275" s="16" t="s">
        <v>190</v>
      </c>
      <c r="BY275" s="205"/>
      <c r="BZ275" s="16">
        <v>0</v>
      </c>
      <c r="CA275" s="16">
        <v>0</v>
      </c>
      <c r="CB275" s="16">
        <v>41</v>
      </c>
      <c r="CC275" s="16" t="s">
        <v>190</v>
      </c>
      <c r="CD275" s="205"/>
      <c r="CI275" s="205"/>
      <c r="CN275" s="205"/>
      <c r="CS275" s="205"/>
      <c r="CX275" s="205"/>
      <c r="DC275" s="205"/>
      <c r="DH275" s="205"/>
      <c r="DM275" s="205"/>
      <c r="DN275" s="205"/>
      <c r="DO275" s="205"/>
      <c r="DQ275" s="206"/>
      <c r="DR275" s="188">
        <f t="shared" si="64"/>
        <v>0</v>
      </c>
      <c r="DS275" s="188"/>
      <c r="DT275" s="189">
        <f t="shared" si="65"/>
        <v>0</v>
      </c>
      <c r="DU275" s="189"/>
      <c r="DV275" s="188">
        <f t="shared" si="66"/>
        <v>41</v>
      </c>
      <c r="DW275" s="183" t="e">
        <f t="shared" ca="1" si="67"/>
        <v>#NAME?</v>
      </c>
      <c r="DX275" s="207"/>
      <c r="DY275" s="190" t="e">
        <f t="shared" ca="1" si="68"/>
        <v>#NAME?</v>
      </c>
      <c r="DZ275" s="191" t="str">
        <f t="shared" si="412"/>
        <v/>
      </c>
      <c r="EA275" s="191" t="str">
        <f t="shared" si="413"/>
        <v/>
      </c>
      <c r="EB275" s="191" t="str">
        <f t="shared" si="414"/>
        <v/>
      </c>
      <c r="EC275" s="208" t="e">
        <f t="shared" ca="1" si="72"/>
        <v>#NAME?</v>
      </c>
      <c r="ED275" s="36" t="str">
        <f t="shared" si="73"/>
        <v>Equity - Common</v>
      </c>
      <c r="EE275" s="193">
        <f>COUNTIF($ED$2:$ED$92, ED275)/(COUNTIF($ED$2:$ED$92, "&lt;&gt;""") - COUNTIF($ED$2:$ED$92, ""))</f>
        <v>0.32222222222222224</v>
      </c>
      <c r="EF275" s="36" t="str">
        <f t="shared" si="74"/>
        <v>Early</v>
      </c>
      <c r="EG275" s="207"/>
      <c r="EH275" s="194" t="e">
        <f t="shared" ca="1" si="75"/>
        <v>#NAME?</v>
      </c>
      <c r="EI275" s="194" t="e">
        <f t="shared" ca="1" si="76"/>
        <v>#NAME?</v>
      </c>
      <c r="EJ275" s="209" t="e">
        <f t="shared" ca="1" si="77"/>
        <v>#NAME?</v>
      </c>
      <c r="EK275" s="208" t="e">
        <f t="shared" ca="1" si="415"/>
        <v>#NAME?</v>
      </c>
      <c r="EL275" s="36" t="str">
        <f t="shared" si="79"/>
        <v>No</v>
      </c>
      <c r="EM275" s="207"/>
      <c r="EN275" s="192">
        <f t="shared" si="416"/>
        <v>1</v>
      </c>
      <c r="EO275" s="192">
        <f t="shared" si="417"/>
        <v>1</v>
      </c>
      <c r="EP275" s="209">
        <f t="shared" si="82"/>
        <v>2</v>
      </c>
      <c r="EQ275" s="210">
        <f t="shared" si="418"/>
        <v>1</v>
      </c>
      <c r="ER275" s="36" t="e">
        <f t="shared" ca="1" si="84"/>
        <v>#NAME?</v>
      </c>
      <c r="ES275" s="40">
        <f ca="1">COUNTIF($ER$2:$ER$92, ER275)/(COUNTIF($ER$2:$ER$92, "&lt;&gt;""") - COUNTIF($ER$2:$ER$92, ""))</f>
        <v>1</v>
      </c>
      <c r="ET275" s="36">
        <f t="shared" si="85"/>
        <v>2</v>
      </c>
      <c r="EU275" s="40">
        <f>COUNTIF($ET$2:$ET$92, ET275)/(COUNTIF($ET$2:$ET$92, "&lt;&gt;""") - COUNTIF($ET$2:$ET$92, ""))</f>
        <v>0.45555555555555555</v>
      </c>
      <c r="EV275" s="36">
        <f t="shared" si="86"/>
        <v>2</v>
      </c>
      <c r="EW275" s="40">
        <f>COUNTIF($EV$2:$EV$92, EV275)/(COUNTIF($EV$2:$EV$92, "&lt;&gt;""") - COUNTIF($EV$2:$EV$92, ""))</f>
        <v>0.15555555555555556</v>
      </c>
      <c r="EX275" s="36" t="str">
        <f t="shared" si="87"/>
        <v>No</v>
      </c>
      <c r="EY275" s="40">
        <f>COUNTIF($EX$2:$EX$92, EX275)/(COUNTIF($EX$2:$EX$92, "&lt;&gt;""") - COUNTIF($EX$2:$EX$92, ""))</f>
        <v>0.72222222222222221</v>
      </c>
      <c r="EZ275" s="36" t="str">
        <f t="shared" ref="EZ275:FB275" si="428">BM275</f>
        <v>No</v>
      </c>
      <c r="FA275" s="36" t="str">
        <f t="shared" si="428"/>
        <v>No</v>
      </c>
      <c r="FB275" s="36" t="str">
        <f t="shared" si="428"/>
        <v>No</v>
      </c>
      <c r="FC275" s="207"/>
      <c r="FD275" s="36" t="str">
        <f t="shared" si="89"/>
        <v>Recurring</v>
      </c>
      <c r="FE275" s="40">
        <f>COUNTIF($FD$2:$FD$92, FD275)/(COUNTIF($FD$2:$FD$92, "&lt;&gt;""") - COUNTIF($FD$2:$FD$92, ""))</f>
        <v>0.4</v>
      </c>
      <c r="FF275" s="36" t="str">
        <f t="shared" si="90"/>
        <v>B2B/B2C</v>
      </c>
      <c r="FG275" s="40">
        <f>COUNTIF($FF$2:$FF$92, FF275)/(COUNTIF($FF$2:$FF$92, "&lt;&gt;""") - COUNTIF($FF$2:$FF$92, ""))</f>
        <v>0.27777777777777779</v>
      </c>
      <c r="FH275" s="36" t="str">
        <f t="shared" si="91"/>
        <v>High</v>
      </c>
      <c r="FI275" s="40">
        <f>COUNTIF($FH$2:$FH$92, FH275)/(COUNTIF($FH$2:$FH$92, "&lt;&gt;""") - COUNTIF($FH$2:$FH$92, ""))</f>
        <v>0.53333333333333333</v>
      </c>
      <c r="FJ275" s="36" t="str">
        <f t="shared" si="92"/>
        <v>Low</v>
      </c>
      <c r="FK275" s="40">
        <f>COUNTIF($FJ$2:$FJ$92, FJ275)/(COUNTIF($FJ$2:$FJ$92, "&lt;&gt;""") - COUNTIF($FJ$2:$FJ$92, ""))</f>
        <v>0.41111111111111109</v>
      </c>
      <c r="FL275" s="207"/>
      <c r="FM275" s="192">
        <f t="shared" si="93"/>
        <v>5</v>
      </c>
      <c r="FN275" s="192" t="e">
        <f t="shared" ca="1" si="94"/>
        <v>#NAME?</v>
      </c>
      <c r="FO275" s="192" t="e">
        <f t="shared" ca="1" si="95"/>
        <v>#NAME?</v>
      </c>
      <c r="FP275" s="192" t="e">
        <f t="shared" ca="1" si="96"/>
        <v>#NAME?</v>
      </c>
      <c r="FQ275" s="209" t="e">
        <f t="shared" ca="1" si="97"/>
        <v>#NAME?</v>
      </c>
      <c r="FR275" s="208" t="e">
        <f t="shared" ca="1" si="420"/>
        <v>#NAME?</v>
      </c>
      <c r="FS275" s="36" t="str">
        <f t="shared" si="99"/>
        <v>Pre-Profit</v>
      </c>
      <c r="FT275" s="196">
        <f>COUNTIF($FS$2:$FS$92, FS275)/(COUNTIF($FS$2:$FS$92, "&lt;&gt;""") - COUNTIF($FZ$2:$FZ$92, ""))</f>
        <v>0.51111111111111107</v>
      </c>
      <c r="FU275" s="207"/>
      <c r="FV275" s="192">
        <f t="shared" si="100"/>
        <v>3</v>
      </c>
      <c r="FW275" s="197" t="e">
        <f t="shared" ca="1" si="101"/>
        <v>#NAME?</v>
      </c>
      <c r="FX275" s="209" t="e">
        <f t="shared" ca="1" si="102"/>
        <v>#NAME?</v>
      </c>
      <c r="FY275" s="211" t="e">
        <f t="shared" ca="1" si="421"/>
        <v>#NAME?</v>
      </c>
      <c r="FZ275" s="36" t="str">
        <f t="shared" si="104"/>
        <v>No</v>
      </c>
      <c r="GA275" s="196">
        <f>COUNTIF($FZ$2:$FZ$92, FZ275)/(COUNTIF($FZ$2:$FZ$92, "&lt;&gt;""") - COUNTIF($FZ$2:$FZ$92, ""))</f>
        <v>0.76666666666666672</v>
      </c>
      <c r="GB275" s="196">
        <f t="shared" si="105"/>
        <v>0</v>
      </c>
      <c r="GC275" s="196">
        <f>COUNTIF($GB$2:$GB$92, GB275)/(COUNTIF($GB$2:$GB$92, "&lt;&gt;""") - COUNTIF($GB$2:$GB$92, ""))</f>
        <v>1.1111111111111112E-2</v>
      </c>
      <c r="GD275" s="196">
        <f t="shared" si="106"/>
        <v>0</v>
      </c>
      <c r="GE275" s="196">
        <f>COUNTIF($GD$2:$GD$92, GD275)/(COUNTIF($GD$2:$GD$92, "&lt;&gt;""") - COUNTIF($GD$2:$GD$92, ""))</f>
        <v>1.1111111111111112E-2</v>
      </c>
      <c r="GF275" s="207"/>
      <c r="GG275" s="36"/>
      <c r="GH275" s="209" t="e">
        <f t="shared" ca="1" si="107"/>
        <v>#NAME?</v>
      </c>
      <c r="GI275" s="212" t="e">
        <f t="shared" ca="1" si="422"/>
        <v>#NAME?</v>
      </c>
    </row>
    <row r="276" spans="1:191" ht="15.75" customHeight="1">
      <c r="A276" s="171"/>
      <c r="B276" s="171" t="s">
        <v>501</v>
      </c>
      <c r="C276" s="16">
        <v>1803728</v>
      </c>
      <c r="D276" s="233" t="s">
        <v>1877</v>
      </c>
      <c r="E276" s="234">
        <v>43892.47152777778</v>
      </c>
      <c r="F276" s="16" t="s">
        <v>337</v>
      </c>
      <c r="G276" s="235" t="s">
        <v>1878</v>
      </c>
      <c r="H276" s="235" t="s">
        <v>1879</v>
      </c>
      <c r="I276" s="271">
        <v>43894</v>
      </c>
      <c r="J276" s="233" t="s">
        <v>1880</v>
      </c>
      <c r="K276" s="233" t="s">
        <v>1877</v>
      </c>
      <c r="M276" s="35" t="s">
        <v>293</v>
      </c>
      <c r="N276" s="16" t="s">
        <v>168</v>
      </c>
      <c r="O276" s="16" t="s">
        <v>30</v>
      </c>
      <c r="P276" s="16" t="s">
        <v>174</v>
      </c>
      <c r="Q276" s="16" t="s">
        <v>35</v>
      </c>
      <c r="S276" s="16" t="s">
        <v>216</v>
      </c>
      <c r="T276" s="237"/>
      <c r="U276" s="213"/>
      <c r="V276" s="54">
        <v>6030000</v>
      </c>
      <c r="W276" s="54"/>
      <c r="X276" s="226"/>
      <c r="Y276" s="55" t="str">
        <f t="shared" si="158"/>
        <v/>
      </c>
      <c r="Z276" s="274">
        <f t="shared" si="159"/>
        <v>6030000</v>
      </c>
      <c r="AA276" s="183" t="e">
        <f t="shared" ca="1" si="160"/>
        <v>#NAME?</v>
      </c>
      <c r="AB276" s="16" t="s">
        <v>178</v>
      </c>
      <c r="AC276" s="16" t="s">
        <v>218</v>
      </c>
      <c r="AD276" s="16" t="s">
        <v>38</v>
      </c>
      <c r="AE276" s="16" t="s">
        <v>227</v>
      </c>
      <c r="AF276" s="16" t="s">
        <v>181</v>
      </c>
      <c r="AG276" s="16" t="s">
        <v>181</v>
      </c>
      <c r="AH276" s="16" t="s">
        <v>190</v>
      </c>
      <c r="AI276" s="54"/>
      <c r="AJ276" s="278">
        <v>62880000000</v>
      </c>
      <c r="AK276" s="224" t="e">
        <f t="shared" ca="1" si="161"/>
        <v>#NAME?</v>
      </c>
      <c r="AL276" s="278">
        <v>62880000000</v>
      </c>
      <c r="AM276" s="224" t="e">
        <f t="shared" ca="1" si="162"/>
        <v>#NAME?</v>
      </c>
      <c r="AN276" s="278">
        <v>0.05</v>
      </c>
      <c r="AO276" s="185" t="e">
        <f t="shared" ca="1" si="63"/>
        <v>#NAME?</v>
      </c>
      <c r="AP276" s="185" t="s">
        <v>264</v>
      </c>
      <c r="AQ276" s="16" t="s">
        <v>181</v>
      </c>
      <c r="AR276" s="16" t="s">
        <v>181</v>
      </c>
      <c r="AS276" s="16" t="s">
        <v>42</v>
      </c>
      <c r="AT276" s="159"/>
      <c r="AU276" s="159"/>
      <c r="AV276" s="16" t="s">
        <v>190</v>
      </c>
      <c r="AW276" s="16" t="s">
        <v>190</v>
      </c>
      <c r="AX276" s="16" t="s">
        <v>227</v>
      </c>
      <c r="AY276" s="16" t="s">
        <v>227</v>
      </c>
      <c r="AZ276" s="54">
        <v>9450</v>
      </c>
      <c r="BA276" s="55" t="e">
        <f t="shared" ca="1" si="163"/>
        <v>#NAME?</v>
      </c>
      <c r="BB276" s="278">
        <v>19784</v>
      </c>
      <c r="BC276" s="278">
        <v>1235000</v>
      </c>
      <c r="BD276" s="62" t="e">
        <f t="shared" ca="1" si="164"/>
        <v>#NAME?</v>
      </c>
      <c r="BE276" s="277">
        <f t="shared" si="165"/>
        <v>1.6019433198380569E-2</v>
      </c>
      <c r="BF276" s="62" t="e">
        <f t="shared" ca="1" si="166"/>
        <v>#NAME?</v>
      </c>
      <c r="BG276" s="16" t="s">
        <v>202</v>
      </c>
      <c r="BI276" s="16" t="s">
        <v>227</v>
      </c>
      <c r="BJ276" s="16">
        <v>0</v>
      </c>
      <c r="BK276" s="278">
        <v>4</v>
      </c>
      <c r="BL276" s="16" t="s">
        <v>227</v>
      </c>
      <c r="BM276" s="16" t="s">
        <v>190</v>
      </c>
      <c r="BN276" s="16" t="s">
        <v>227</v>
      </c>
      <c r="BO276" s="16" t="s">
        <v>190</v>
      </c>
      <c r="BP276" s="16">
        <v>2</v>
      </c>
      <c r="BQ276" s="16">
        <v>4</v>
      </c>
      <c r="BR276" s="16">
        <v>0</v>
      </c>
      <c r="BS276" s="16">
        <v>0</v>
      </c>
      <c r="BT276" s="205"/>
      <c r="BU276" s="16">
        <v>0</v>
      </c>
      <c r="BV276" s="16">
        <v>0</v>
      </c>
      <c r="BW276" s="16">
        <v>42</v>
      </c>
      <c r="BX276" s="16" t="s">
        <v>190</v>
      </c>
      <c r="BY276" s="205"/>
      <c r="BZ276" s="16">
        <v>7</v>
      </c>
      <c r="CD276" s="205"/>
      <c r="CE276" s="16">
        <v>0</v>
      </c>
      <c r="CF276" s="16">
        <v>0</v>
      </c>
      <c r="CG276" s="16">
        <v>28</v>
      </c>
      <c r="CH276" s="16" t="s">
        <v>190</v>
      </c>
      <c r="CI276" s="205"/>
      <c r="CJ276" s="16">
        <v>0</v>
      </c>
      <c r="CK276" s="16">
        <v>0</v>
      </c>
      <c r="CN276" s="205"/>
      <c r="CS276" s="205"/>
      <c r="CX276" s="205"/>
      <c r="DC276" s="205"/>
      <c r="DH276" s="205"/>
      <c r="DM276" s="205"/>
      <c r="DN276" s="205"/>
      <c r="DO276" s="205"/>
      <c r="DQ276" s="206"/>
      <c r="DR276" s="188">
        <f t="shared" si="64"/>
        <v>1.75</v>
      </c>
      <c r="DS276" s="188"/>
      <c r="DT276" s="189">
        <f t="shared" si="65"/>
        <v>0</v>
      </c>
      <c r="DU276" s="189"/>
      <c r="DV276" s="188">
        <f t="shared" si="66"/>
        <v>35</v>
      </c>
      <c r="DW276" s="183" t="e">
        <f t="shared" ca="1" si="67"/>
        <v>#NAME?</v>
      </c>
      <c r="DX276" s="207"/>
      <c r="DY276" s="190" t="e">
        <f t="shared" ca="1" si="68"/>
        <v>#NAME?</v>
      </c>
      <c r="DZ276" s="191" t="str">
        <f t="shared" si="412"/>
        <v/>
      </c>
      <c r="EA276" s="191" t="str">
        <f t="shared" si="413"/>
        <v/>
      </c>
      <c r="EB276" s="191" t="str">
        <f t="shared" si="414"/>
        <v/>
      </c>
      <c r="EC276" s="208" t="e">
        <f t="shared" ca="1" si="72"/>
        <v>#NAME?</v>
      </c>
      <c r="ED276" s="36" t="str">
        <f t="shared" si="73"/>
        <v>Equity - Common</v>
      </c>
      <c r="EE276" s="193">
        <f>COUNTIF($ED$2:$ED$92, ED276)/(COUNTIF($ED$2:$ED$92, "&lt;&gt;""") - COUNTIF($ED$2:$ED$92, ""))</f>
        <v>0.32222222222222224</v>
      </c>
      <c r="EF276" s="36" t="str">
        <f t="shared" si="74"/>
        <v>Early</v>
      </c>
      <c r="EG276" s="207"/>
      <c r="EH276" s="194" t="e">
        <f t="shared" ca="1" si="75"/>
        <v>#NAME?</v>
      </c>
      <c r="EI276" s="194" t="e">
        <f t="shared" ca="1" si="76"/>
        <v>#NAME?</v>
      </c>
      <c r="EJ276" s="209" t="e">
        <f t="shared" ca="1" si="77"/>
        <v>#NAME?</v>
      </c>
      <c r="EK276" s="208" t="e">
        <f t="shared" ca="1" si="415"/>
        <v>#NAME?</v>
      </c>
      <c r="EL276" s="36" t="str">
        <f t="shared" si="79"/>
        <v>No</v>
      </c>
      <c r="EM276" s="207"/>
      <c r="EN276" s="192">
        <f t="shared" si="416"/>
        <v>1.1666666666666667</v>
      </c>
      <c r="EO276" s="192">
        <f t="shared" si="417"/>
        <v>1</v>
      </c>
      <c r="EP276" s="209">
        <f t="shared" si="82"/>
        <v>2.166666666666667</v>
      </c>
      <c r="EQ276" s="210">
        <f t="shared" si="418"/>
        <v>1.1308411214953273</v>
      </c>
      <c r="ER276" s="36" t="e">
        <f t="shared" ca="1" si="84"/>
        <v>#NAME?</v>
      </c>
      <c r="ES276" s="40">
        <f ca="1">COUNTIF($ER$2:$ER$92, ER276)/(COUNTIF($ER$2:$ER$92, "&lt;&gt;""") - COUNTIF($ER$2:$ER$92, ""))</f>
        <v>1</v>
      </c>
      <c r="ET276" s="36">
        <f t="shared" si="85"/>
        <v>4</v>
      </c>
      <c r="EU276" s="40">
        <f>COUNTIF($ET$2:$ET$92, ET276)/(COUNTIF($ET$2:$ET$92, "&lt;&gt;""") - COUNTIF($ET$2:$ET$92, ""))</f>
        <v>4.4444444444444446E-2</v>
      </c>
      <c r="EV276" s="36">
        <f t="shared" si="86"/>
        <v>4</v>
      </c>
      <c r="EW276" s="40">
        <f>COUNTIF($EV$2:$EV$92, EV276)/(COUNTIF($EV$2:$EV$92, "&lt;&gt;""") - COUNTIF($EV$2:$EV$92, ""))</f>
        <v>0.12222222222222222</v>
      </c>
      <c r="EX276" s="36" t="str">
        <f t="shared" si="87"/>
        <v>Yes</v>
      </c>
      <c r="EY276" s="40">
        <f>COUNTIF($EX$2:$EX$92, EX276)/(COUNTIF($EX$2:$EX$92, "&lt;&gt;""") - COUNTIF($EX$2:$EX$92, ""))</f>
        <v>0.27777777777777779</v>
      </c>
      <c r="EZ276" s="36" t="str">
        <f t="shared" ref="EZ276:FB276" si="429">BM276</f>
        <v>No</v>
      </c>
      <c r="FA276" s="36" t="str">
        <f t="shared" si="429"/>
        <v>Yes</v>
      </c>
      <c r="FB276" s="36" t="str">
        <f t="shared" si="429"/>
        <v>No</v>
      </c>
      <c r="FC276" s="207"/>
      <c r="FD276" s="36" t="str">
        <f t="shared" si="89"/>
        <v>Recurring</v>
      </c>
      <c r="FE276" s="40">
        <f>COUNTIF($FD$2:$FD$92, FD276)/(COUNTIF($FD$2:$FD$92, "&lt;&gt;""") - COUNTIF($FD$2:$FD$92, ""))</f>
        <v>0.4</v>
      </c>
      <c r="FF276" s="36" t="str">
        <f t="shared" si="90"/>
        <v>B2B/B2C</v>
      </c>
      <c r="FG276" s="40">
        <f>COUNTIF($FF$2:$FF$92, FF276)/(COUNTIF($FF$2:$FF$92, "&lt;&gt;""") - COUNTIF($FF$2:$FF$92, ""))</f>
        <v>0.27777777777777779</v>
      </c>
      <c r="FH276" s="36" t="str">
        <f t="shared" si="91"/>
        <v>Low</v>
      </c>
      <c r="FI276" s="40">
        <f>COUNTIF($FH$2:$FH$92, FH276)/(COUNTIF($FH$2:$FH$92, "&lt;&gt;""") - COUNTIF($FH$2:$FH$92, ""))</f>
        <v>0.46666666666666667</v>
      </c>
      <c r="FJ276" s="36" t="str">
        <f t="shared" si="92"/>
        <v>Low</v>
      </c>
      <c r="FK276" s="40">
        <f>COUNTIF($FJ$2:$FJ$92, FJ276)/(COUNTIF($FJ$2:$FJ$92, "&lt;&gt;""") - COUNTIF($FJ$2:$FJ$92, ""))</f>
        <v>0.41111111111111109</v>
      </c>
      <c r="FL276" s="207"/>
      <c r="FM276" s="192">
        <f t="shared" si="93"/>
        <v>5</v>
      </c>
      <c r="FN276" s="192" t="e">
        <f t="shared" ca="1" si="94"/>
        <v>#NAME?</v>
      </c>
      <c r="FO276" s="192" t="e">
        <f t="shared" ca="1" si="95"/>
        <v>#NAME?</v>
      </c>
      <c r="FP276" s="192" t="e">
        <f t="shared" ca="1" si="96"/>
        <v>#NAME?</v>
      </c>
      <c r="FQ276" s="209" t="e">
        <f t="shared" ca="1" si="97"/>
        <v>#NAME?</v>
      </c>
      <c r="FR276" s="208" t="e">
        <f t="shared" ca="1" si="420"/>
        <v>#NAME?</v>
      </c>
      <c r="FS276" s="36" t="str">
        <f t="shared" si="99"/>
        <v>Pre-Profit</v>
      </c>
      <c r="FT276" s="196">
        <f>COUNTIF($FS$2:$FS$92, FS276)/(COUNTIF($FS$2:$FS$92, "&lt;&gt;""") - COUNTIF($FZ$2:$FZ$92, ""))</f>
        <v>0.51111111111111107</v>
      </c>
      <c r="FU276" s="207"/>
      <c r="FV276" s="192" t="e">
        <f t="shared" ca="1" si="100"/>
        <v>#NAME?</v>
      </c>
      <c r="FW276" s="197" t="e">
        <f t="shared" ca="1" si="101"/>
        <v>#NAME?</v>
      </c>
      <c r="FX276" s="209" t="e">
        <f t="shared" ca="1" si="102"/>
        <v>#NAME?</v>
      </c>
      <c r="FY276" s="211" t="e">
        <f t="shared" ca="1" si="421"/>
        <v>#NAME?</v>
      </c>
      <c r="FZ276" s="36" t="str">
        <f t="shared" si="104"/>
        <v>No</v>
      </c>
      <c r="GA276" s="196">
        <f>COUNTIF($FZ$2:$FZ$92, FZ276)/(COUNTIF($FZ$2:$FZ$92, "&lt;&gt;""") - COUNTIF($FZ$2:$FZ$92, ""))</f>
        <v>0.76666666666666672</v>
      </c>
      <c r="GB276" s="196">
        <f t="shared" si="105"/>
        <v>0</v>
      </c>
      <c r="GC276" s="196">
        <f>COUNTIF($GB$2:$GB$92, GB276)/(COUNTIF($GB$2:$GB$92, "&lt;&gt;""") - COUNTIF($GB$2:$GB$92, ""))</f>
        <v>1.1111111111111112E-2</v>
      </c>
      <c r="GD276" s="196">
        <f t="shared" si="106"/>
        <v>0</v>
      </c>
      <c r="GE276" s="196">
        <f>COUNTIF($GD$2:$GD$92, GD276)/(COUNTIF($GD$2:$GD$92, "&lt;&gt;""") - COUNTIF($GD$2:$GD$92, ""))</f>
        <v>1.1111111111111112E-2</v>
      </c>
      <c r="GF276" s="207"/>
      <c r="GG276" s="36"/>
      <c r="GH276" s="209" t="e">
        <f t="shared" ca="1" si="107"/>
        <v>#NAME?</v>
      </c>
      <c r="GI276" s="212" t="e">
        <f t="shared" ca="1" si="422"/>
        <v>#NAME?</v>
      </c>
    </row>
    <row r="277" spans="1:191" ht="15.75" customHeight="1">
      <c r="A277" s="171"/>
      <c r="B277" s="171" t="s">
        <v>501</v>
      </c>
      <c r="C277" s="16">
        <v>1803730</v>
      </c>
      <c r="D277" s="233" t="s">
        <v>1881</v>
      </c>
      <c r="E277" s="234">
        <v>43892.477777777778</v>
      </c>
      <c r="F277" s="16" t="s">
        <v>337</v>
      </c>
      <c r="G277" s="235" t="s">
        <v>1882</v>
      </c>
      <c r="H277" s="235" t="s">
        <v>1883</v>
      </c>
      <c r="I277" s="271">
        <v>43889</v>
      </c>
      <c r="J277" s="233" t="s">
        <v>1884</v>
      </c>
      <c r="K277" s="233" t="s">
        <v>1881</v>
      </c>
      <c r="M277" s="35" t="s">
        <v>293</v>
      </c>
      <c r="N277" s="16" t="s">
        <v>168</v>
      </c>
      <c r="O277" s="16" t="s">
        <v>173</v>
      </c>
      <c r="P277" s="16" t="s">
        <v>197</v>
      </c>
      <c r="Q277" s="16" t="s">
        <v>35</v>
      </c>
      <c r="S277" s="16" t="s">
        <v>216</v>
      </c>
      <c r="T277" s="237"/>
      <c r="U277" s="213"/>
      <c r="V277" s="54">
        <v>6250010</v>
      </c>
      <c r="W277" s="54"/>
      <c r="X277" s="226"/>
      <c r="Y277" s="55" t="str">
        <f t="shared" si="158"/>
        <v/>
      </c>
      <c r="Z277" s="274">
        <f t="shared" si="159"/>
        <v>6250010</v>
      </c>
      <c r="AA277" s="183" t="e">
        <f t="shared" ca="1" si="160"/>
        <v>#NAME?</v>
      </c>
      <c r="AB277" s="16" t="s">
        <v>36</v>
      </c>
      <c r="AC277" s="16" t="s">
        <v>218</v>
      </c>
      <c r="AD277" s="16" t="s">
        <v>38</v>
      </c>
      <c r="AE277" s="16" t="s">
        <v>227</v>
      </c>
      <c r="AF277" s="16" t="s">
        <v>181</v>
      </c>
      <c r="AG277" s="16" t="s">
        <v>181</v>
      </c>
      <c r="AH277" s="16" t="s">
        <v>190</v>
      </c>
      <c r="AI277" s="54"/>
      <c r="AJ277" s="278">
        <v>104100000000</v>
      </c>
      <c r="AK277" s="224" t="e">
        <f t="shared" ca="1" si="161"/>
        <v>#NAME?</v>
      </c>
      <c r="AL277" s="278">
        <v>31840000000</v>
      </c>
      <c r="AM277" s="224" t="e">
        <f t="shared" ca="1" si="162"/>
        <v>#NAME?</v>
      </c>
      <c r="AN277" s="278">
        <v>0.05</v>
      </c>
      <c r="AO277" s="185" t="e">
        <f t="shared" ca="1" si="63"/>
        <v>#NAME?</v>
      </c>
      <c r="AP277" s="185" t="s">
        <v>211</v>
      </c>
      <c r="AQ277" s="16" t="s">
        <v>181</v>
      </c>
      <c r="AR277" s="16" t="s">
        <v>181</v>
      </c>
      <c r="AS277" s="16" t="s">
        <v>42</v>
      </c>
      <c r="AT277" s="159"/>
      <c r="AU277" s="159"/>
      <c r="AV277" s="16" t="s">
        <v>190</v>
      </c>
      <c r="AW277" s="16" t="s">
        <v>190</v>
      </c>
      <c r="AX277" s="16" t="s">
        <v>227</v>
      </c>
      <c r="AY277" s="16" t="s">
        <v>227</v>
      </c>
      <c r="AZ277" s="54">
        <v>549924</v>
      </c>
      <c r="BA277" s="55" t="e">
        <f t="shared" ca="1" si="163"/>
        <v>#NAME?</v>
      </c>
      <c r="BB277" s="278">
        <v>3786</v>
      </c>
      <c r="BC277" s="278">
        <v>737283</v>
      </c>
      <c r="BD277" s="62" t="e">
        <f t="shared" ca="1" si="164"/>
        <v>#NAME?</v>
      </c>
      <c r="BE277" s="277">
        <f t="shared" si="165"/>
        <v>5.1350702511789911E-3</v>
      </c>
      <c r="BF277" s="62" t="e">
        <f t="shared" ca="1" si="166"/>
        <v>#NAME?</v>
      </c>
      <c r="BG277" s="16" t="s">
        <v>202</v>
      </c>
      <c r="BI277" s="16" t="s">
        <v>227</v>
      </c>
      <c r="BJ277" s="16">
        <v>16</v>
      </c>
      <c r="BK277" s="278">
        <v>1</v>
      </c>
      <c r="BL277" s="16" t="s">
        <v>227</v>
      </c>
      <c r="BM277" s="16" t="s">
        <v>227</v>
      </c>
      <c r="BN277" s="16" t="s">
        <v>190</v>
      </c>
      <c r="BO277" s="16" t="s">
        <v>190</v>
      </c>
      <c r="BP277" s="16">
        <v>1</v>
      </c>
      <c r="BQ277" s="16">
        <v>2</v>
      </c>
      <c r="BR277" s="16">
        <v>7</v>
      </c>
      <c r="BS277" s="16">
        <v>0</v>
      </c>
      <c r="BT277" s="205"/>
      <c r="BU277" s="16">
        <v>7</v>
      </c>
      <c r="BV277" s="16">
        <v>0</v>
      </c>
      <c r="BW277" s="16">
        <v>57</v>
      </c>
      <c r="BX277" s="16" t="s">
        <v>190</v>
      </c>
      <c r="BY277" s="205"/>
      <c r="CD277" s="205"/>
      <c r="CI277" s="205"/>
      <c r="CN277" s="205"/>
      <c r="CS277" s="205"/>
      <c r="CX277" s="205"/>
      <c r="DC277" s="205"/>
      <c r="DH277" s="205"/>
      <c r="DM277" s="205"/>
      <c r="DN277" s="205"/>
      <c r="DO277" s="205"/>
      <c r="DQ277" s="206"/>
      <c r="DR277" s="188">
        <f t="shared" si="64"/>
        <v>7</v>
      </c>
      <c r="DS277" s="188"/>
      <c r="DT277" s="189">
        <f t="shared" si="65"/>
        <v>0</v>
      </c>
      <c r="DU277" s="189"/>
      <c r="DV277" s="188">
        <f t="shared" si="66"/>
        <v>57</v>
      </c>
      <c r="DW277" s="183" t="e">
        <f t="shared" ca="1" si="67"/>
        <v>#NAME?</v>
      </c>
      <c r="DX277" s="207"/>
      <c r="DY277" s="190" t="e">
        <f t="shared" ca="1" si="68"/>
        <v>#NAME?</v>
      </c>
      <c r="DZ277" s="191" t="str">
        <f t="shared" si="412"/>
        <v/>
      </c>
      <c r="EA277" s="191" t="str">
        <f t="shared" si="413"/>
        <v/>
      </c>
      <c r="EB277" s="191" t="str">
        <f t="shared" si="414"/>
        <v/>
      </c>
      <c r="EC277" s="208" t="e">
        <f t="shared" ca="1" si="72"/>
        <v>#NAME?</v>
      </c>
      <c r="ED277" s="36" t="str">
        <f t="shared" si="73"/>
        <v>Equity - Common</v>
      </c>
      <c r="EE277" s="193">
        <f>COUNTIF($ED$2:$ED$92, ED277)/(COUNTIF($ED$2:$ED$92, "&lt;&gt;""") - COUNTIF($ED$2:$ED$92, ""))</f>
        <v>0.32222222222222224</v>
      </c>
      <c r="EF277" s="36" t="str">
        <f t="shared" si="74"/>
        <v>Growth</v>
      </c>
      <c r="EG277" s="207"/>
      <c r="EH277" s="194" t="e">
        <f t="shared" ca="1" si="75"/>
        <v>#NAME?</v>
      </c>
      <c r="EI277" s="194" t="e">
        <f t="shared" ca="1" si="76"/>
        <v>#NAME?</v>
      </c>
      <c r="EJ277" s="209" t="e">
        <f t="shared" ca="1" si="77"/>
        <v>#NAME?</v>
      </c>
      <c r="EK277" s="208" t="e">
        <f t="shared" ca="1" si="415"/>
        <v>#NAME?</v>
      </c>
      <c r="EL277" s="36" t="str">
        <f t="shared" si="79"/>
        <v>No</v>
      </c>
      <c r="EM277" s="207"/>
      <c r="EN277" s="192">
        <f t="shared" si="416"/>
        <v>1.6666666666666665</v>
      </c>
      <c r="EO277" s="192">
        <f t="shared" si="417"/>
        <v>1</v>
      </c>
      <c r="EP277" s="209">
        <f t="shared" si="82"/>
        <v>2.6666666666666665</v>
      </c>
      <c r="EQ277" s="210">
        <f t="shared" si="418"/>
        <v>1.5233644859813085</v>
      </c>
      <c r="ER277" s="36" t="e">
        <f t="shared" ca="1" si="84"/>
        <v>#NAME?</v>
      </c>
      <c r="ES277" s="40">
        <f ca="1">COUNTIF($ER$2:$ER$92, ER277)/(COUNTIF($ER$2:$ER$92, "&lt;&gt;""") - COUNTIF($ER$2:$ER$92, ""))</f>
        <v>1</v>
      </c>
      <c r="ET277" s="36">
        <f t="shared" si="85"/>
        <v>1</v>
      </c>
      <c r="EU277" s="40">
        <f>COUNTIF($ET$2:$ET$92, ET277)/(COUNTIF($ET$2:$ET$92, "&lt;&gt;""") - COUNTIF($ET$2:$ET$92, ""))</f>
        <v>0.45555555555555555</v>
      </c>
      <c r="EV277" s="36">
        <f t="shared" si="86"/>
        <v>2</v>
      </c>
      <c r="EW277" s="40">
        <f>COUNTIF($EV$2:$EV$92, EV277)/(COUNTIF($EV$2:$EV$92, "&lt;&gt;""") - COUNTIF($EV$2:$EV$92, ""))</f>
        <v>0.15555555555555556</v>
      </c>
      <c r="EX277" s="36" t="str">
        <f t="shared" si="87"/>
        <v>Yes</v>
      </c>
      <c r="EY277" s="40">
        <f>COUNTIF($EX$2:$EX$92, EX277)/(COUNTIF($EX$2:$EX$92, "&lt;&gt;""") - COUNTIF($EX$2:$EX$92, ""))</f>
        <v>0.27777777777777779</v>
      </c>
      <c r="EZ277" s="36" t="str">
        <f t="shared" ref="EZ277:FB277" si="430">BM277</f>
        <v>Yes</v>
      </c>
      <c r="FA277" s="36" t="str">
        <f t="shared" si="430"/>
        <v>No</v>
      </c>
      <c r="FB277" s="36" t="str">
        <f t="shared" si="430"/>
        <v>No</v>
      </c>
      <c r="FC277" s="207"/>
      <c r="FD277" s="36" t="str">
        <f t="shared" si="89"/>
        <v>Transactional</v>
      </c>
      <c r="FE277" s="40">
        <f>COUNTIF($FD$2:$FD$92, FD277)/(COUNTIF($FD$2:$FD$92, "&lt;&gt;""") - COUNTIF($FD$2:$FD$92, ""))</f>
        <v>0.6</v>
      </c>
      <c r="FF277" s="36" t="str">
        <f t="shared" si="90"/>
        <v>B2B/B2C</v>
      </c>
      <c r="FG277" s="40">
        <f>COUNTIF($FF$2:$FF$92, FF277)/(COUNTIF($FF$2:$FF$92, "&lt;&gt;""") - COUNTIF($FF$2:$FF$92, ""))</f>
        <v>0.27777777777777779</v>
      </c>
      <c r="FH277" s="36" t="str">
        <f t="shared" si="91"/>
        <v>Low</v>
      </c>
      <c r="FI277" s="40">
        <f>COUNTIF($FH$2:$FH$92, FH277)/(COUNTIF($FH$2:$FH$92, "&lt;&gt;""") - COUNTIF($FH$2:$FH$92, ""))</f>
        <v>0.46666666666666667</v>
      </c>
      <c r="FJ277" s="36" t="str">
        <f t="shared" si="92"/>
        <v>Low</v>
      </c>
      <c r="FK277" s="40">
        <f>COUNTIF($FJ$2:$FJ$92, FJ277)/(COUNTIF($FJ$2:$FJ$92, "&lt;&gt;""") - COUNTIF($FJ$2:$FJ$92, ""))</f>
        <v>0.41111111111111109</v>
      </c>
      <c r="FL277" s="207"/>
      <c r="FM277" s="192">
        <f t="shared" si="93"/>
        <v>5</v>
      </c>
      <c r="FN277" s="192" t="e">
        <f t="shared" ca="1" si="94"/>
        <v>#NAME?</v>
      </c>
      <c r="FO277" s="192" t="e">
        <f t="shared" ca="1" si="95"/>
        <v>#NAME?</v>
      </c>
      <c r="FP277" s="192" t="e">
        <f t="shared" ca="1" si="96"/>
        <v>#NAME?</v>
      </c>
      <c r="FQ277" s="209" t="e">
        <f t="shared" ca="1" si="97"/>
        <v>#NAME?</v>
      </c>
      <c r="FR277" s="208" t="e">
        <f t="shared" ca="1" si="420"/>
        <v>#NAME?</v>
      </c>
      <c r="FS277" s="36" t="str">
        <f t="shared" si="99"/>
        <v>Pre-Profit</v>
      </c>
      <c r="FT277" s="196">
        <f>COUNTIF($FS$2:$FS$92, FS277)/(COUNTIF($FS$2:$FS$92, "&lt;&gt;""") - COUNTIF($FZ$2:$FZ$92, ""))</f>
        <v>0.51111111111111107</v>
      </c>
      <c r="FU277" s="207"/>
      <c r="FV277" s="192" t="e">
        <f t="shared" ca="1" si="100"/>
        <v>#NAME?</v>
      </c>
      <c r="FW277" s="197" t="e">
        <f t="shared" ca="1" si="101"/>
        <v>#NAME?</v>
      </c>
      <c r="FX277" s="209" t="e">
        <f t="shared" ca="1" si="102"/>
        <v>#NAME?</v>
      </c>
      <c r="FY277" s="211" t="e">
        <f t="shared" ca="1" si="421"/>
        <v>#NAME?</v>
      </c>
      <c r="FZ277" s="36" t="str">
        <f t="shared" si="104"/>
        <v>No</v>
      </c>
      <c r="GA277" s="196">
        <f>COUNTIF($FZ$2:$FZ$92, FZ277)/(COUNTIF($FZ$2:$FZ$92, "&lt;&gt;""") - COUNTIF($FZ$2:$FZ$92, ""))</f>
        <v>0.76666666666666672</v>
      </c>
      <c r="GB277" s="196">
        <f t="shared" si="105"/>
        <v>0</v>
      </c>
      <c r="GC277" s="196">
        <f>COUNTIF($GB$2:$GB$92, GB277)/(COUNTIF($GB$2:$GB$92, "&lt;&gt;""") - COUNTIF($GB$2:$GB$92, ""))</f>
        <v>1.1111111111111112E-2</v>
      </c>
      <c r="GD277" s="196">
        <f t="shared" si="106"/>
        <v>0</v>
      </c>
      <c r="GE277" s="196">
        <f>COUNTIF($GD$2:$GD$92, GD277)/(COUNTIF($GD$2:$GD$92, "&lt;&gt;""") - COUNTIF($GD$2:$GD$92, ""))</f>
        <v>1.1111111111111112E-2</v>
      </c>
      <c r="GF277" s="207"/>
      <c r="GG277" s="36"/>
      <c r="GH277" s="209" t="e">
        <f t="shared" ca="1" si="107"/>
        <v>#NAME?</v>
      </c>
      <c r="GI277" s="212" t="e">
        <f t="shared" ca="1" si="422"/>
        <v>#NAME?</v>
      </c>
    </row>
    <row r="278" spans="1:191" ht="15.75" customHeight="1">
      <c r="A278" s="171"/>
      <c r="B278" s="171" t="s">
        <v>501</v>
      </c>
      <c r="C278" s="16">
        <v>1804772</v>
      </c>
      <c r="D278" s="233" t="s">
        <v>1885</v>
      </c>
      <c r="E278" s="234">
        <v>43892.480555555558</v>
      </c>
      <c r="F278" s="16" t="s">
        <v>337</v>
      </c>
      <c r="G278" s="235" t="s">
        <v>1886</v>
      </c>
      <c r="H278" s="235" t="s">
        <v>1887</v>
      </c>
      <c r="I278" s="271">
        <v>43889</v>
      </c>
      <c r="J278" s="233" t="s">
        <v>1888</v>
      </c>
      <c r="K278" s="233" t="s">
        <v>1885</v>
      </c>
      <c r="M278" s="29" t="s">
        <v>243</v>
      </c>
      <c r="N278" s="16" t="s">
        <v>168</v>
      </c>
      <c r="O278" s="16" t="s">
        <v>173</v>
      </c>
      <c r="P278" s="16" t="s">
        <v>174</v>
      </c>
      <c r="Q278" s="16" t="s">
        <v>35</v>
      </c>
      <c r="S278" s="16" t="s">
        <v>216</v>
      </c>
      <c r="T278" s="237"/>
      <c r="U278" s="213"/>
      <c r="V278" s="54">
        <v>2500000</v>
      </c>
      <c r="W278" s="54"/>
      <c r="X278" s="226"/>
      <c r="Y278" s="55" t="str">
        <f t="shared" si="158"/>
        <v/>
      </c>
      <c r="Z278" s="274">
        <f t="shared" si="159"/>
        <v>2500000</v>
      </c>
      <c r="AA278" s="183" t="e">
        <f t="shared" ca="1" si="160"/>
        <v>#NAME?</v>
      </c>
      <c r="AB278" s="16" t="s">
        <v>36</v>
      </c>
      <c r="AC278" s="16" t="s">
        <v>218</v>
      </c>
      <c r="AD278" s="16" t="s">
        <v>38</v>
      </c>
      <c r="AE278" s="16" t="s">
        <v>227</v>
      </c>
      <c r="AF278" s="16" t="s">
        <v>181</v>
      </c>
      <c r="AG278" s="16" t="s">
        <v>181</v>
      </c>
      <c r="AH278" s="16" t="s">
        <v>190</v>
      </c>
      <c r="AI278" s="54"/>
      <c r="AJ278" s="278">
        <v>236510000000</v>
      </c>
      <c r="AK278" s="224" t="e">
        <f t="shared" ca="1" si="161"/>
        <v>#NAME?</v>
      </c>
      <c r="AL278" s="278">
        <v>236510000000</v>
      </c>
      <c r="AM278" s="224" t="e">
        <f t="shared" ca="1" si="162"/>
        <v>#NAME?</v>
      </c>
      <c r="AN278" s="278">
        <v>0.03</v>
      </c>
      <c r="AO278" s="185" t="e">
        <f t="shared" ca="1" si="63"/>
        <v>#NAME?</v>
      </c>
      <c r="AP278" s="185" t="s">
        <v>192</v>
      </c>
      <c r="AQ278" s="16" t="s">
        <v>39</v>
      </c>
      <c r="AR278" s="16" t="s">
        <v>181</v>
      </c>
      <c r="AS278" s="16" t="s">
        <v>42</v>
      </c>
      <c r="AT278" s="159"/>
      <c r="AU278" s="159"/>
      <c r="AV278" s="16" t="s">
        <v>190</v>
      </c>
      <c r="AW278" s="16" t="s">
        <v>227</v>
      </c>
      <c r="AX278" s="16" t="s">
        <v>227</v>
      </c>
      <c r="AY278" s="16" t="s">
        <v>227</v>
      </c>
      <c r="AZ278" s="54">
        <v>413527</v>
      </c>
      <c r="BA278" s="55" t="e">
        <f t="shared" ca="1" si="163"/>
        <v>#NAME?</v>
      </c>
      <c r="BB278" s="278">
        <v>2378</v>
      </c>
      <c r="BC278" s="278">
        <v>118736</v>
      </c>
      <c r="BD278" s="62" t="e">
        <f t="shared" ca="1" si="164"/>
        <v>#NAME?</v>
      </c>
      <c r="BE278" s="277">
        <f t="shared" si="165"/>
        <v>2.0027624309392266E-2</v>
      </c>
      <c r="BF278" s="62" t="e">
        <f t="shared" ca="1" si="166"/>
        <v>#NAME?</v>
      </c>
      <c r="BG278" s="16" t="s">
        <v>219</v>
      </c>
      <c r="BI278" s="16" t="s">
        <v>227</v>
      </c>
      <c r="BJ278" s="16">
        <v>0</v>
      </c>
      <c r="BK278" s="278">
        <v>1</v>
      </c>
      <c r="BL278" s="16" t="s">
        <v>190</v>
      </c>
      <c r="BM278" s="16" t="s">
        <v>227</v>
      </c>
      <c r="BN278" s="16" t="s">
        <v>190</v>
      </c>
      <c r="BO278" s="16" t="s">
        <v>190</v>
      </c>
      <c r="BP278" s="16">
        <v>0</v>
      </c>
      <c r="BQ278" s="16">
        <v>3</v>
      </c>
      <c r="BR278" s="16">
        <v>1</v>
      </c>
      <c r="BS278" s="16">
        <v>0</v>
      </c>
      <c r="BT278" s="205"/>
      <c r="BU278" s="16">
        <v>0</v>
      </c>
      <c r="BV278" s="16">
        <v>0</v>
      </c>
      <c r="BW278" s="16">
        <v>42</v>
      </c>
      <c r="BX278" s="16" t="s">
        <v>190</v>
      </c>
      <c r="BY278" s="205"/>
      <c r="CD278" s="205"/>
      <c r="CI278" s="205"/>
      <c r="CN278" s="205"/>
      <c r="CS278" s="205"/>
      <c r="CX278" s="205"/>
      <c r="DC278" s="205"/>
      <c r="DH278" s="205"/>
      <c r="DM278" s="205"/>
      <c r="DN278" s="205"/>
      <c r="DO278" s="205"/>
      <c r="DQ278" s="206"/>
      <c r="DR278" s="188">
        <f t="shared" si="64"/>
        <v>0</v>
      </c>
      <c r="DS278" s="188"/>
      <c r="DT278" s="189">
        <f t="shared" si="65"/>
        <v>0</v>
      </c>
      <c r="DU278" s="189"/>
      <c r="DV278" s="188">
        <f t="shared" si="66"/>
        <v>42</v>
      </c>
      <c r="DW278" s="183" t="e">
        <f t="shared" ca="1" si="67"/>
        <v>#NAME?</v>
      </c>
      <c r="DX278" s="207"/>
      <c r="DY278" s="190" t="e">
        <f t="shared" ca="1" si="68"/>
        <v>#NAME?</v>
      </c>
      <c r="DZ278" s="191" t="str">
        <f t="shared" si="412"/>
        <v/>
      </c>
      <c r="EA278" s="191" t="str">
        <f t="shared" si="413"/>
        <v/>
      </c>
      <c r="EB278" s="191" t="str">
        <f t="shared" si="414"/>
        <v/>
      </c>
      <c r="EC278" s="208" t="e">
        <f t="shared" ca="1" si="72"/>
        <v>#NAME?</v>
      </c>
      <c r="ED278" s="36" t="str">
        <f t="shared" si="73"/>
        <v>Equity - Common</v>
      </c>
      <c r="EE278" s="193">
        <f>COUNTIF($ED$2:$ED$92, ED278)/(COUNTIF($ED$2:$ED$92, "&lt;&gt;""") - COUNTIF($ED$2:$ED$92, ""))</f>
        <v>0.32222222222222224</v>
      </c>
      <c r="EF278" s="36" t="str">
        <f t="shared" si="74"/>
        <v>Growth</v>
      </c>
      <c r="EG278" s="207"/>
      <c r="EH278" s="194" t="e">
        <f t="shared" ca="1" si="75"/>
        <v>#NAME?</v>
      </c>
      <c r="EI278" s="194" t="e">
        <f t="shared" ca="1" si="76"/>
        <v>#NAME?</v>
      </c>
      <c r="EJ278" s="209" t="e">
        <f t="shared" ca="1" si="77"/>
        <v>#NAME?</v>
      </c>
      <c r="EK278" s="208" t="e">
        <f t="shared" ca="1" si="415"/>
        <v>#NAME?</v>
      </c>
      <c r="EL278" s="36" t="str">
        <f t="shared" si="79"/>
        <v>No</v>
      </c>
      <c r="EM278" s="207"/>
      <c r="EN278" s="192">
        <f t="shared" si="416"/>
        <v>1</v>
      </c>
      <c r="EO278" s="192">
        <f t="shared" si="417"/>
        <v>1</v>
      </c>
      <c r="EP278" s="209">
        <f t="shared" si="82"/>
        <v>2</v>
      </c>
      <c r="EQ278" s="210">
        <f t="shared" si="418"/>
        <v>1</v>
      </c>
      <c r="ER278" s="36" t="e">
        <f t="shared" ca="1" si="84"/>
        <v>#NAME?</v>
      </c>
      <c r="ES278" s="40">
        <f ca="1">COUNTIF($ER$2:$ER$92, ER278)/(COUNTIF($ER$2:$ER$92, "&lt;&gt;""") - COUNTIF($ER$2:$ER$92, ""))</f>
        <v>1</v>
      </c>
      <c r="ET278" s="36">
        <f t="shared" si="85"/>
        <v>1</v>
      </c>
      <c r="EU278" s="40">
        <f>COUNTIF($ET$2:$ET$92, ET278)/(COUNTIF($ET$2:$ET$92, "&lt;&gt;""") - COUNTIF($ET$2:$ET$92, ""))</f>
        <v>0.45555555555555555</v>
      </c>
      <c r="EV278" s="36">
        <f t="shared" si="86"/>
        <v>3</v>
      </c>
      <c r="EW278" s="40">
        <f>COUNTIF($EV$2:$EV$92, EV278)/(COUNTIF($EV$2:$EV$92, "&lt;&gt;""") - COUNTIF($EV$2:$EV$92, ""))</f>
        <v>8.8888888888888892E-2</v>
      </c>
      <c r="EX278" s="36" t="str">
        <f t="shared" si="87"/>
        <v>No</v>
      </c>
      <c r="EY278" s="40">
        <f>COUNTIF($EX$2:$EX$92, EX278)/(COUNTIF($EX$2:$EX$92, "&lt;&gt;""") - COUNTIF($EX$2:$EX$92, ""))</f>
        <v>0.72222222222222221</v>
      </c>
      <c r="EZ278" s="36" t="str">
        <f t="shared" ref="EZ278:FB278" si="431">BM278</f>
        <v>Yes</v>
      </c>
      <c r="FA278" s="36" t="str">
        <f t="shared" si="431"/>
        <v>No</v>
      </c>
      <c r="FB278" s="36" t="str">
        <f t="shared" si="431"/>
        <v>No</v>
      </c>
      <c r="FC278" s="207"/>
      <c r="FD278" s="36" t="str">
        <f t="shared" si="89"/>
        <v>Transactional</v>
      </c>
      <c r="FE278" s="40">
        <f>COUNTIF($FD$2:$FD$92, FD278)/(COUNTIF($FD$2:$FD$92, "&lt;&gt;""") - COUNTIF($FD$2:$FD$92, ""))</f>
        <v>0.6</v>
      </c>
      <c r="FF278" s="36" t="str">
        <f t="shared" si="90"/>
        <v>B2B/B2C</v>
      </c>
      <c r="FG278" s="40">
        <f>COUNTIF($FF$2:$FF$92, FF278)/(COUNTIF($FF$2:$FF$92, "&lt;&gt;""") - COUNTIF($FF$2:$FF$92, ""))</f>
        <v>0.27777777777777779</v>
      </c>
      <c r="FH278" s="36" t="str">
        <f t="shared" si="91"/>
        <v>Low</v>
      </c>
      <c r="FI278" s="40">
        <f>COUNTIF($FH$2:$FH$92, FH278)/(COUNTIF($FH$2:$FH$92, "&lt;&gt;""") - COUNTIF($FH$2:$FH$92, ""))</f>
        <v>0.46666666666666667</v>
      </c>
      <c r="FJ278" s="36" t="str">
        <f t="shared" si="92"/>
        <v>Low</v>
      </c>
      <c r="FK278" s="40">
        <f>COUNTIF($FJ$2:$FJ$92, FJ278)/(COUNTIF($FJ$2:$FJ$92, "&lt;&gt;""") - COUNTIF($FJ$2:$FJ$92, ""))</f>
        <v>0.41111111111111109</v>
      </c>
      <c r="FL278" s="207"/>
      <c r="FM278" s="192">
        <f t="shared" si="93"/>
        <v>5</v>
      </c>
      <c r="FN278" s="192" t="e">
        <f t="shared" ca="1" si="94"/>
        <v>#NAME?</v>
      </c>
      <c r="FO278" s="192" t="e">
        <f t="shared" ca="1" si="95"/>
        <v>#NAME?</v>
      </c>
      <c r="FP278" s="192" t="e">
        <f t="shared" ca="1" si="96"/>
        <v>#NAME?</v>
      </c>
      <c r="FQ278" s="209" t="e">
        <f t="shared" ca="1" si="97"/>
        <v>#NAME?</v>
      </c>
      <c r="FR278" s="208" t="e">
        <f t="shared" ca="1" si="420"/>
        <v>#NAME?</v>
      </c>
      <c r="FS278" s="36" t="str">
        <f t="shared" si="99"/>
        <v>Profitable</v>
      </c>
      <c r="FT278" s="196">
        <f>COUNTIF($FS$2:$FS$92, FS278)/(COUNTIF($FS$2:$FS$92, "&lt;&gt;""") - COUNTIF($FZ$2:$FZ$92, ""))</f>
        <v>6.6666666666666666E-2</v>
      </c>
      <c r="FU278" s="207"/>
      <c r="FV278" s="192">
        <f t="shared" si="100"/>
        <v>3</v>
      </c>
      <c r="FW278" s="197" t="e">
        <f t="shared" ca="1" si="101"/>
        <v>#NAME?</v>
      </c>
      <c r="FX278" s="209" t="e">
        <f t="shared" ca="1" si="102"/>
        <v>#NAME?</v>
      </c>
      <c r="FY278" s="211" t="e">
        <f t="shared" ca="1" si="421"/>
        <v>#NAME?</v>
      </c>
      <c r="FZ278" s="36" t="str">
        <f t="shared" si="104"/>
        <v>Yes</v>
      </c>
      <c r="GA278" s="196">
        <f>COUNTIF($FZ$2:$FZ$92, FZ278)/(COUNTIF($FZ$2:$FZ$92, "&lt;&gt;""") - COUNTIF($FZ$2:$FZ$92, ""))</f>
        <v>0.23333333333333334</v>
      </c>
      <c r="GB278" s="196">
        <f t="shared" si="105"/>
        <v>0</v>
      </c>
      <c r="GC278" s="196">
        <f>COUNTIF($GB$2:$GB$92, GB278)/(COUNTIF($GB$2:$GB$92, "&lt;&gt;""") - COUNTIF($GB$2:$GB$92, ""))</f>
        <v>1.1111111111111112E-2</v>
      </c>
      <c r="GD278" s="196">
        <f t="shared" si="106"/>
        <v>0</v>
      </c>
      <c r="GE278" s="196">
        <f>COUNTIF($GD$2:$GD$92, GD278)/(COUNTIF($GD$2:$GD$92, "&lt;&gt;""") - COUNTIF($GD$2:$GD$92, ""))</f>
        <v>1.1111111111111112E-2</v>
      </c>
      <c r="GF278" s="207"/>
      <c r="GG278" s="36"/>
      <c r="GH278" s="209" t="e">
        <f t="shared" ca="1" si="107"/>
        <v>#NAME?</v>
      </c>
      <c r="GI278" s="212" t="e">
        <f t="shared" ca="1" si="422"/>
        <v>#NAME?</v>
      </c>
    </row>
    <row r="279" spans="1:191" ht="15.75" customHeight="1">
      <c r="A279" s="171"/>
      <c r="B279" s="171" t="s">
        <v>501</v>
      </c>
      <c r="C279" s="16">
        <v>1800827</v>
      </c>
      <c r="D279" s="233" t="s">
        <v>1889</v>
      </c>
      <c r="E279" s="270">
        <v>43892.493055555555</v>
      </c>
      <c r="F279" s="16" t="s">
        <v>344</v>
      </c>
      <c r="G279" s="235" t="s">
        <v>1890</v>
      </c>
      <c r="H279" s="235" t="s">
        <v>1891</v>
      </c>
      <c r="I279" s="271">
        <v>43858</v>
      </c>
      <c r="J279" s="233" t="s">
        <v>1892</v>
      </c>
      <c r="K279" s="233" t="s">
        <v>1889</v>
      </c>
      <c r="M279" s="16" t="s">
        <v>171</v>
      </c>
      <c r="N279" s="16" t="s">
        <v>168</v>
      </c>
      <c r="O279" s="16" t="s">
        <v>173</v>
      </c>
      <c r="P279" s="16" t="s">
        <v>174</v>
      </c>
      <c r="Q279" s="16" t="s">
        <v>35</v>
      </c>
      <c r="S279" s="16" t="s">
        <v>269</v>
      </c>
      <c r="T279" s="237"/>
      <c r="U279" s="213"/>
      <c r="V279" s="54"/>
      <c r="W279" s="54">
        <v>4000000</v>
      </c>
      <c r="X279" s="226">
        <v>0.25</v>
      </c>
      <c r="Y279" s="55">
        <f t="shared" si="158"/>
        <v>3000000</v>
      </c>
      <c r="Z279" s="274">
        <f t="shared" si="159"/>
        <v>3000000</v>
      </c>
      <c r="AA279" s="183" t="e">
        <f t="shared" ca="1" si="160"/>
        <v>#NAME?</v>
      </c>
      <c r="AB279" s="16" t="s">
        <v>36</v>
      </c>
      <c r="AC279" s="16" t="s">
        <v>218</v>
      </c>
      <c r="AD279" s="16" t="s">
        <v>38</v>
      </c>
      <c r="AE279" s="16" t="s">
        <v>227</v>
      </c>
      <c r="AF279" s="16" t="s">
        <v>39</v>
      </c>
      <c r="AG279" s="16" t="s">
        <v>181</v>
      </c>
      <c r="AH279" s="16" t="s">
        <v>227</v>
      </c>
      <c r="AI279" s="54"/>
      <c r="AJ279" s="278">
        <v>223700000000</v>
      </c>
      <c r="AK279" s="224" t="e">
        <f t="shared" ca="1" si="161"/>
        <v>#NAME?</v>
      </c>
      <c r="AL279" s="278">
        <v>223700000000</v>
      </c>
      <c r="AM279" s="224" t="e">
        <f t="shared" ca="1" si="162"/>
        <v>#NAME?</v>
      </c>
      <c r="AN279" s="278">
        <v>0.04</v>
      </c>
      <c r="AO279" s="185" t="e">
        <f t="shared" ca="1" si="63"/>
        <v>#NAME?</v>
      </c>
      <c r="AP279" s="185" t="s">
        <v>264</v>
      </c>
      <c r="AQ279" s="16" t="s">
        <v>39</v>
      </c>
      <c r="AR279" s="16" t="s">
        <v>181</v>
      </c>
      <c r="AS279" s="16" t="s">
        <v>182</v>
      </c>
      <c r="AT279" s="159"/>
      <c r="AU279" s="159"/>
      <c r="AV279" s="16" t="s">
        <v>190</v>
      </c>
      <c r="AW279" s="16" t="s">
        <v>190</v>
      </c>
      <c r="AX279" s="16" t="s">
        <v>227</v>
      </c>
      <c r="AY279" s="16" t="s">
        <v>227</v>
      </c>
      <c r="AZ279" s="54">
        <v>129750</v>
      </c>
      <c r="BA279" s="55" t="e">
        <f t="shared" ca="1" si="163"/>
        <v>#NAME?</v>
      </c>
      <c r="BB279" s="278">
        <v>4746</v>
      </c>
      <c r="BC279" s="278">
        <v>140294</v>
      </c>
      <c r="BD279" s="62" t="e">
        <f t="shared" ca="1" si="164"/>
        <v>#NAME?</v>
      </c>
      <c r="BE279" s="277">
        <f t="shared" si="165"/>
        <v>3.3828959185710009E-2</v>
      </c>
      <c r="BF279" s="62" t="e">
        <f t="shared" ca="1" si="166"/>
        <v>#NAME?</v>
      </c>
      <c r="BG279" s="16" t="s">
        <v>202</v>
      </c>
      <c r="BI279" s="16" t="s">
        <v>190</v>
      </c>
      <c r="BJ279" s="16">
        <v>0</v>
      </c>
      <c r="BK279" s="278">
        <v>2</v>
      </c>
      <c r="BL279" s="16" t="s">
        <v>227</v>
      </c>
      <c r="BM279" s="16" t="s">
        <v>227</v>
      </c>
      <c r="BN279" s="16" t="s">
        <v>227</v>
      </c>
      <c r="BO279" s="16" t="s">
        <v>190</v>
      </c>
      <c r="BP279" s="16">
        <v>5</v>
      </c>
      <c r="BQ279" s="16">
        <v>3</v>
      </c>
      <c r="BR279" s="16">
        <v>0</v>
      </c>
      <c r="BS279" s="16">
        <v>0</v>
      </c>
      <c r="BT279" s="205"/>
      <c r="BU279" s="16">
        <v>4</v>
      </c>
      <c r="BV279" s="16">
        <v>0</v>
      </c>
      <c r="BW279" s="16">
        <v>38</v>
      </c>
      <c r="BX279" s="16" t="s">
        <v>227</v>
      </c>
      <c r="BY279" s="205"/>
      <c r="BZ279" s="16">
        <v>4</v>
      </c>
      <c r="CA279" s="16">
        <v>0</v>
      </c>
      <c r="CB279" s="16">
        <v>39</v>
      </c>
      <c r="CC279" s="16" t="s">
        <v>190</v>
      </c>
      <c r="CD279" s="205"/>
      <c r="CI279" s="205"/>
      <c r="CN279" s="205"/>
      <c r="CS279" s="205"/>
      <c r="CX279" s="205"/>
      <c r="DC279" s="205"/>
      <c r="DH279" s="205"/>
      <c r="DM279" s="205"/>
      <c r="DN279" s="205"/>
      <c r="DO279" s="205"/>
      <c r="DQ279" s="206"/>
      <c r="DR279" s="188">
        <f t="shared" si="64"/>
        <v>4</v>
      </c>
      <c r="DS279" s="188"/>
      <c r="DT279" s="189">
        <f t="shared" si="65"/>
        <v>0</v>
      </c>
      <c r="DU279" s="189"/>
      <c r="DV279" s="188">
        <f t="shared" si="66"/>
        <v>38.5</v>
      </c>
      <c r="DW279" s="183" t="e">
        <f t="shared" ca="1" si="67"/>
        <v>#NAME?</v>
      </c>
      <c r="DX279" s="207"/>
      <c r="DY279" s="190" t="e">
        <f t="shared" ca="1" si="68"/>
        <v>#NAME?</v>
      </c>
      <c r="DZ279" s="191">
        <f t="shared" si="412"/>
        <v>3.6315789473684212</v>
      </c>
      <c r="EA279" s="191" t="str">
        <f t="shared" si="413"/>
        <v/>
      </c>
      <c r="EB279" s="191" t="str">
        <f t="shared" si="414"/>
        <v/>
      </c>
      <c r="EC279" s="208" t="e">
        <f t="shared" ca="1" si="72"/>
        <v>#NAME?</v>
      </c>
      <c r="ED279" s="36" t="str">
        <f t="shared" si="73"/>
        <v>SAFE</v>
      </c>
      <c r="EE279" s="193">
        <f>COUNTIF($ED$2:$ED$92, ED279)/(COUNTIF($ED$2:$ED$92, "&lt;&gt;""") - COUNTIF($ED$2:$ED$92, ""))</f>
        <v>0.37777777777777777</v>
      </c>
      <c r="EF279" s="36" t="str">
        <f t="shared" si="74"/>
        <v>Growth</v>
      </c>
      <c r="EG279" s="207"/>
      <c r="EH279" s="194" t="e">
        <f t="shared" ca="1" si="75"/>
        <v>#NAME?</v>
      </c>
      <c r="EI279" s="194" t="e">
        <f t="shared" ca="1" si="76"/>
        <v>#NAME?</v>
      </c>
      <c r="EJ279" s="209" t="e">
        <f t="shared" ca="1" si="77"/>
        <v>#NAME?</v>
      </c>
      <c r="EK279" s="208" t="e">
        <f t="shared" ca="1" si="415"/>
        <v>#NAME?</v>
      </c>
      <c r="EL279" s="36" t="str">
        <f t="shared" si="79"/>
        <v>No</v>
      </c>
      <c r="EM279" s="207"/>
      <c r="EN279" s="192">
        <f t="shared" si="416"/>
        <v>1.3809523809523809</v>
      </c>
      <c r="EO279" s="192">
        <f t="shared" si="417"/>
        <v>1</v>
      </c>
      <c r="EP279" s="209">
        <f t="shared" si="82"/>
        <v>2.3809523809523809</v>
      </c>
      <c r="EQ279" s="210">
        <f t="shared" si="418"/>
        <v>1.2990654205607477</v>
      </c>
      <c r="ER279" s="36" t="e">
        <f t="shared" ca="1" si="84"/>
        <v>#NAME?</v>
      </c>
      <c r="ES279" s="40">
        <f ca="1">COUNTIF($ER$2:$ER$92, ER279)/(COUNTIF($ER$2:$ER$92, "&lt;&gt;""") - COUNTIF($ER$2:$ER$92, ""))</f>
        <v>1</v>
      </c>
      <c r="ET279" s="36">
        <f t="shared" si="85"/>
        <v>2</v>
      </c>
      <c r="EU279" s="40">
        <f>COUNTIF($ET$2:$ET$92, ET279)/(COUNTIF($ET$2:$ET$92, "&lt;&gt;""") - COUNTIF($ET$2:$ET$92, ""))</f>
        <v>0.45555555555555555</v>
      </c>
      <c r="EV279" s="36">
        <f t="shared" si="86"/>
        <v>3</v>
      </c>
      <c r="EW279" s="40">
        <f>COUNTIF($EV$2:$EV$92, EV279)/(COUNTIF($EV$2:$EV$92, "&lt;&gt;""") - COUNTIF($EV$2:$EV$92, ""))</f>
        <v>8.8888888888888892E-2</v>
      </c>
      <c r="EX279" s="36" t="str">
        <f t="shared" si="87"/>
        <v>Yes</v>
      </c>
      <c r="EY279" s="40">
        <f>COUNTIF($EX$2:$EX$92, EX279)/(COUNTIF($EX$2:$EX$92, "&lt;&gt;""") - COUNTIF($EX$2:$EX$92, ""))</f>
        <v>0.27777777777777779</v>
      </c>
      <c r="EZ279" s="36" t="str">
        <f t="shared" ref="EZ279:FB279" si="432">BM279</f>
        <v>Yes</v>
      </c>
      <c r="FA279" s="36" t="str">
        <f t="shared" si="432"/>
        <v>Yes</v>
      </c>
      <c r="FB279" s="36" t="str">
        <f t="shared" si="432"/>
        <v>No</v>
      </c>
      <c r="FC279" s="207"/>
      <c r="FD279" s="36" t="str">
        <f t="shared" si="89"/>
        <v>Transactional</v>
      </c>
      <c r="FE279" s="40">
        <f>COUNTIF($FD$2:$FD$92, FD279)/(COUNTIF($FD$2:$FD$92, "&lt;&gt;""") - COUNTIF($FD$2:$FD$92, ""))</f>
        <v>0.6</v>
      </c>
      <c r="FF279" s="36" t="str">
        <f t="shared" si="90"/>
        <v>B2B/B2C</v>
      </c>
      <c r="FG279" s="40">
        <f>COUNTIF($FF$2:$FF$92, FF279)/(COUNTIF($FF$2:$FF$92, "&lt;&gt;""") - COUNTIF($FF$2:$FF$92, ""))</f>
        <v>0.27777777777777779</v>
      </c>
      <c r="FH279" s="36" t="str">
        <f t="shared" si="91"/>
        <v>High</v>
      </c>
      <c r="FI279" s="40">
        <f>COUNTIF($FH$2:$FH$92, FH279)/(COUNTIF($FH$2:$FH$92, "&lt;&gt;""") - COUNTIF($FH$2:$FH$92, ""))</f>
        <v>0.53333333333333333</v>
      </c>
      <c r="FJ279" s="36" t="str">
        <f t="shared" si="92"/>
        <v>Low</v>
      </c>
      <c r="FK279" s="40">
        <f>COUNTIF($FJ$2:$FJ$92, FJ279)/(COUNTIF($FJ$2:$FJ$92, "&lt;&gt;""") - COUNTIF($FJ$2:$FJ$92, ""))</f>
        <v>0.41111111111111109</v>
      </c>
      <c r="FL279" s="207"/>
      <c r="FM279" s="192">
        <f t="shared" si="93"/>
        <v>5</v>
      </c>
      <c r="FN279" s="192" t="e">
        <f t="shared" ca="1" si="94"/>
        <v>#NAME?</v>
      </c>
      <c r="FO279" s="192" t="e">
        <f t="shared" ca="1" si="95"/>
        <v>#NAME?</v>
      </c>
      <c r="FP279" s="192" t="e">
        <f t="shared" ca="1" si="96"/>
        <v>#NAME?</v>
      </c>
      <c r="FQ279" s="209" t="e">
        <f t="shared" ca="1" si="97"/>
        <v>#NAME?</v>
      </c>
      <c r="FR279" s="208" t="e">
        <f t="shared" ca="1" si="420"/>
        <v>#NAME?</v>
      </c>
      <c r="FS279" s="36" t="str">
        <f t="shared" si="99"/>
        <v>Pre-Profit</v>
      </c>
      <c r="FT279" s="196">
        <f>COUNTIF($FS$2:$FS$92, FS279)/(COUNTIF($FS$2:$FS$92, "&lt;&gt;""") - COUNTIF($FZ$2:$FZ$92, ""))</f>
        <v>0.51111111111111107</v>
      </c>
      <c r="FU279" s="207"/>
      <c r="FV279" s="192">
        <f t="shared" si="100"/>
        <v>3</v>
      </c>
      <c r="FW279" s="197" t="e">
        <f t="shared" ca="1" si="101"/>
        <v>#NAME?</v>
      </c>
      <c r="FX279" s="209" t="e">
        <f t="shared" ca="1" si="102"/>
        <v>#NAME?</v>
      </c>
      <c r="FY279" s="211" t="e">
        <f t="shared" ca="1" si="421"/>
        <v>#NAME?</v>
      </c>
      <c r="FZ279" s="36" t="str">
        <f t="shared" si="104"/>
        <v>No</v>
      </c>
      <c r="GA279" s="196">
        <f>COUNTIF($FZ$2:$FZ$92, FZ279)/(COUNTIF($FZ$2:$FZ$92, "&lt;&gt;""") - COUNTIF($FZ$2:$FZ$92, ""))</f>
        <v>0.76666666666666672</v>
      </c>
      <c r="GB279" s="196">
        <f t="shared" si="105"/>
        <v>0</v>
      </c>
      <c r="GC279" s="196">
        <f>COUNTIF($GB$2:$GB$92, GB279)/(COUNTIF($GB$2:$GB$92, "&lt;&gt;""") - COUNTIF($GB$2:$GB$92, ""))</f>
        <v>1.1111111111111112E-2</v>
      </c>
      <c r="GD279" s="196">
        <f t="shared" si="106"/>
        <v>0</v>
      </c>
      <c r="GE279" s="196">
        <f>COUNTIF($GD$2:$GD$92, GD279)/(COUNTIF($GD$2:$GD$92, "&lt;&gt;""") - COUNTIF($GD$2:$GD$92, ""))</f>
        <v>1.1111111111111112E-2</v>
      </c>
      <c r="GF279" s="207"/>
      <c r="GG279" s="36"/>
      <c r="GH279" s="209" t="e">
        <f t="shared" ca="1" si="107"/>
        <v>#NAME?</v>
      </c>
      <c r="GI279" s="212" t="e">
        <f t="shared" ca="1" si="422"/>
        <v>#NAME?</v>
      </c>
    </row>
    <row r="280" spans="1:191" ht="15.75" customHeight="1">
      <c r="A280" s="171"/>
      <c r="B280" s="171" t="s">
        <v>501</v>
      </c>
      <c r="C280" s="16">
        <v>1741462</v>
      </c>
      <c r="D280" s="233" t="s">
        <v>1893</v>
      </c>
      <c r="E280" s="270">
        <v>43832.563194444447</v>
      </c>
      <c r="F280" s="16" t="s">
        <v>312</v>
      </c>
      <c r="G280" s="235" t="s">
        <v>1894</v>
      </c>
      <c r="H280" s="235" t="s">
        <v>1895</v>
      </c>
      <c r="I280" s="271">
        <v>43832</v>
      </c>
      <c r="J280" s="233" t="s">
        <v>1896</v>
      </c>
      <c r="K280" s="233" t="s">
        <v>1893</v>
      </c>
      <c r="M280" s="16" t="s">
        <v>343</v>
      </c>
      <c r="N280" s="16" t="s">
        <v>267</v>
      </c>
      <c r="O280" s="16" t="s">
        <v>173</v>
      </c>
      <c r="Q280" s="16" t="s">
        <v>35</v>
      </c>
      <c r="S280" s="16" t="s">
        <v>216</v>
      </c>
      <c r="T280" s="237"/>
      <c r="U280" s="213"/>
      <c r="V280" s="54">
        <v>8600000</v>
      </c>
      <c r="W280" s="54"/>
      <c r="X280" s="226"/>
      <c r="Y280" s="55" t="str">
        <f t="shared" si="158"/>
        <v/>
      </c>
      <c r="Z280" s="274">
        <f t="shared" si="159"/>
        <v>8600000</v>
      </c>
      <c r="AA280" s="183" t="e">
        <f t="shared" ca="1" si="160"/>
        <v>#NAME?</v>
      </c>
      <c r="AB280" s="16" t="s">
        <v>36</v>
      </c>
      <c r="AC280" s="16" t="s">
        <v>218</v>
      </c>
      <c r="AD280" s="16" t="s">
        <v>38</v>
      </c>
      <c r="AE280" s="16" t="s">
        <v>227</v>
      </c>
      <c r="AF280" s="16" t="s">
        <v>39</v>
      </c>
      <c r="AG280" s="16" t="s">
        <v>181</v>
      </c>
      <c r="AH280" s="16" t="s">
        <v>190</v>
      </c>
      <c r="AI280" s="54"/>
      <c r="AJ280" s="278">
        <v>2300000000</v>
      </c>
      <c r="AK280" s="224" t="e">
        <f t="shared" ca="1" si="161"/>
        <v>#NAME?</v>
      </c>
      <c r="AL280" s="278">
        <v>2300000000</v>
      </c>
      <c r="AM280" s="224" t="e">
        <f t="shared" ca="1" si="162"/>
        <v>#NAME?</v>
      </c>
      <c r="AN280" s="278">
        <v>0.06</v>
      </c>
      <c r="AO280" s="185" t="e">
        <f t="shared" ca="1" si="63"/>
        <v>#NAME?</v>
      </c>
      <c r="AP280" s="185" t="s">
        <v>211</v>
      </c>
      <c r="AQ280" s="16" t="s">
        <v>181</v>
      </c>
      <c r="AR280" s="16" t="s">
        <v>181</v>
      </c>
      <c r="AS280" s="16" t="s">
        <v>42</v>
      </c>
      <c r="AT280" s="159"/>
      <c r="AU280" s="159"/>
      <c r="AV280" s="16" t="s">
        <v>227</v>
      </c>
      <c r="AW280" s="16" t="s">
        <v>227</v>
      </c>
      <c r="AX280" s="16" t="s">
        <v>227</v>
      </c>
      <c r="AY280" s="16" t="s">
        <v>227</v>
      </c>
      <c r="AZ280" s="54">
        <v>287969</v>
      </c>
      <c r="BA280" s="55" t="e">
        <f t="shared" ca="1" si="163"/>
        <v>#NAME?</v>
      </c>
      <c r="BB280" s="278">
        <v>21796</v>
      </c>
      <c r="BC280" s="278">
        <v>0</v>
      </c>
      <c r="BD280" s="62" t="e">
        <f t="shared" ca="1" si="164"/>
        <v>#NAME?</v>
      </c>
      <c r="BE280" s="277">
        <f t="shared" si="165"/>
        <v>1</v>
      </c>
      <c r="BF280" s="62" t="e">
        <f t="shared" ca="1" si="166"/>
        <v>#NAME?</v>
      </c>
      <c r="BG280" s="16" t="s">
        <v>202</v>
      </c>
      <c r="BI280" s="16" t="s">
        <v>227</v>
      </c>
      <c r="BJ280" s="16">
        <v>0</v>
      </c>
      <c r="BK280" s="278">
        <v>1</v>
      </c>
      <c r="BL280" s="16" t="s">
        <v>227</v>
      </c>
      <c r="BM280" s="16" t="s">
        <v>190</v>
      </c>
      <c r="BN280" s="16" t="s">
        <v>190</v>
      </c>
      <c r="BO280" s="16" t="s">
        <v>190</v>
      </c>
      <c r="BP280" s="16">
        <v>2</v>
      </c>
      <c r="BQ280" s="16">
        <v>10</v>
      </c>
      <c r="BR280" s="16">
        <v>0</v>
      </c>
      <c r="BS280" s="16">
        <v>0</v>
      </c>
      <c r="BT280" s="205"/>
      <c r="BU280" s="16">
        <v>7</v>
      </c>
      <c r="BV280" s="16">
        <v>1</v>
      </c>
      <c r="BW280" s="16">
        <v>51</v>
      </c>
      <c r="BX280" s="16" t="s">
        <v>190</v>
      </c>
      <c r="BY280" s="205"/>
      <c r="CD280" s="205"/>
      <c r="CI280" s="205"/>
      <c r="CN280" s="205"/>
      <c r="CS280" s="205"/>
      <c r="CX280" s="205"/>
      <c r="DC280" s="205"/>
      <c r="DH280" s="205"/>
      <c r="DM280" s="205"/>
      <c r="DN280" s="205"/>
      <c r="DO280" s="205"/>
      <c r="DQ280" s="206"/>
      <c r="DR280" s="188">
        <f t="shared" si="64"/>
        <v>7</v>
      </c>
      <c r="DS280" s="188"/>
      <c r="DT280" s="189">
        <f t="shared" si="65"/>
        <v>1</v>
      </c>
      <c r="DU280" s="189"/>
      <c r="DV280" s="188">
        <f t="shared" si="66"/>
        <v>51</v>
      </c>
      <c r="DW280" s="183" t="e">
        <f t="shared" ca="1" si="67"/>
        <v>#NAME?</v>
      </c>
      <c r="DX280" s="207"/>
      <c r="DY280" s="190" t="e">
        <f t="shared" ca="1" si="68"/>
        <v>#NAME?</v>
      </c>
      <c r="DZ280" s="191" t="str">
        <f t="shared" si="412"/>
        <v/>
      </c>
      <c r="EA280" s="191" t="str">
        <f t="shared" si="413"/>
        <v/>
      </c>
      <c r="EB280" s="191" t="str">
        <f t="shared" si="414"/>
        <v/>
      </c>
      <c r="EC280" s="208" t="e">
        <f t="shared" ca="1" si="72"/>
        <v>#NAME?</v>
      </c>
      <c r="ED280" s="36" t="str">
        <f t="shared" si="73"/>
        <v>Equity - Common</v>
      </c>
      <c r="EE280" s="193">
        <f>COUNTIF($ED$2:$ED$92, ED280)/(COUNTIF($ED$2:$ED$92, "&lt;&gt;""") - COUNTIF($ED$2:$ED$92, ""))</f>
        <v>0.32222222222222224</v>
      </c>
      <c r="EF280" s="36" t="str">
        <f t="shared" si="74"/>
        <v>Growth</v>
      </c>
      <c r="EG280" s="207"/>
      <c r="EH280" s="194" t="e">
        <f t="shared" ca="1" si="75"/>
        <v>#NAME?</v>
      </c>
      <c r="EI280" s="194" t="e">
        <f t="shared" ca="1" si="76"/>
        <v>#NAME?</v>
      </c>
      <c r="EJ280" s="209" t="e">
        <f t="shared" ca="1" si="77"/>
        <v>#NAME?</v>
      </c>
      <c r="EK280" s="208" t="e">
        <f t="shared" ca="1" si="415"/>
        <v>#NAME?</v>
      </c>
      <c r="EL280" s="36" t="str">
        <f t="shared" si="79"/>
        <v>Yes</v>
      </c>
      <c r="EM280" s="207"/>
      <c r="EN280" s="192">
        <f t="shared" si="416"/>
        <v>1.6666666666666665</v>
      </c>
      <c r="EO280" s="192">
        <f t="shared" si="417"/>
        <v>2</v>
      </c>
      <c r="EP280" s="209">
        <f t="shared" si="82"/>
        <v>3.6666666666666665</v>
      </c>
      <c r="EQ280" s="210">
        <f t="shared" si="418"/>
        <v>2.3084112149532707</v>
      </c>
      <c r="ER280" s="36" t="e">
        <f t="shared" ca="1" si="84"/>
        <v>#NAME?</v>
      </c>
      <c r="ES280" s="40">
        <f ca="1">COUNTIF($ER$2:$ER$92, ER280)/(COUNTIF($ER$2:$ER$92, "&lt;&gt;""") - COUNTIF($ER$2:$ER$92, ""))</f>
        <v>1</v>
      </c>
      <c r="ET280" s="36">
        <f t="shared" si="85"/>
        <v>1</v>
      </c>
      <c r="EU280" s="40">
        <f>COUNTIF($ET$2:$ET$92, ET280)/(COUNTIF($ET$2:$ET$92, "&lt;&gt;""") - COUNTIF($ET$2:$ET$92, ""))</f>
        <v>0.45555555555555555</v>
      </c>
      <c r="EV280" s="36">
        <f t="shared" si="86"/>
        <v>10</v>
      </c>
      <c r="EW280" s="40">
        <f>COUNTIF($EV$2:$EV$92, EV280)/(COUNTIF($EV$2:$EV$92, "&lt;&gt;""") - COUNTIF($EV$2:$EV$92, ""))</f>
        <v>2.2222222222222223E-2</v>
      </c>
      <c r="EX280" s="36" t="str">
        <f t="shared" si="87"/>
        <v>Yes</v>
      </c>
      <c r="EY280" s="40">
        <f>COUNTIF($EX$2:$EX$92, EX280)/(COUNTIF($EX$2:$EX$92, "&lt;&gt;""") - COUNTIF($EX$2:$EX$92, ""))</f>
        <v>0.27777777777777779</v>
      </c>
      <c r="EZ280" s="36" t="str">
        <f t="shared" ref="EZ280:FB280" si="433">BM280</f>
        <v>No</v>
      </c>
      <c r="FA280" s="36" t="str">
        <f t="shared" si="433"/>
        <v>No</v>
      </c>
      <c r="FB280" s="36" t="str">
        <f t="shared" si="433"/>
        <v>No</v>
      </c>
      <c r="FC280" s="207"/>
      <c r="FD280" s="36" t="str">
        <f t="shared" si="89"/>
        <v>Transactional</v>
      </c>
      <c r="FE280" s="40">
        <f>COUNTIF($FD$2:$FD$92, FD280)/(COUNTIF($FD$2:$FD$92, "&lt;&gt;""") - COUNTIF($FD$2:$FD$92, ""))</f>
        <v>0.6</v>
      </c>
      <c r="FF280" s="36" t="str">
        <f t="shared" si="90"/>
        <v>B2B/B2C</v>
      </c>
      <c r="FG280" s="40">
        <f>COUNTIF($FF$2:$FF$92, FF280)/(COUNTIF($FF$2:$FF$92, "&lt;&gt;""") - COUNTIF($FF$2:$FF$92, ""))</f>
        <v>0.27777777777777779</v>
      </c>
      <c r="FH280" s="36" t="str">
        <f t="shared" si="91"/>
        <v>High</v>
      </c>
      <c r="FI280" s="40">
        <f>COUNTIF($FH$2:$FH$92, FH280)/(COUNTIF($FH$2:$FH$92, "&lt;&gt;""") - COUNTIF($FH$2:$FH$92, ""))</f>
        <v>0.53333333333333333</v>
      </c>
      <c r="FJ280" s="36" t="str">
        <f t="shared" si="92"/>
        <v>Low</v>
      </c>
      <c r="FK280" s="40">
        <f>COUNTIF($FJ$2:$FJ$92, FJ280)/(COUNTIF($FJ$2:$FJ$92, "&lt;&gt;""") - COUNTIF($FJ$2:$FJ$92, ""))</f>
        <v>0.41111111111111109</v>
      </c>
      <c r="FL280" s="207"/>
      <c r="FM280" s="192">
        <f t="shared" si="93"/>
        <v>5</v>
      </c>
      <c r="FN280" s="192" t="e">
        <f t="shared" ca="1" si="94"/>
        <v>#NAME?</v>
      </c>
      <c r="FO280" s="192" t="e">
        <f t="shared" ca="1" si="95"/>
        <v>#NAME?</v>
      </c>
      <c r="FP280" s="192" t="e">
        <f t="shared" ca="1" si="96"/>
        <v>#NAME?</v>
      </c>
      <c r="FQ280" s="209" t="e">
        <f t="shared" ca="1" si="97"/>
        <v>#NAME?</v>
      </c>
      <c r="FR280" s="208" t="e">
        <f t="shared" ca="1" si="420"/>
        <v>#NAME?</v>
      </c>
      <c r="FS280" s="36" t="str">
        <f t="shared" si="99"/>
        <v>Pre-Profit</v>
      </c>
      <c r="FT280" s="196">
        <f>COUNTIF($FS$2:$FS$92, FS280)/(COUNTIF($FS$2:$FS$92, "&lt;&gt;""") - COUNTIF($FZ$2:$FZ$92, ""))</f>
        <v>0.51111111111111107</v>
      </c>
      <c r="FU280" s="207"/>
      <c r="FV280" s="192" t="e">
        <f t="shared" ca="1" si="100"/>
        <v>#NAME?</v>
      </c>
      <c r="FW280" s="197" t="e">
        <f t="shared" ca="1" si="101"/>
        <v>#NAME?</v>
      </c>
      <c r="FX280" s="209" t="e">
        <f t="shared" ca="1" si="102"/>
        <v>#NAME?</v>
      </c>
      <c r="FY280" s="211" t="e">
        <f t="shared" ca="1" si="421"/>
        <v>#NAME?</v>
      </c>
      <c r="FZ280" s="36" t="str">
        <f t="shared" si="104"/>
        <v>Yes</v>
      </c>
      <c r="GA280" s="196">
        <f>COUNTIF($FZ$2:$FZ$92, FZ280)/(COUNTIF($FZ$2:$FZ$92, "&lt;&gt;""") - COUNTIF($FZ$2:$FZ$92, ""))</f>
        <v>0.23333333333333334</v>
      </c>
      <c r="GB280" s="196">
        <f t="shared" si="105"/>
        <v>0</v>
      </c>
      <c r="GC280" s="196">
        <f>COUNTIF($GB$2:$GB$92, GB280)/(COUNTIF($GB$2:$GB$92, "&lt;&gt;""") - COUNTIF($GB$2:$GB$92, ""))</f>
        <v>1.1111111111111112E-2</v>
      </c>
      <c r="GD280" s="196">
        <f t="shared" si="106"/>
        <v>0</v>
      </c>
      <c r="GE280" s="196">
        <f>COUNTIF($GD$2:$GD$92, GD280)/(COUNTIF($GD$2:$GD$92, "&lt;&gt;""") - COUNTIF($GD$2:$GD$92, ""))</f>
        <v>1.1111111111111112E-2</v>
      </c>
      <c r="GF280" s="207"/>
      <c r="GG280" s="36"/>
      <c r="GH280" s="209" t="e">
        <f t="shared" ca="1" si="107"/>
        <v>#NAME?</v>
      </c>
      <c r="GI280" s="212" t="e">
        <f t="shared" ca="1" si="422"/>
        <v>#NAME?</v>
      </c>
    </row>
    <row r="281" spans="1:191" ht="15.75" customHeight="1">
      <c r="A281" s="171"/>
      <c r="B281" s="171" t="s">
        <v>501</v>
      </c>
      <c r="C281" s="16">
        <v>1748253</v>
      </c>
      <c r="D281" s="233" t="s">
        <v>1897</v>
      </c>
      <c r="E281" s="270">
        <v>43832.565972222219</v>
      </c>
      <c r="F281" s="16" t="s">
        <v>312</v>
      </c>
      <c r="G281" s="235" t="s">
        <v>1898</v>
      </c>
      <c r="H281" s="235" t="s">
        <v>1899</v>
      </c>
      <c r="I281" s="241">
        <v>43822</v>
      </c>
      <c r="J281" s="233" t="s">
        <v>1900</v>
      </c>
      <c r="K281" s="233" t="s">
        <v>1897</v>
      </c>
      <c r="M281" s="29" t="s">
        <v>747</v>
      </c>
      <c r="N281" s="16" t="s">
        <v>168</v>
      </c>
      <c r="O281" s="16" t="s">
        <v>30</v>
      </c>
      <c r="P281" s="16" t="s">
        <v>174</v>
      </c>
      <c r="Q281" s="16" t="s">
        <v>35</v>
      </c>
      <c r="S281" s="16" t="s">
        <v>216</v>
      </c>
      <c r="T281" s="237"/>
      <c r="U281" s="213"/>
      <c r="V281" s="54">
        <v>7000000</v>
      </c>
      <c r="W281" s="54"/>
      <c r="X281" s="226"/>
      <c r="Y281" s="55" t="str">
        <f t="shared" si="158"/>
        <v/>
      </c>
      <c r="Z281" s="274">
        <f t="shared" si="159"/>
        <v>7000000</v>
      </c>
      <c r="AA281" s="183" t="e">
        <f t="shared" ca="1" si="160"/>
        <v>#NAME?</v>
      </c>
      <c r="AB281" s="16" t="s">
        <v>178</v>
      </c>
      <c r="AC281" s="16" t="s">
        <v>179</v>
      </c>
      <c r="AD281" s="16" t="s">
        <v>38</v>
      </c>
      <c r="AE281" s="16" t="s">
        <v>227</v>
      </c>
      <c r="AF281" s="16" t="s">
        <v>181</v>
      </c>
      <c r="AG281" s="16" t="s">
        <v>181</v>
      </c>
      <c r="AH281" s="16" t="s">
        <v>190</v>
      </c>
      <c r="AI281" s="54"/>
      <c r="AJ281" s="278">
        <v>153400000</v>
      </c>
      <c r="AK281" s="224" t="e">
        <f t="shared" ca="1" si="161"/>
        <v>#NAME?</v>
      </c>
      <c r="AL281" s="278">
        <v>153400000</v>
      </c>
      <c r="AM281" s="224" t="e">
        <f t="shared" ca="1" si="162"/>
        <v>#NAME?</v>
      </c>
      <c r="AN281" s="278">
        <v>7.0000000000000007E-2</v>
      </c>
      <c r="AO281" s="185" t="e">
        <f t="shared" ca="1" si="63"/>
        <v>#NAME?</v>
      </c>
      <c r="AP281" s="185" t="s">
        <v>264</v>
      </c>
      <c r="AQ281" s="16" t="s">
        <v>39</v>
      </c>
      <c r="AR281" s="16" t="s">
        <v>181</v>
      </c>
      <c r="AS281" s="16" t="s">
        <v>42</v>
      </c>
      <c r="AT281" s="159"/>
      <c r="AU281" s="159"/>
      <c r="AV281" s="16" t="s">
        <v>227</v>
      </c>
      <c r="AW281" s="16" t="s">
        <v>190</v>
      </c>
      <c r="AX281" s="16" t="s">
        <v>227</v>
      </c>
      <c r="AY281" s="16" t="s">
        <v>227</v>
      </c>
      <c r="AZ281" s="54">
        <v>48597</v>
      </c>
      <c r="BA281" s="55" t="e">
        <f t="shared" ca="1" si="163"/>
        <v>#NAME?</v>
      </c>
      <c r="BB281" s="278">
        <v>234</v>
      </c>
      <c r="BC281" s="278">
        <v>30099</v>
      </c>
      <c r="BD281" s="62" t="e">
        <f t="shared" ca="1" si="164"/>
        <v>#NAME?</v>
      </c>
      <c r="BE281" s="277">
        <f t="shared" si="165"/>
        <v>7.7743446626133755E-3</v>
      </c>
      <c r="BF281" s="62" t="e">
        <f t="shared" ca="1" si="166"/>
        <v>#NAME?</v>
      </c>
      <c r="BG281" s="16" t="s">
        <v>202</v>
      </c>
      <c r="BI281" s="16" t="s">
        <v>190</v>
      </c>
      <c r="BJ281" s="16">
        <v>0</v>
      </c>
      <c r="BK281" s="278">
        <v>3</v>
      </c>
      <c r="BL281" s="16" t="s">
        <v>227</v>
      </c>
      <c r="BM281" s="16" t="s">
        <v>190</v>
      </c>
      <c r="BN281" s="16" t="s">
        <v>190</v>
      </c>
      <c r="BO281" s="16" t="s">
        <v>190</v>
      </c>
      <c r="BP281" s="16">
        <v>1</v>
      </c>
      <c r="BQ281" s="16">
        <v>3</v>
      </c>
      <c r="BR281" s="16">
        <v>0</v>
      </c>
      <c r="BS281" s="16">
        <v>0</v>
      </c>
      <c r="BT281" s="205"/>
      <c r="BU281" s="16">
        <v>20</v>
      </c>
      <c r="BV281" s="16">
        <v>0</v>
      </c>
      <c r="BW281" s="16">
        <v>48</v>
      </c>
      <c r="BX281" s="16" t="s">
        <v>190</v>
      </c>
      <c r="BY281" s="205"/>
      <c r="CD281" s="205"/>
      <c r="CE281" s="16">
        <v>0</v>
      </c>
      <c r="CF281" s="16">
        <v>0</v>
      </c>
      <c r="CI281" s="205"/>
      <c r="CN281" s="205"/>
      <c r="CS281" s="205"/>
      <c r="CX281" s="205"/>
      <c r="DC281" s="205"/>
      <c r="DH281" s="205"/>
      <c r="DM281" s="205"/>
      <c r="DN281" s="205"/>
      <c r="DO281" s="205"/>
      <c r="DQ281" s="206"/>
      <c r="DR281" s="188">
        <f t="shared" si="64"/>
        <v>10</v>
      </c>
      <c r="DS281" s="188"/>
      <c r="DT281" s="189">
        <f t="shared" si="65"/>
        <v>0</v>
      </c>
      <c r="DU281" s="189"/>
      <c r="DV281" s="188">
        <f t="shared" si="66"/>
        <v>48</v>
      </c>
      <c r="DW281" s="183" t="e">
        <f t="shared" ca="1" si="67"/>
        <v>#NAME?</v>
      </c>
      <c r="DX281" s="207"/>
      <c r="DY281" s="190" t="e">
        <f t="shared" ca="1" si="68"/>
        <v>#NAME?</v>
      </c>
      <c r="DZ281" s="191" t="str">
        <f t="shared" si="412"/>
        <v/>
      </c>
      <c r="EA281" s="191" t="str">
        <f t="shared" si="413"/>
        <v/>
      </c>
      <c r="EB281" s="191" t="str">
        <f t="shared" si="414"/>
        <v/>
      </c>
      <c r="EC281" s="208" t="e">
        <f t="shared" ca="1" si="72"/>
        <v>#NAME?</v>
      </c>
      <c r="ED281" s="36" t="str">
        <f t="shared" si="73"/>
        <v>Equity - Common</v>
      </c>
      <c r="EE281" s="193">
        <f>COUNTIF($ED$2:$ED$92, ED281)/(COUNTIF($ED$2:$ED$92, "&lt;&gt;""") - COUNTIF($ED$2:$ED$92, ""))</f>
        <v>0.32222222222222224</v>
      </c>
      <c r="EF281" s="36" t="str">
        <f t="shared" si="74"/>
        <v>Early</v>
      </c>
      <c r="EG281" s="207"/>
      <c r="EH281" s="194" t="e">
        <f t="shared" ca="1" si="75"/>
        <v>#NAME?</v>
      </c>
      <c r="EI281" s="194" t="e">
        <f t="shared" ca="1" si="76"/>
        <v>#NAME?</v>
      </c>
      <c r="EJ281" s="209" t="e">
        <f t="shared" ca="1" si="77"/>
        <v>#NAME?</v>
      </c>
      <c r="EK281" s="208" t="e">
        <f t="shared" ca="1" si="415"/>
        <v>#NAME?</v>
      </c>
      <c r="EL281" s="36" t="str">
        <f t="shared" si="79"/>
        <v>Yes</v>
      </c>
      <c r="EM281" s="207"/>
      <c r="EN281" s="192">
        <f t="shared" si="416"/>
        <v>1.9523809523809523</v>
      </c>
      <c r="EO281" s="192">
        <f t="shared" si="417"/>
        <v>1</v>
      </c>
      <c r="EP281" s="209">
        <f t="shared" si="82"/>
        <v>2.9523809523809526</v>
      </c>
      <c r="EQ281" s="210">
        <f t="shared" si="418"/>
        <v>1.7476635514018692</v>
      </c>
      <c r="ER281" s="36" t="e">
        <f t="shared" ca="1" si="84"/>
        <v>#NAME?</v>
      </c>
      <c r="ES281" s="40">
        <f ca="1">COUNTIF($ER$2:$ER$92, ER281)/(COUNTIF($ER$2:$ER$92, "&lt;&gt;""") - COUNTIF($ER$2:$ER$92, ""))</f>
        <v>1</v>
      </c>
      <c r="ET281" s="36">
        <f t="shared" si="85"/>
        <v>3</v>
      </c>
      <c r="EU281" s="40">
        <f>COUNTIF($ET$2:$ET$92, ET281)/(COUNTIF($ET$2:$ET$92, "&lt;&gt;""") - COUNTIF($ET$2:$ET$92, ""))</f>
        <v>4.4444444444444446E-2</v>
      </c>
      <c r="EV281" s="36">
        <f t="shared" si="86"/>
        <v>3</v>
      </c>
      <c r="EW281" s="40">
        <f>COUNTIF($EV$2:$EV$92, EV281)/(COUNTIF($EV$2:$EV$92, "&lt;&gt;""") - COUNTIF($EV$2:$EV$92, ""))</f>
        <v>8.8888888888888892E-2</v>
      </c>
      <c r="EX281" s="36" t="str">
        <f t="shared" si="87"/>
        <v>Yes</v>
      </c>
      <c r="EY281" s="40">
        <f>COUNTIF($EX$2:$EX$92, EX281)/(COUNTIF($EX$2:$EX$92, "&lt;&gt;""") - COUNTIF($EX$2:$EX$92, ""))</f>
        <v>0.27777777777777779</v>
      </c>
      <c r="EZ281" s="36" t="str">
        <f t="shared" ref="EZ281:FB281" si="434">BM281</f>
        <v>No</v>
      </c>
      <c r="FA281" s="36" t="str">
        <f t="shared" si="434"/>
        <v>No</v>
      </c>
      <c r="FB281" s="36" t="str">
        <f t="shared" si="434"/>
        <v>No</v>
      </c>
      <c r="FC281" s="207"/>
      <c r="FD281" s="36" t="str">
        <f t="shared" si="89"/>
        <v>Recurring</v>
      </c>
      <c r="FE281" s="40">
        <f>COUNTIF($FD$2:$FD$92, FD281)/(COUNTIF($FD$2:$FD$92, "&lt;&gt;""") - COUNTIF($FD$2:$FD$92, ""))</f>
        <v>0.4</v>
      </c>
      <c r="FF281" s="36" t="str">
        <f t="shared" si="90"/>
        <v>B2C</v>
      </c>
      <c r="FG281" s="40">
        <f>COUNTIF($FF$2:$FF$92, FF281)/(COUNTIF($FF$2:$FF$92, "&lt;&gt;""") - COUNTIF($FF$2:$FF$92, ""))</f>
        <v>0.41111111111111109</v>
      </c>
      <c r="FH281" s="36" t="str">
        <f t="shared" si="91"/>
        <v>Low</v>
      </c>
      <c r="FI281" s="40">
        <f>COUNTIF($FH$2:$FH$92, FH281)/(COUNTIF($FH$2:$FH$92, "&lt;&gt;""") - COUNTIF($FH$2:$FH$92, ""))</f>
        <v>0.46666666666666667</v>
      </c>
      <c r="FJ281" s="36" t="str">
        <f t="shared" si="92"/>
        <v>Low</v>
      </c>
      <c r="FK281" s="40">
        <f>COUNTIF($FJ$2:$FJ$92, FJ281)/(COUNTIF($FJ$2:$FJ$92, "&lt;&gt;""") - COUNTIF($FJ$2:$FJ$92, ""))</f>
        <v>0.41111111111111109</v>
      </c>
      <c r="FL281" s="207"/>
      <c r="FM281" s="192">
        <f t="shared" si="93"/>
        <v>5</v>
      </c>
      <c r="FN281" s="192" t="e">
        <f t="shared" ca="1" si="94"/>
        <v>#NAME?</v>
      </c>
      <c r="FO281" s="192" t="e">
        <f t="shared" ca="1" si="95"/>
        <v>#NAME?</v>
      </c>
      <c r="FP281" s="192" t="e">
        <f t="shared" ca="1" si="96"/>
        <v>#NAME?</v>
      </c>
      <c r="FQ281" s="209" t="e">
        <f t="shared" ca="1" si="97"/>
        <v>#NAME?</v>
      </c>
      <c r="FR281" s="208" t="e">
        <f t="shared" ca="1" si="420"/>
        <v>#NAME?</v>
      </c>
      <c r="FS281" s="36" t="str">
        <f t="shared" si="99"/>
        <v>Pre-Profit</v>
      </c>
      <c r="FT281" s="196">
        <f>COUNTIF($FS$2:$FS$92, FS281)/(COUNTIF($FS$2:$FS$92, "&lt;&gt;""") - COUNTIF($FZ$2:$FZ$92, ""))</f>
        <v>0.51111111111111107</v>
      </c>
      <c r="FU281" s="207"/>
      <c r="FV281" s="192">
        <f t="shared" si="100"/>
        <v>3</v>
      </c>
      <c r="FW281" s="197" t="e">
        <f t="shared" ca="1" si="101"/>
        <v>#NAME?</v>
      </c>
      <c r="FX281" s="209" t="e">
        <f t="shared" ca="1" si="102"/>
        <v>#NAME?</v>
      </c>
      <c r="FY281" s="211" t="e">
        <f t="shared" ca="1" si="421"/>
        <v>#NAME?</v>
      </c>
      <c r="FZ281" s="36" t="str">
        <f t="shared" si="104"/>
        <v>No</v>
      </c>
      <c r="GA281" s="196">
        <f>COUNTIF($FZ$2:$FZ$92, FZ281)/(COUNTIF($FZ$2:$FZ$92, "&lt;&gt;""") - COUNTIF($FZ$2:$FZ$92, ""))</f>
        <v>0.76666666666666672</v>
      </c>
      <c r="GB281" s="196">
        <f t="shared" si="105"/>
        <v>0</v>
      </c>
      <c r="GC281" s="196">
        <f>COUNTIF($GB$2:$GB$92, GB281)/(COUNTIF($GB$2:$GB$92, "&lt;&gt;""") - COUNTIF($GB$2:$GB$92, ""))</f>
        <v>1.1111111111111112E-2</v>
      </c>
      <c r="GD281" s="196">
        <f t="shared" si="106"/>
        <v>0</v>
      </c>
      <c r="GE281" s="196">
        <f>COUNTIF($GD$2:$GD$92, GD281)/(COUNTIF($GD$2:$GD$92, "&lt;&gt;""") - COUNTIF($GD$2:$GD$92, ""))</f>
        <v>1.1111111111111112E-2</v>
      </c>
      <c r="GF281" s="207"/>
      <c r="GG281" s="36"/>
      <c r="GH281" s="209" t="e">
        <f t="shared" ca="1" si="107"/>
        <v>#NAME?</v>
      </c>
      <c r="GI281" s="212" t="e">
        <f t="shared" ca="1" si="422"/>
        <v>#NAME?</v>
      </c>
    </row>
    <row r="282" spans="1:191" ht="15.75" customHeight="1">
      <c r="A282" s="171"/>
      <c r="B282" s="171" t="s">
        <v>501</v>
      </c>
      <c r="C282" s="16">
        <v>1758447</v>
      </c>
      <c r="D282" s="233" t="s">
        <v>1901</v>
      </c>
      <c r="E282" s="270">
        <v>43832.567361111112</v>
      </c>
      <c r="F282" s="16" t="s">
        <v>312</v>
      </c>
      <c r="G282" s="235" t="s">
        <v>1902</v>
      </c>
      <c r="H282" s="235" t="s">
        <v>1903</v>
      </c>
      <c r="I282" s="271">
        <v>43832</v>
      </c>
      <c r="J282" s="233" t="s">
        <v>1904</v>
      </c>
      <c r="K282" s="233" t="s">
        <v>1901</v>
      </c>
      <c r="M282" s="16" t="s">
        <v>319</v>
      </c>
      <c r="N282" s="16" t="s">
        <v>29</v>
      </c>
      <c r="O282" s="16" t="s">
        <v>173</v>
      </c>
      <c r="P282" s="16" t="s">
        <v>214</v>
      </c>
      <c r="Q282" s="16" t="s">
        <v>35</v>
      </c>
      <c r="S282" s="16" t="s">
        <v>216</v>
      </c>
      <c r="T282" s="237"/>
      <c r="U282" s="213"/>
      <c r="V282" s="54">
        <v>8000000</v>
      </c>
      <c r="W282" s="54"/>
      <c r="X282" s="226"/>
      <c r="Y282" s="55" t="str">
        <f t="shared" si="158"/>
        <v/>
      </c>
      <c r="Z282" s="274">
        <f t="shared" si="159"/>
        <v>8000000</v>
      </c>
      <c r="AA282" s="183" t="e">
        <f t="shared" ca="1" si="160"/>
        <v>#NAME?</v>
      </c>
      <c r="AB282" s="16" t="s">
        <v>178</v>
      </c>
      <c r="AC282" s="16" t="s">
        <v>37</v>
      </c>
      <c r="AD282" s="16" t="s">
        <v>180</v>
      </c>
      <c r="AE282" s="16" t="s">
        <v>227</v>
      </c>
      <c r="AF282" s="16" t="s">
        <v>39</v>
      </c>
      <c r="AG282" s="16" t="s">
        <v>181</v>
      </c>
      <c r="AH282" s="16" t="s">
        <v>190</v>
      </c>
      <c r="AI282" s="54"/>
      <c r="AJ282" s="278">
        <v>504580000000</v>
      </c>
      <c r="AK282" s="224" t="e">
        <f t="shared" ca="1" si="161"/>
        <v>#NAME?</v>
      </c>
      <c r="AL282" s="278">
        <v>504580000000</v>
      </c>
      <c r="AM282" s="224" t="e">
        <f t="shared" ca="1" si="162"/>
        <v>#NAME?</v>
      </c>
      <c r="AN282" s="278">
        <v>0.38</v>
      </c>
      <c r="AO282" s="185" t="e">
        <f t="shared" ca="1" si="63"/>
        <v>#NAME?</v>
      </c>
      <c r="AP282" s="185" t="s">
        <v>264</v>
      </c>
      <c r="AQ282" s="16" t="s">
        <v>181</v>
      </c>
      <c r="AR282" s="16" t="s">
        <v>181</v>
      </c>
      <c r="AS282" s="16" t="s">
        <v>42</v>
      </c>
      <c r="AT282" s="159"/>
      <c r="AU282" s="159"/>
      <c r="AV282" s="16" t="s">
        <v>190</v>
      </c>
      <c r="AW282" s="16" t="s">
        <v>190</v>
      </c>
      <c r="AX282" s="16" t="s">
        <v>227</v>
      </c>
      <c r="AY282" s="16" t="s">
        <v>227</v>
      </c>
      <c r="AZ282" s="54">
        <v>2646599</v>
      </c>
      <c r="BA282" s="55" t="e">
        <f t="shared" ca="1" si="163"/>
        <v>#NAME?</v>
      </c>
      <c r="BB282" s="278">
        <v>9157</v>
      </c>
      <c r="BC282" s="278">
        <v>0</v>
      </c>
      <c r="BD282" s="62" t="e">
        <f t="shared" ca="1" si="164"/>
        <v>#NAME?</v>
      </c>
      <c r="BE282" s="277">
        <f t="shared" si="165"/>
        <v>1</v>
      </c>
      <c r="BF282" s="62" t="e">
        <f t="shared" ca="1" si="166"/>
        <v>#NAME?</v>
      </c>
      <c r="BG282" s="16" t="s">
        <v>219</v>
      </c>
      <c r="BI282" s="16" t="s">
        <v>190</v>
      </c>
      <c r="BJ282" s="16">
        <v>0</v>
      </c>
      <c r="BK282" s="278">
        <v>5</v>
      </c>
      <c r="BL282" s="16" t="s">
        <v>227</v>
      </c>
      <c r="BM282" s="16" t="s">
        <v>190</v>
      </c>
      <c r="BN282" s="16" t="s">
        <v>190</v>
      </c>
      <c r="BO282" s="16" t="s">
        <v>190</v>
      </c>
      <c r="BP282" s="16">
        <v>6</v>
      </c>
      <c r="BQ282" s="16">
        <v>20</v>
      </c>
      <c r="BR282" s="16">
        <v>0</v>
      </c>
      <c r="BS282" s="16">
        <v>0</v>
      </c>
      <c r="BT282" s="205"/>
      <c r="BU282" s="16">
        <v>8</v>
      </c>
      <c r="BV282" s="16">
        <v>0</v>
      </c>
      <c r="BW282" s="16">
        <v>42</v>
      </c>
      <c r="BX282" s="16" t="s">
        <v>190</v>
      </c>
      <c r="BY282" s="205"/>
      <c r="BZ282" s="16">
        <v>9</v>
      </c>
      <c r="CA282" s="16">
        <v>0</v>
      </c>
      <c r="CB282" s="16">
        <v>38</v>
      </c>
      <c r="CC282" s="16" t="s">
        <v>190</v>
      </c>
      <c r="CD282" s="205"/>
      <c r="CE282" s="16">
        <v>8</v>
      </c>
      <c r="CF282" s="16">
        <v>0</v>
      </c>
      <c r="CG282" s="16">
        <v>54</v>
      </c>
      <c r="CH282" s="16" t="s">
        <v>190</v>
      </c>
      <c r="CI282" s="205"/>
      <c r="CJ282" s="16">
        <v>10</v>
      </c>
      <c r="CK282" s="16">
        <v>0</v>
      </c>
      <c r="CL282" s="16">
        <v>41</v>
      </c>
      <c r="CM282" s="16" t="s">
        <v>190</v>
      </c>
      <c r="CN282" s="205"/>
      <c r="CO282" s="16">
        <v>7</v>
      </c>
      <c r="CP282" s="16">
        <v>0</v>
      </c>
      <c r="CR282" s="16" t="s">
        <v>190</v>
      </c>
      <c r="CS282" s="205"/>
      <c r="CX282" s="205"/>
      <c r="DC282" s="205"/>
      <c r="DH282" s="205"/>
      <c r="DM282" s="205"/>
      <c r="DN282" s="205"/>
      <c r="DO282" s="205"/>
      <c r="DQ282" s="206"/>
      <c r="DR282" s="188">
        <f t="shared" si="64"/>
        <v>8.4</v>
      </c>
      <c r="DS282" s="188"/>
      <c r="DT282" s="189">
        <f t="shared" si="65"/>
        <v>0</v>
      </c>
      <c r="DU282" s="189"/>
      <c r="DV282" s="188">
        <f t="shared" si="66"/>
        <v>43.75</v>
      </c>
      <c r="DW282" s="183" t="e">
        <f t="shared" ca="1" si="67"/>
        <v>#NAME?</v>
      </c>
      <c r="DX282" s="207"/>
      <c r="DY282" s="190" t="e">
        <f t="shared" ca="1" si="68"/>
        <v>#NAME?</v>
      </c>
      <c r="DZ282" s="191" t="str">
        <f t="shared" si="412"/>
        <v/>
      </c>
      <c r="EA282" s="191" t="str">
        <f t="shared" si="413"/>
        <v/>
      </c>
      <c r="EB282" s="191" t="str">
        <f t="shared" si="414"/>
        <v/>
      </c>
      <c r="EC282" s="208" t="e">
        <f t="shared" ca="1" si="72"/>
        <v>#NAME?</v>
      </c>
      <c r="ED282" s="36" t="str">
        <f t="shared" si="73"/>
        <v>Equity - Common</v>
      </c>
      <c r="EE282" s="193">
        <f>COUNTIF($ED$2:$ED$92, ED282)/(COUNTIF($ED$2:$ED$92, "&lt;&gt;""") - COUNTIF($ED$2:$ED$92, ""))</f>
        <v>0.32222222222222224</v>
      </c>
      <c r="EF282" s="36" t="str">
        <f t="shared" si="74"/>
        <v>Growth</v>
      </c>
      <c r="EG282" s="207"/>
      <c r="EH282" s="194" t="e">
        <f t="shared" ca="1" si="75"/>
        <v>#NAME?</v>
      </c>
      <c r="EI282" s="194" t="e">
        <f t="shared" ca="1" si="76"/>
        <v>#NAME?</v>
      </c>
      <c r="EJ282" s="209" t="e">
        <f t="shared" ca="1" si="77"/>
        <v>#NAME?</v>
      </c>
      <c r="EK282" s="208" t="e">
        <f t="shared" ca="1" si="415"/>
        <v>#NAME?</v>
      </c>
      <c r="EL282" s="36" t="str">
        <f t="shared" si="79"/>
        <v>No</v>
      </c>
      <c r="EM282" s="207"/>
      <c r="EN282" s="192">
        <f t="shared" si="416"/>
        <v>1.8</v>
      </c>
      <c r="EO282" s="192">
        <f t="shared" si="417"/>
        <v>1</v>
      </c>
      <c r="EP282" s="209">
        <f t="shared" si="82"/>
        <v>2.8</v>
      </c>
      <c r="EQ282" s="210">
        <f t="shared" si="418"/>
        <v>1.6280373831775701</v>
      </c>
      <c r="ER282" s="36" t="e">
        <f t="shared" ca="1" si="84"/>
        <v>#NAME?</v>
      </c>
      <c r="ES282" s="40">
        <f ca="1">COUNTIF($ER$2:$ER$92, ER282)/(COUNTIF($ER$2:$ER$92, "&lt;&gt;""") - COUNTIF($ER$2:$ER$92, ""))</f>
        <v>1</v>
      </c>
      <c r="ET282" s="36">
        <f t="shared" si="85"/>
        <v>5</v>
      </c>
      <c r="EU282" s="40">
        <f>COUNTIF($ET$2:$ET$92, ET282)/(COUNTIF($ET$2:$ET$92, "&lt;&gt;""") - COUNTIF($ET$2:$ET$92, ""))</f>
        <v>0</v>
      </c>
      <c r="EV282" s="36">
        <f t="shared" si="86"/>
        <v>20</v>
      </c>
      <c r="EW282" s="40">
        <f>COUNTIF($EV$2:$EV$92, EV282)/(COUNTIF($EV$2:$EV$92, "&lt;&gt;""") - COUNTIF($EV$2:$EV$92, ""))</f>
        <v>2.2222222222222223E-2</v>
      </c>
      <c r="EX282" s="36" t="str">
        <f t="shared" si="87"/>
        <v>Yes</v>
      </c>
      <c r="EY282" s="40">
        <f>COUNTIF($EX$2:$EX$92, EX282)/(COUNTIF($EX$2:$EX$92, "&lt;&gt;""") - COUNTIF($EX$2:$EX$92, ""))</f>
        <v>0.27777777777777779</v>
      </c>
      <c r="EZ282" s="36" t="str">
        <f t="shared" ref="EZ282:FB282" si="435">BM282</f>
        <v>No</v>
      </c>
      <c r="FA282" s="36" t="str">
        <f t="shared" si="435"/>
        <v>No</v>
      </c>
      <c r="FB282" s="36" t="str">
        <f t="shared" si="435"/>
        <v>No</v>
      </c>
      <c r="FC282" s="207"/>
      <c r="FD282" s="36" t="str">
        <f t="shared" si="89"/>
        <v>Recurring</v>
      </c>
      <c r="FE282" s="40">
        <f>COUNTIF($FD$2:$FD$92, FD282)/(COUNTIF($FD$2:$FD$92, "&lt;&gt;""") - COUNTIF($FD$2:$FD$92, ""))</f>
        <v>0.4</v>
      </c>
      <c r="FF282" s="36" t="str">
        <f t="shared" si="90"/>
        <v>B2B</v>
      </c>
      <c r="FG282" s="40">
        <f>COUNTIF($FF$2:$FF$92, FF282)/(COUNTIF($FF$2:$FF$92, "&lt;&gt;""") - COUNTIF($FF$2:$FF$92, ""))</f>
        <v>0.24444444444444444</v>
      </c>
      <c r="FH282" s="36" t="str">
        <f t="shared" si="91"/>
        <v>High</v>
      </c>
      <c r="FI282" s="40">
        <f>COUNTIF($FH$2:$FH$92, FH282)/(COUNTIF($FH$2:$FH$92, "&lt;&gt;""") - COUNTIF($FH$2:$FH$92, ""))</f>
        <v>0.53333333333333333</v>
      </c>
      <c r="FJ282" s="36" t="str">
        <f t="shared" si="92"/>
        <v>Low</v>
      </c>
      <c r="FK282" s="40">
        <f>COUNTIF($FJ$2:$FJ$92, FJ282)/(COUNTIF($FJ$2:$FJ$92, "&lt;&gt;""") - COUNTIF($FJ$2:$FJ$92, ""))</f>
        <v>0.41111111111111109</v>
      </c>
      <c r="FL282" s="207"/>
      <c r="FM282" s="192">
        <f t="shared" si="93"/>
        <v>5</v>
      </c>
      <c r="FN282" s="192" t="e">
        <f t="shared" ca="1" si="94"/>
        <v>#NAME?</v>
      </c>
      <c r="FO282" s="192" t="e">
        <f t="shared" ca="1" si="95"/>
        <v>#NAME?</v>
      </c>
      <c r="FP282" s="192" t="e">
        <f t="shared" ca="1" si="96"/>
        <v>#NAME?</v>
      </c>
      <c r="FQ282" s="209" t="e">
        <f t="shared" ca="1" si="97"/>
        <v>#NAME?</v>
      </c>
      <c r="FR282" s="208" t="e">
        <f t="shared" ca="1" si="420"/>
        <v>#NAME?</v>
      </c>
      <c r="FS282" s="36" t="str">
        <f t="shared" si="99"/>
        <v>Profitable</v>
      </c>
      <c r="FT282" s="196">
        <f>COUNTIF($FS$2:$FS$92, FS282)/(COUNTIF($FS$2:$FS$92, "&lt;&gt;""") - COUNTIF($FZ$2:$FZ$92, ""))</f>
        <v>6.6666666666666666E-2</v>
      </c>
      <c r="FU282" s="207"/>
      <c r="FV282" s="192" t="e">
        <f t="shared" ca="1" si="100"/>
        <v>#NAME?</v>
      </c>
      <c r="FW282" s="197" t="e">
        <f t="shared" ca="1" si="101"/>
        <v>#NAME?</v>
      </c>
      <c r="FX282" s="209" t="e">
        <f t="shared" ca="1" si="102"/>
        <v>#NAME?</v>
      </c>
      <c r="FY282" s="211" t="e">
        <f t="shared" ca="1" si="421"/>
        <v>#NAME?</v>
      </c>
      <c r="FZ282" s="36" t="str">
        <f t="shared" si="104"/>
        <v>No</v>
      </c>
      <c r="GA282" s="196">
        <f>COUNTIF($FZ$2:$FZ$92, FZ282)/(COUNTIF($FZ$2:$FZ$92, "&lt;&gt;""") - COUNTIF($FZ$2:$FZ$92, ""))</f>
        <v>0.76666666666666672</v>
      </c>
      <c r="GB282" s="196">
        <f t="shared" si="105"/>
        <v>0</v>
      </c>
      <c r="GC282" s="196">
        <f>COUNTIF($GB$2:$GB$92, GB282)/(COUNTIF($GB$2:$GB$92, "&lt;&gt;""") - COUNTIF($GB$2:$GB$92, ""))</f>
        <v>1.1111111111111112E-2</v>
      </c>
      <c r="GD282" s="196">
        <f t="shared" si="106"/>
        <v>0</v>
      </c>
      <c r="GE282" s="196">
        <f>COUNTIF($GD$2:$GD$92, GD282)/(COUNTIF($GD$2:$GD$92, "&lt;&gt;""") - COUNTIF($GD$2:$GD$92, ""))</f>
        <v>1.1111111111111112E-2</v>
      </c>
      <c r="GF282" s="207"/>
      <c r="GG282" s="36"/>
      <c r="GH282" s="209" t="e">
        <f t="shared" ca="1" si="107"/>
        <v>#NAME?</v>
      </c>
      <c r="GI282" s="212" t="e">
        <f t="shared" ca="1" si="422"/>
        <v>#NAME?</v>
      </c>
    </row>
    <row r="283" spans="1:191" ht="15.75" customHeight="1">
      <c r="A283" s="171"/>
      <c r="B283" s="171" t="s">
        <v>501</v>
      </c>
      <c r="C283" s="16">
        <v>1742800</v>
      </c>
      <c r="D283" s="233" t="s">
        <v>1905</v>
      </c>
      <c r="E283" s="270">
        <v>43832.581250000003</v>
      </c>
      <c r="F283" s="16" t="s">
        <v>325</v>
      </c>
      <c r="G283" s="235" t="s">
        <v>1906</v>
      </c>
      <c r="H283" s="235" t="s">
        <v>1907</v>
      </c>
      <c r="I283" s="271">
        <v>43733</v>
      </c>
      <c r="J283" s="233" t="s">
        <v>1908</v>
      </c>
      <c r="K283" s="233" t="s">
        <v>1909</v>
      </c>
      <c r="M283" s="29" t="s">
        <v>243</v>
      </c>
      <c r="N283" s="16" t="s">
        <v>168</v>
      </c>
      <c r="O283" s="16" t="s">
        <v>30</v>
      </c>
      <c r="P283" s="16" t="s">
        <v>31</v>
      </c>
      <c r="Q283" s="16" t="s">
        <v>35</v>
      </c>
      <c r="S283" s="16" t="s">
        <v>34</v>
      </c>
      <c r="T283" s="237"/>
      <c r="U283" s="213"/>
      <c r="V283" s="54"/>
      <c r="W283" s="54">
        <v>450000</v>
      </c>
      <c r="X283" s="226">
        <v>0</v>
      </c>
      <c r="Y283" s="55">
        <f t="shared" si="158"/>
        <v>450000</v>
      </c>
      <c r="Z283" s="274">
        <f t="shared" si="159"/>
        <v>450000</v>
      </c>
      <c r="AA283" s="183" t="e">
        <f t="shared" ca="1" si="160"/>
        <v>#NAME?</v>
      </c>
      <c r="AB283" s="16" t="s">
        <v>36</v>
      </c>
      <c r="AC283" s="16" t="s">
        <v>218</v>
      </c>
      <c r="AD283" s="16" t="s">
        <v>38</v>
      </c>
      <c r="AE283" s="16" t="s">
        <v>227</v>
      </c>
      <c r="AF283" s="16" t="s">
        <v>181</v>
      </c>
      <c r="AG283" s="16" t="s">
        <v>181</v>
      </c>
      <c r="AH283" s="16" t="s">
        <v>190</v>
      </c>
      <c r="AI283" s="54"/>
      <c r="AJ283" s="278">
        <v>4260000000</v>
      </c>
      <c r="AK283" s="224" t="e">
        <f t="shared" ca="1" si="161"/>
        <v>#NAME?</v>
      </c>
      <c r="AL283" s="278">
        <v>4260000000</v>
      </c>
      <c r="AM283" s="224" t="e">
        <f t="shared" ca="1" si="162"/>
        <v>#NAME?</v>
      </c>
      <c r="AN283" s="278">
        <v>0.04</v>
      </c>
      <c r="AO283" s="185" t="e">
        <f t="shared" ca="1" si="63"/>
        <v>#NAME?</v>
      </c>
      <c r="AP283" s="185" t="s">
        <v>264</v>
      </c>
      <c r="AQ283" s="16" t="s">
        <v>181</v>
      </c>
      <c r="AR283" s="16" t="s">
        <v>181</v>
      </c>
      <c r="AS283" s="16" t="s">
        <v>42</v>
      </c>
      <c r="AT283" s="159"/>
      <c r="AU283" s="159"/>
      <c r="AV283" s="16" t="s">
        <v>190</v>
      </c>
      <c r="AW283" s="16" t="s">
        <v>190</v>
      </c>
      <c r="AX283" s="16" t="s">
        <v>190</v>
      </c>
      <c r="AY283" s="16" t="s">
        <v>190</v>
      </c>
      <c r="AZ283" s="54">
        <v>0</v>
      </c>
      <c r="BA283" s="55" t="e">
        <f t="shared" ca="1" si="163"/>
        <v>#NAME?</v>
      </c>
      <c r="BB283" s="278">
        <v>365</v>
      </c>
      <c r="BC283" s="278">
        <v>0</v>
      </c>
      <c r="BD283" s="62" t="e">
        <f t="shared" ca="1" si="164"/>
        <v>#NAME?</v>
      </c>
      <c r="BE283" s="277">
        <f t="shared" si="165"/>
        <v>1</v>
      </c>
      <c r="BF283" s="62" t="e">
        <f t="shared" ca="1" si="166"/>
        <v>#NAME?</v>
      </c>
      <c r="BG283" s="16" t="s">
        <v>43</v>
      </c>
      <c r="BI283" s="16" t="s">
        <v>190</v>
      </c>
      <c r="BJ283" s="16">
        <v>0</v>
      </c>
      <c r="BK283" s="278">
        <v>1</v>
      </c>
      <c r="BL283" s="16" t="s">
        <v>190</v>
      </c>
      <c r="BM283" s="16" t="s">
        <v>190</v>
      </c>
      <c r="BN283" s="16" t="s">
        <v>227</v>
      </c>
      <c r="BO283" s="16" t="s">
        <v>190</v>
      </c>
      <c r="BP283" s="16">
        <v>0</v>
      </c>
      <c r="BQ283" s="16">
        <v>2</v>
      </c>
      <c r="BR283" s="16">
        <v>0</v>
      </c>
      <c r="BS283" s="16">
        <v>0</v>
      </c>
      <c r="BT283" s="205"/>
      <c r="BU283" s="16">
        <v>0</v>
      </c>
      <c r="BV283" s="16">
        <v>0</v>
      </c>
      <c r="BW283" s="16">
        <v>59</v>
      </c>
      <c r="BX283" s="16" t="s">
        <v>190</v>
      </c>
      <c r="BY283" s="205"/>
      <c r="CD283" s="205"/>
      <c r="CI283" s="205"/>
      <c r="CN283" s="205"/>
      <c r="CS283" s="205"/>
      <c r="CX283" s="205"/>
      <c r="DC283" s="205"/>
      <c r="DH283" s="205"/>
      <c r="DM283" s="205"/>
      <c r="DN283" s="205"/>
      <c r="DO283" s="205"/>
      <c r="DQ283" s="206"/>
      <c r="DR283" s="188">
        <f t="shared" si="64"/>
        <v>0</v>
      </c>
      <c r="DS283" s="188"/>
      <c r="DT283" s="189">
        <f t="shared" si="65"/>
        <v>0</v>
      </c>
      <c r="DU283" s="189"/>
      <c r="DV283" s="188">
        <f t="shared" si="66"/>
        <v>59</v>
      </c>
      <c r="DW283" s="183" t="e">
        <f t="shared" ca="1" si="67"/>
        <v>#NAME?</v>
      </c>
      <c r="DX283" s="207"/>
      <c r="DY283" s="190" t="e">
        <f t="shared" ca="1" si="68"/>
        <v>#NAME?</v>
      </c>
      <c r="DZ283" s="191">
        <f t="shared" si="412"/>
        <v>1</v>
      </c>
      <c r="EA283" s="191" t="str">
        <f t="shared" si="413"/>
        <v/>
      </c>
      <c r="EB283" s="191" t="str">
        <f t="shared" si="414"/>
        <v/>
      </c>
      <c r="EC283" s="208" t="e">
        <f t="shared" ca="1" si="72"/>
        <v>#NAME?</v>
      </c>
      <c r="ED283" s="36" t="str">
        <f t="shared" si="73"/>
        <v>CAFES</v>
      </c>
      <c r="EE283" s="193">
        <f>COUNTIF($ED$2:$ED$92, ED283)/(COUNTIF($ED$2:$ED$92, "&lt;&gt;""") - COUNTIF($ED$2:$ED$92, ""))</f>
        <v>0.1</v>
      </c>
      <c r="EF283" s="36" t="str">
        <f t="shared" si="74"/>
        <v>Early</v>
      </c>
      <c r="EG283" s="207"/>
      <c r="EH283" s="194" t="e">
        <f t="shared" ca="1" si="75"/>
        <v>#NAME?</v>
      </c>
      <c r="EI283" s="194" t="e">
        <f t="shared" ca="1" si="76"/>
        <v>#NAME?</v>
      </c>
      <c r="EJ283" s="209" t="e">
        <f t="shared" ca="1" si="77"/>
        <v>#NAME?</v>
      </c>
      <c r="EK283" s="208" t="e">
        <f t="shared" ca="1" si="415"/>
        <v>#NAME?</v>
      </c>
      <c r="EL283" s="36" t="str">
        <f t="shared" si="79"/>
        <v>No</v>
      </c>
      <c r="EM283" s="207"/>
      <c r="EN283" s="192">
        <f t="shared" si="416"/>
        <v>1</v>
      </c>
      <c r="EO283" s="192">
        <f t="shared" si="417"/>
        <v>1</v>
      </c>
      <c r="EP283" s="209">
        <f t="shared" si="82"/>
        <v>2</v>
      </c>
      <c r="EQ283" s="210">
        <f t="shared" si="418"/>
        <v>1</v>
      </c>
      <c r="ER283" s="36" t="e">
        <f t="shared" ca="1" si="84"/>
        <v>#NAME?</v>
      </c>
      <c r="ES283" s="40">
        <f ca="1">COUNTIF($ER$2:$ER$92, ER283)/(COUNTIF($ER$2:$ER$92, "&lt;&gt;""") - COUNTIF($ER$2:$ER$92, ""))</f>
        <v>1</v>
      </c>
      <c r="ET283" s="36">
        <f t="shared" si="85"/>
        <v>1</v>
      </c>
      <c r="EU283" s="40">
        <f>COUNTIF($ET$2:$ET$92, ET283)/(COUNTIF($ET$2:$ET$92, "&lt;&gt;""") - COUNTIF($ET$2:$ET$92, ""))</f>
        <v>0.45555555555555555</v>
      </c>
      <c r="EV283" s="36">
        <f t="shared" si="86"/>
        <v>2</v>
      </c>
      <c r="EW283" s="40">
        <f>COUNTIF($EV$2:$EV$92, EV283)/(COUNTIF($EV$2:$EV$92, "&lt;&gt;""") - COUNTIF($EV$2:$EV$92, ""))</f>
        <v>0.15555555555555556</v>
      </c>
      <c r="EX283" s="36" t="str">
        <f t="shared" si="87"/>
        <v>No</v>
      </c>
      <c r="EY283" s="40">
        <f>COUNTIF($EX$2:$EX$92, EX283)/(COUNTIF($EX$2:$EX$92, "&lt;&gt;""") - COUNTIF($EX$2:$EX$92, ""))</f>
        <v>0.72222222222222221</v>
      </c>
      <c r="EZ283" s="36" t="str">
        <f t="shared" ref="EZ283:FB283" si="436">BM283</f>
        <v>No</v>
      </c>
      <c r="FA283" s="36" t="str">
        <f t="shared" si="436"/>
        <v>Yes</v>
      </c>
      <c r="FB283" s="36" t="str">
        <f t="shared" si="436"/>
        <v>No</v>
      </c>
      <c r="FC283" s="207"/>
      <c r="FD283" s="36" t="str">
        <f t="shared" si="89"/>
        <v>Transactional</v>
      </c>
      <c r="FE283" s="40">
        <f>COUNTIF($FD$2:$FD$92, FD283)/(COUNTIF($FD$2:$FD$92, "&lt;&gt;""") - COUNTIF($FD$2:$FD$92, ""))</f>
        <v>0.6</v>
      </c>
      <c r="FF283" s="36" t="str">
        <f t="shared" si="90"/>
        <v>B2B/B2C</v>
      </c>
      <c r="FG283" s="40">
        <f>COUNTIF($FF$2:$FF$92, FF283)/(COUNTIF($FF$2:$FF$92, "&lt;&gt;""") - COUNTIF($FF$2:$FF$92, ""))</f>
        <v>0.27777777777777779</v>
      </c>
      <c r="FH283" s="36" t="str">
        <f t="shared" si="91"/>
        <v>Low</v>
      </c>
      <c r="FI283" s="40">
        <f>COUNTIF($FH$2:$FH$92, FH283)/(COUNTIF($FH$2:$FH$92, "&lt;&gt;""") - COUNTIF($FH$2:$FH$92, ""))</f>
        <v>0.46666666666666667</v>
      </c>
      <c r="FJ283" s="36" t="str">
        <f t="shared" si="92"/>
        <v>Low</v>
      </c>
      <c r="FK283" s="40">
        <f>COUNTIF($FJ$2:$FJ$92, FJ283)/(COUNTIF($FJ$2:$FJ$92, "&lt;&gt;""") - COUNTIF($FJ$2:$FJ$92, ""))</f>
        <v>0.41111111111111109</v>
      </c>
      <c r="FL283" s="207"/>
      <c r="FM283" s="192">
        <f t="shared" si="93"/>
        <v>1</v>
      </c>
      <c r="FN283" s="192" t="e">
        <f t="shared" ca="1" si="94"/>
        <v>#NAME?</v>
      </c>
      <c r="FO283" s="192" t="e">
        <f t="shared" ca="1" si="95"/>
        <v>#NAME?</v>
      </c>
      <c r="FP283" s="192" t="e">
        <f t="shared" ca="1" si="96"/>
        <v>#NAME?</v>
      </c>
      <c r="FQ283" s="209" t="e">
        <f t="shared" ca="1" si="97"/>
        <v>#NAME?</v>
      </c>
      <c r="FR283" s="208" t="e">
        <f t="shared" ca="1" si="420"/>
        <v>#NAME?</v>
      </c>
      <c r="FS283" s="36" t="str">
        <f t="shared" si="99"/>
        <v>Pre-Product</v>
      </c>
      <c r="FT283" s="196">
        <f>COUNTIF($FS$2:$FS$92, FS283)/(COUNTIF($FS$2:$FS$92, "&lt;&gt;""") - COUNTIF($FZ$2:$FZ$92, ""))</f>
        <v>0.22222222222222221</v>
      </c>
      <c r="FU283" s="207"/>
      <c r="FV283" s="192" t="e">
        <f t="shared" ca="1" si="100"/>
        <v>#NAME?</v>
      </c>
      <c r="FW283" s="197" t="e">
        <f t="shared" ca="1" si="101"/>
        <v>#NAME?</v>
      </c>
      <c r="FX283" s="209" t="e">
        <f t="shared" ca="1" si="102"/>
        <v>#NAME?</v>
      </c>
      <c r="FY283" s="211" t="e">
        <f t="shared" ca="1" si="421"/>
        <v>#NAME?</v>
      </c>
      <c r="FZ283" s="36" t="str">
        <f t="shared" si="104"/>
        <v>No</v>
      </c>
      <c r="GA283" s="196">
        <f>COUNTIF($FZ$2:$FZ$92, FZ283)/(COUNTIF($FZ$2:$FZ$92, "&lt;&gt;""") - COUNTIF($FZ$2:$FZ$92, ""))</f>
        <v>0.76666666666666672</v>
      </c>
      <c r="GB283" s="196">
        <f t="shared" si="105"/>
        <v>0</v>
      </c>
      <c r="GC283" s="196">
        <f>COUNTIF($GB$2:$GB$92, GB283)/(COUNTIF($GB$2:$GB$92, "&lt;&gt;""") - COUNTIF($GB$2:$GB$92, ""))</f>
        <v>1.1111111111111112E-2</v>
      </c>
      <c r="GD283" s="196">
        <f t="shared" si="106"/>
        <v>0</v>
      </c>
      <c r="GE283" s="196">
        <f>COUNTIF($GD$2:$GD$92, GD283)/(COUNTIF($GD$2:$GD$92, "&lt;&gt;""") - COUNTIF($GD$2:$GD$92, ""))</f>
        <v>1.1111111111111112E-2</v>
      </c>
      <c r="GF283" s="207"/>
      <c r="GG283" s="36"/>
      <c r="GH283" s="209" t="e">
        <f t="shared" ca="1" si="107"/>
        <v>#NAME?</v>
      </c>
      <c r="GI283" s="212" t="e">
        <f t="shared" ca="1" si="422"/>
        <v>#NAME?</v>
      </c>
    </row>
    <row r="284" spans="1:191" ht="15.75" customHeight="1">
      <c r="A284" s="171"/>
      <c r="B284" s="171" t="s">
        <v>501</v>
      </c>
      <c r="C284" s="16">
        <v>1740066</v>
      </c>
      <c r="D284" s="233" t="s">
        <v>1910</v>
      </c>
      <c r="E284" s="234">
        <v>43832.583333333336</v>
      </c>
      <c r="F284" s="16" t="s">
        <v>325</v>
      </c>
      <c r="G284" s="235" t="s">
        <v>1911</v>
      </c>
      <c r="H284" s="235" t="s">
        <v>1912</v>
      </c>
      <c r="I284" s="271">
        <v>43712</v>
      </c>
      <c r="J284" s="233" t="s">
        <v>1910</v>
      </c>
      <c r="K284" s="233" t="s">
        <v>1913</v>
      </c>
      <c r="M284" s="29" t="s">
        <v>243</v>
      </c>
      <c r="N284" s="16" t="s">
        <v>168</v>
      </c>
      <c r="O284" s="16" t="s">
        <v>30</v>
      </c>
      <c r="P284" s="16" t="s">
        <v>31</v>
      </c>
      <c r="Q284" s="16" t="s">
        <v>35</v>
      </c>
      <c r="S284" s="16" t="s">
        <v>34</v>
      </c>
      <c r="T284" s="237"/>
      <c r="U284" s="213"/>
      <c r="V284" s="54"/>
      <c r="W284" s="54">
        <v>464285</v>
      </c>
      <c r="X284" s="226">
        <v>0</v>
      </c>
      <c r="Y284" s="55">
        <f t="shared" si="158"/>
        <v>464285</v>
      </c>
      <c r="Z284" s="274">
        <f t="shared" si="159"/>
        <v>464285</v>
      </c>
      <c r="AA284" s="183" t="e">
        <f t="shared" ca="1" si="160"/>
        <v>#NAME?</v>
      </c>
      <c r="AB284" s="16" t="s">
        <v>36</v>
      </c>
      <c r="AC284" s="16" t="s">
        <v>218</v>
      </c>
      <c r="AD284" s="16" t="s">
        <v>38</v>
      </c>
      <c r="AE284" s="16" t="s">
        <v>227</v>
      </c>
      <c r="AF284" s="16" t="s">
        <v>181</v>
      </c>
      <c r="AG284" s="16" t="s">
        <v>181</v>
      </c>
      <c r="AH284" s="16" t="s">
        <v>190</v>
      </c>
      <c r="AI284" s="54"/>
      <c r="AJ284" s="278">
        <v>17590000000</v>
      </c>
      <c r="AK284" s="224" t="e">
        <f t="shared" ca="1" si="161"/>
        <v>#NAME?</v>
      </c>
      <c r="AL284" s="278">
        <v>17590000000</v>
      </c>
      <c r="AM284" s="224" t="e">
        <f t="shared" ca="1" si="162"/>
        <v>#NAME?</v>
      </c>
      <c r="AN284" s="278">
        <v>0.06</v>
      </c>
      <c r="AO284" s="185" t="e">
        <f t="shared" ca="1" si="63"/>
        <v>#NAME?</v>
      </c>
      <c r="AP284" s="185" t="s">
        <v>192</v>
      </c>
      <c r="AQ284" s="16" t="s">
        <v>181</v>
      </c>
      <c r="AR284" s="16" t="s">
        <v>181</v>
      </c>
      <c r="AS284" s="16" t="s">
        <v>42</v>
      </c>
      <c r="AT284" s="159"/>
      <c r="AU284" s="159"/>
      <c r="AV284" s="16" t="s">
        <v>190</v>
      </c>
      <c r="AW284" s="16" t="s">
        <v>190</v>
      </c>
      <c r="AX284" s="16" t="s">
        <v>190</v>
      </c>
      <c r="AY284" s="16" t="s">
        <v>190</v>
      </c>
      <c r="AZ284" s="54">
        <v>0</v>
      </c>
      <c r="BA284" s="55" t="e">
        <f t="shared" ca="1" si="163"/>
        <v>#NAME?</v>
      </c>
      <c r="BB284" s="278">
        <v>1194</v>
      </c>
      <c r="BC284" s="278">
        <v>5870</v>
      </c>
      <c r="BD284" s="62" t="e">
        <f t="shared" ca="1" si="164"/>
        <v>#NAME?</v>
      </c>
      <c r="BE284" s="277">
        <f t="shared" si="165"/>
        <v>0.20340715502555368</v>
      </c>
      <c r="BF284" s="62" t="e">
        <f t="shared" ca="1" si="166"/>
        <v>#NAME?</v>
      </c>
      <c r="BG284" s="16" t="s">
        <v>183</v>
      </c>
      <c r="BI284" s="16" t="s">
        <v>190</v>
      </c>
      <c r="BJ284" s="16">
        <v>0</v>
      </c>
      <c r="BK284" s="278">
        <v>1</v>
      </c>
      <c r="BL284" s="16" t="s">
        <v>190</v>
      </c>
      <c r="BM284" s="16" t="s">
        <v>190</v>
      </c>
      <c r="BN284" s="16" t="s">
        <v>227</v>
      </c>
      <c r="BO284" s="16" t="s">
        <v>190</v>
      </c>
      <c r="BP284" s="16">
        <v>2</v>
      </c>
      <c r="BQ284" s="16">
        <v>2</v>
      </c>
      <c r="BR284" s="16">
        <v>0</v>
      </c>
      <c r="BS284" s="16">
        <v>0</v>
      </c>
      <c r="BT284" s="205"/>
      <c r="BU284" s="16">
        <v>0</v>
      </c>
      <c r="BV284" s="16">
        <v>0</v>
      </c>
      <c r="BW284" s="16">
        <v>49</v>
      </c>
      <c r="BX284" s="16" t="s">
        <v>190</v>
      </c>
      <c r="BY284" s="205"/>
      <c r="CD284" s="205"/>
      <c r="CI284" s="205"/>
      <c r="CN284" s="205"/>
      <c r="CS284" s="205"/>
      <c r="CX284" s="205"/>
      <c r="DC284" s="205"/>
      <c r="DH284" s="205"/>
      <c r="DM284" s="205"/>
      <c r="DN284" s="205"/>
      <c r="DO284" s="205"/>
      <c r="DQ284" s="206"/>
      <c r="DR284" s="188">
        <f t="shared" si="64"/>
        <v>0</v>
      </c>
      <c r="DS284" s="188"/>
      <c r="DT284" s="189">
        <f t="shared" si="65"/>
        <v>0</v>
      </c>
      <c r="DU284" s="189"/>
      <c r="DV284" s="188">
        <f t="shared" si="66"/>
        <v>49</v>
      </c>
      <c r="DW284" s="183" t="e">
        <f t="shared" ca="1" si="67"/>
        <v>#NAME?</v>
      </c>
      <c r="DX284" s="207"/>
      <c r="DY284" s="190" t="e">
        <f t="shared" ca="1" si="68"/>
        <v>#NAME?</v>
      </c>
      <c r="DZ284" s="191">
        <f t="shared" si="412"/>
        <v>1</v>
      </c>
      <c r="EA284" s="191" t="str">
        <f t="shared" si="413"/>
        <v/>
      </c>
      <c r="EB284" s="191" t="str">
        <f t="shared" si="414"/>
        <v/>
      </c>
      <c r="EC284" s="208" t="e">
        <f t="shared" ca="1" si="72"/>
        <v>#NAME?</v>
      </c>
      <c r="ED284" s="36" t="str">
        <f t="shared" si="73"/>
        <v>CAFES</v>
      </c>
      <c r="EE284" s="193">
        <f>COUNTIF($ED$2:$ED$92, ED284)/(COUNTIF($ED$2:$ED$92, "&lt;&gt;""") - COUNTIF($ED$2:$ED$92, ""))</f>
        <v>0.1</v>
      </c>
      <c r="EF284" s="36" t="str">
        <f t="shared" si="74"/>
        <v>Early</v>
      </c>
      <c r="EG284" s="207"/>
      <c r="EH284" s="194" t="e">
        <f t="shared" ca="1" si="75"/>
        <v>#NAME?</v>
      </c>
      <c r="EI284" s="194" t="e">
        <f t="shared" ca="1" si="76"/>
        <v>#NAME?</v>
      </c>
      <c r="EJ284" s="209" t="e">
        <f t="shared" ca="1" si="77"/>
        <v>#NAME?</v>
      </c>
      <c r="EK284" s="208" t="e">
        <f t="shared" ca="1" si="415"/>
        <v>#NAME?</v>
      </c>
      <c r="EL284" s="36" t="str">
        <f t="shared" si="79"/>
        <v>No</v>
      </c>
      <c r="EM284" s="207"/>
      <c r="EN284" s="192">
        <f t="shared" si="416"/>
        <v>1</v>
      </c>
      <c r="EO284" s="192">
        <f t="shared" si="417"/>
        <v>1</v>
      </c>
      <c r="EP284" s="209">
        <f t="shared" si="82"/>
        <v>2</v>
      </c>
      <c r="EQ284" s="210">
        <f t="shared" si="418"/>
        <v>1</v>
      </c>
      <c r="ER284" s="36" t="e">
        <f t="shared" ca="1" si="84"/>
        <v>#NAME?</v>
      </c>
      <c r="ES284" s="40">
        <f ca="1">COUNTIF($ER$2:$ER$92, ER284)/(COUNTIF($ER$2:$ER$92, "&lt;&gt;""") - COUNTIF($ER$2:$ER$92, ""))</f>
        <v>1</v>
      </c>
      <c r="ET284" s="36">
        <f t="shared" si="85"/>
        <v>1</v>
      </c>
      <c r="EU284" s="40">
        <f>COUNTIF($ET$2:$ET$92, ET284)/(COUNTIF($ET$2:$ET$92, "&lt;&gt;""") - COUNTIF($ET$2:$ET$92, ""))</f>
        <v>0.45555555555555555</v>
      </c>
      <c r="EV284" s="36">
        <f t="shared" si="86"/>
        <v>2</v>
      </c>
      <c r="EW284" s="40">
        <f>COUNTIF($EV$2:$EV$92, EV284)/(COUNTIF($EV$2:$EV$92, "&lt;&gt;""") - COUNTIF($EV$2:$EV$92, ""))</f>
        <v>0.15555555555555556</v>
      </c>
      <c r="EX284" s="36" t="str">
        <f t="shared" si="87"/>
        <v>No</v>
      </c>
      <c r="EY284" s="40">
        <f>COUNTIF($EX$2:$EX$92, EX284)/(COUNTIF($EX$2:$EX$92, "&lt;&gt;""") - COUNTIF($EX$2:$EX$92, ""))</f>
        <v>0.72222222222222221</v>
      </c>
      <c r="EZ284" s="36" t="str">
        <f t="shared" ref="EZ284:FB284" si="437">BM284</f>
        <v>No</v>
      </c>
      <c r="FA284" s="36" t="str">
        <f t="shared" si="437"/>
        <v>Yes</v>
      </c>
      <c r="FB284" s="36" t="str">
        <f t="shared" si="437"/>
        <v>No</v>
      </c>
      <c r="FC284" s="207"/>
      <c r="FD284" s="36" t="str">
        <f t="shared" si="89"/>
        <v>Transactional</v>
      </c>
      <c r="FE284" s="40">
        <f>COUNTIF($FD$2:$FD$92, FD284)/(COUNTIF($FD$2:$FD$92, "&lt;&gt;""") - COUNTIF($FD$2:$FD$92, ""))</f>
        <v>0.6</v>
      </c>
      <c r="FF284" s="36" t="str">
        <f t="shared" si="90"/>
        <v>B2B/B2C</v>
      </c>
      <c r="FG284" s="40">
        <f>COUNTIF($FF$2:$FF$92, FF284)/(COUNTIF($FF$2:$FF$92, "&lt;&gt;""") - COUNTIF($FF$2:$FF$92, ""))</f>
        <v>0.27777777777777779</v>
      </c>
      <c r="FH284" s="36" t="str">
        <f t="shared" si="91"/>
        <v>Low</v>
      </c>
      <c r="FI284" s="40">
        <f>COUNTIF($FH$2:$FH$92, FH284)/(COUNTIF($FH$2:$FH$92, "&lt;&gt;""") - COUNTIF($FH$2:$FH$92, ""))</f>
        <v>0.46666666666666667</v>
      </c>
      <c r="FJ284" s="36" t="str">
        <f t="shared" si="92"/>
        <v>Low</v>
      </c>
      <c r="FK284" s="40">
        <f>COUNTIF($FJ$2:$FJ$92, FJ284)/(COUNTIF($FJ$2:$FJ$92, "&lt;&gt;""") - COUNTIF($FJ$2:$FJ$92, ""))</f>
        <v>0.41111111111111109</v>
      </c>
      <c r="FL284" s="207"/>
      <c r="FM284" s="192">
        <f t="shared" si="93"/>
        <v>1</v>
      </c>
      <c r="FN284" s="192" t="e">
        <f t="shared" ca="1" si="94"/>
        <v>#NAME?</v>
      </c>
      <c r="FO284" s="192" t="e">
        <f t="shared" ca="1" si="95"/>
        <v>#NAME?</v>
      </c>
      <c r="FP284" s="192" t="e">
        <f t="shared" ca="1" si="96"/>
        <v>#NAME?</v>
      </c>
      <c r="FQ284" s="209" t="e">
        <f t="shared" ca="1" si="97"/>
        <v>#NAME?</v>
      </c>
      <c r="FR284" s="208" t="e">
        <f t="shared" ca="1" si="420"/>
        <v>#NAME?</v>
      </c>
      <c r="FS284" s="36" t="str">
        <f t="shared" si="99"/>
        <v>Pre-Revenue</v>
      </c>
      <c r="FT284" s="196">
        <f>COUNTIF($FS$2:$FS$92, FS284)/(COUNTIF($FS$2:$FS$92, "&lt;&gt;""") - COUNTIF($FZ$2:$FZ$92, ""))</f>
        <v>0.2</v>
      </c>
      <c r="FU284" s="207"/>
      <c r="FV284" s="192" t="e">
        <f t="shared" ca="1" si="100"/>
        <v>#NAME?</v>
      </c>
      <c r="FW284" s="197" t="e">
        <f t="shared" ca="1" si="101"/>
        <v>#NAME?</v>
      </c>
      <c r="FX284" s="209" t="e">
        <f t="shared" ca="1" si="102"/>
        <v>#NAME?</v>
      </c>
      <c r="FY284" s="211" t="e">
        <f t="shared" ca="1" si="421"/>
        <v>#NAME?</v>
      </c>
      <c r="FZ284" s="36" t="str">
        <f t="shared" si="104"/>
        <v>No</v>
      </c>
      <c r="GA284" s="196">
        <f>COUNTIF($FZ$2:$FZ$92, FZ284)/(COUNTIF($FZ$2:$FZ$92, "&lt;&gt;""") - COUNTIF($FZ$2:$FZ$92, ""))</f>
        <v>0.76666666666666672</v>
      </c>
      <c r="GB284" s="196">
        <f t="shared" si="105"/>
        <v>0</v>
      </c>
      <c r="GC284" s="196">
        <f>COUNTIF($GB$2:$GB$92, GB284)/(COUNTIF($GB$2:$GB$92, "&lt;&gt;""") - COUNTIF($GB$2:$GB$92, ""))</f>
        <v>1.1111111111111112E-2</v>
      </c>
      <c r="GD284" s="196">
        <f t="shared" si="106"/>
        <v>0</v>
      </c>
      <c r="GE284" s="196">
        <f>COUNTIF($GD$2:$GD$92, GD284)/(COUNTIF($GD$2:$GD$92, "&lt;&gt;""") - COUNTIF($GD$2:$GD$92, ""))</f>
        <v>1.1111111111111112E-2</v>
      </c>
      <c r="GF284" s="207"/>
      <c r="GG284" s="36"/>
      <c r="GH284" s="209" t="e">
        <f t="shared" ca="1" si="107"/>
        <v>#NAME?</v>
      </c>
      <c r="GI284" s="212" t="e">
        <f t="shared" ca="1" si="422"/>
        <v>#NAME?</v>
      </c>
    </row>
    <row r="285" spans="1:191" ht="15.75" customHeight="1">
      <c r="A285" s="171"/>
      <c r="B285" s="171" t="s">
        <v>501</v>
      </c>
      <c r="C285" s="16">
        <v>1796828</v>
      </c>
      <c r="D285" s="233" t="s">
        <v>1914</v>
      </c>
      <c r="E285" s="234">
        <v>43832.595833333333</v>
      </c>
      <c r="F285" s="16" t="s">
        <v>185</v>
      </c>
      <c r="G285" s="235" t="s">
        <v>1915</v>
      </c>
      <c r="H285" s="235" t="s">
        <v>1916</v>
      </c>
      <c r="I285" s="271">
        <v>43847</v>
      </c>
      <c r="J285" s="233" t="s">
        <v>1917</v>
      </c>
      <c r="K285" s="233"/>
      <c r="M285" s="29" t="s">
        <v>331</v>
      </c>
      <c r="N285" s="16" t="s">
        <v>168</v>
      </c>
      <c r="O285" s="16" t="s">
        <v>30</v>
      </c>
      <c r="P285" s="16" t="s">
        <v>174</v>
      </c>
      <c r="Q285" s="16" t="s">
        <v>35</v>
      </c>
      <c r="S285" s="16" t="s">
        <v>216</v>
      </c>
      <c r="T285" s="237"/>
      <c r="U285" s="213"/>
      <c r="V285" s="54">
        <v>2660000</v>
      </c>
      <c r="W285" s="54"/>
      <c r="X285" s="226"/>
      <c r="Y285" s="55" t="str">
        <f t="shared" si="158"/>
        <v/>
      </c>
      <c r="Z285" s="274">
        <f t="shared" si="159"/>
        <v>2660000</v>
      </c>
      <c r="AA285" s="183" t="e">
        <f t="shared" ca="1" si="160"/>
        <v>#NAME?</v>
      </c>
      <c r="AB285" s="16" t="s">
        <v>178</v>
      </c>
      <c r="AC285" s="16" t="s">
        <v>218</v>
      </c>
      <c r="AD285" s="16" t="s">
        <v>38</v>
      </c>
      <c r="AE285" s="16" t="s">
        <v>227</v>
      </c>
      <c r="AF285" s="16" t="s">
        <v>181</v>
      </c>
      <c r="AG285" s="16" t="s">
        <v>39</v>
      </c>
      <c r="AH285" s="16" t="s">
        <v>190</v>
      </c>
      <c r="AI285" s="54"/>
      <c r="AJ285" s="278">
        <v>752222000000</v>
      </c>
      <c r="AK285" s="224" t="e">
        <f t="shared" ca="1" si="161"/>
        <v>#NAME?</v>
      </c>
      <c r="AL285" s="278">
        <v>752222000000</v>
      </c>
      <c r="AM285" s="224" t="e">
        <f t="shared" ca="1" si="162"/>
        <v>#NAME?</v>
      </c>
      <c r="AN285" s="278">
        <v>0.05</v>
      </c>
      <c r="AO285" s="185" t="e">
        <f t="shared" ca="1" si="63"/>
        <v>#NAME?</v>
      </c>
      <c r="AP285" s="185" t="s">
        <v>264</v>
      </c>
      <c r="AQ285" s="16" t="s">
        <v>181</v>
      </c>
      <c r="AR285" s="16" t="s">
        <v>181</v>
      </c>
      <c r="AS285" s="16" t="s">
        <v>42</v>
      </c>
      <c r="AT285" s="159"/>
      <c r="AU285" s="159"/>
      <c r="AV285" s="16" t="s">
        <v>190</v>
      </c>
      <c r="AW285" s="16" t="s">
        <v>190</v>
      </c>
      <c r="AX285" s="16" t="s">
        <v>190</v>
      </c>
      <c r="AY285" s="16" t="s">
        <v>190</v>
      </c>
      <c r="AZ285" s="54">
        <v>0</v>
      </c>
      <c r="BA285" s="55" t="e">
        <f t="shared" ca="1" si="163"/>
        <v>#NAME?</v>
      </c>
      <c r="BB285" s="278">
        <v>0</v>
      </c>
      <c r="BC285" s="278">
        <v>50000</v>
      </c>
      <c r="BD285" s="62" t="e">
        <f t="shared" ca="1" si="164"/>
        <v>#NAME?</v>
      </c>
      <c r="BE285" s="277">
        <f t="shared" si="165"/>
        <v>1</v>
      </c>
      <c r="BF285" s="62" t="e">
        <f t="shared" ca="1" si="166"/>
        <v>#NAME?</v>
      </c>
      <c r="BG285" s="16" t="s">
        <v>43</v>
      </c>
      <c r="BI285" s="16" t="s">
        <v>190</v>
      </c>
      <c r="BJ285" s="16">
        <v>0</v>
      </c>
      <c r="BK285" s="278">
        <v>1</v>
      </c>
      <c r="BL285" s="16" t="s">
        <v>227</v>
      </c>
      <c r="BM285" s="16" t="s">
        <v>190</v>
      </c>
      <c r="BN285" s="16" t="s">
        <v>227</v>
      </c>
      <c r="BO285" s="16" t="s">
        <v>190</v>
      </c>
      <c r="BP285" s="16">
        <v>1</v>
      </c>
      <c r="BQ285" s="16">
        <v>2</v>
      </c>
      <c r="BR285" s="16">
        <v>0</v>
      </c>
      <c r="BS285" s="16">
        <v>0</v>
      </c>
      <c r="BT285" s="205"/>
      <c r="BU285" s="16">
        <v>9</v>
      </c>
      <c r="BV285" s="16">
        <v>0</v>
      </c>
      <c r="BW285" s="16">
        <v>36</v>
      </c>
      <c r="BX285" s="16" t="s">
        <v>190</v>
      </c>
      <c r="BY285" s="205"/>
      <c r="CD285" s="205"/>
      <c r="CI285" s="205"/>
      <c r="CN285" s="205"/>
      <c r="CS285" s="205"/>
      <c r="CX285" s="205"/>
      <c r="DC285" s="205"/>
      <c r="DH285" s="205"/>
      <c r="DM285" s="205"/>
      <c r="DN285" s="205"/>
      <c r="DO285" s="205"/>
      <c r="DQ285" s="206"/>
      <c r="DR285" s="188">
        <f t="shared" si="64"/>
        <v>9</v>
      </c>
      <c r="DS285" s="188"/>
      <c r="DT285" s="189">
        <f t="shared" si="65"/>
        <v>0</v>
      </c>
      <c r="DU285" s="189"/>
      <c r="DV285" s="188">
        <f t="shared" si="66"/>
        <v>36</v>
      </c>
      <c r="DW285" s="183" t="e">
        <f t="shared" ca="1" si="67"/>
        <v>#NAME?</v>
      </c>
      <c r="DX285" s="207"/>
      <c r="DY285" s="190" t="e">
        <f t="shared" ca="1" si="68"/>
        <v>#NAME?</v>
      </c>
      <c r="DZ285" s="191" t="str">
        <f t="shared" si="412"/>
        <v/>
      </c>
      <c r="EA285" s="191" t="str">
        <f t="shared" si="413"/>
        <v/>
      </c>
      <c r="EB285" s="191" t="str">
        <f t="shared" si="414"/>
        <v/>
      </c>
      <c r="EC285" s="208" t="e">
        <f t="shared" ca="1" si="72"/>
        <v>#NAME?</v>
      </c>
      <c r="ED285" s="36" t="str">
        <f t="shared" si="73"/>
        <v>Equity - Common</v>
      </c>
      <c r="EE285" s="193">
        <f>COUNTIF($ED$2:$ED$92, ED285)/(COUNTIF($ED$2:$ED$92, "&lt;&gt;""") - COUNTIF($ED$2:$ED$92, ""))</f>
        <v>0.32222222222222224</v>
      </c>
      <c r="EF285" s="36" t="str">
        <f t="shared" si="74"/>
        <v>Early</v>
      </c>
      <c r="EG285" s="207"/>
      <c r="EH285" s="194" t="e">
        <f t="shared" ca="1" si="75"/>
        <v>#NAME?</v>
      </c>
      <c r="EI285" s="194" t="e">
        <f t="shared" ca="1" si="76"/>
        <v>#NAME?</v>
      </c>
      <c r="EJ285" s="209" t="e">
        <f t="shared" ca="1" si="77"/>
        <v>#NAME?</v>
      </c>
      <c r="EK285" s="208" t="e">
        <f t="shared" ca="1" si="415"/>
        <v>#NAME?</v>
      </c>
      <c r="EL285" s="36" t="str">
        <f t="shared" si="79"/>
        <v>No</v>
      </c>
      <c r="EM285" s="207"/>
      <c r="EN285" s="192">
        <f t="shared" si="416"/>
        <v>1.8571428571428572</v>
      </c>
      <c r="EO285" s="192">
        <f t="shared" si="417"/>
        <v>1</v>
      </c>
      <c r="EP285" s="209">
        <f t="shared" si="82"/>
        <v>2.8571428571428572</v>
      </c>
      <c r="EQ285" s="210">
        <f t="shared" si="418"/>
        <v>1.6728971962616823</v>
      </c>
      <c r="ER285" s="36" t="e">
        <f t="shared" ca="1" si="84"/>
        <v>#NAME?</v>
      </c>
      <c r="ES285" s="40">
        <f ca="1">COUNTIF($ER$2:$ER$92, ER285)/(COUNTIF($ER$2:$ER$92, "&lt;&gt;""") - COUNTIF($ER$2:$ER$92, ""))</f>
        <v>1</v>
      </c>
      <c r="ET285" s="36">
        <f t="shared" si="85"/>
        <v>1</v>
      </c>
      <c r="EU285" s="40">
        <f>COUNTIF($ET$2:$ET$92, ET285)/(COUNTIF($ET$2:$ET$92, "&lt;&gt;""") - COUNTIF($ET$2:$ET$92, ""))</f>
        <v>0.45555555555555555</v>
      </c>
      <c r="EV285" s="36">
        <f t="shared" si="86"/>
        <v>2</v>
      </c>
      <c r="EW285" s="40">
        <f>COUNTIF($EV$2:$EV$92, EV285)/(COUNTIF($EV$2:$EV$92, "&lt;&gt;""") - COUNTIF($EV$2:$EV$92, ""))</f>
        <v>0.15555555555555556</v>
      </c>
      <c r="EX285" s="36" t="str">
        <f t="shared" si="87"/>
        <v>Yes</v>
      </c>
      <c r="EY285" s="40">
        <f>COUNTIF($EX$2:$EX$92, EX285)/(COUNTIF($EX$2:$EX$92, "&lt;&gt;""") - COUNTIF($EX$2:$EX$92, ""))</f>
        <v>0.27777777777777779</v>
      </c>
      <c r="EZ285" s="36" t="str">
        <f t="shared" ref="EZ285:FB285" si="438">BM285</f>
        <v>No</v>
      </c>
      <c r="FA285" s="36" t="str">
        <f t="shared" si="438"/>
        <v>Yes</v>
      </c>
      <c r="FB285" s="36" t="str">
        <f t="shared" si="438"/>
        <v>No</v>
      </c>
      <c r="FC285" s="207"/>
      <c r="FD285" s="36" t="str">
        <f t="shared" si="89"/>
        <v>Recurring</v>
      </c>
      <c r="FE285" s="40">
        <f>COUNTIF($FD$2:$FD$92, FD285)/(COUNTIF($FD$2:$FD$92, "&lt;&gt;""") - COUNTIF($FD$2:$FD$92, ""))</f>
        <v>0.4</v>
      </c>
      <c r="FF285" s="36" t="str">
        <f t="shared" si="90"/>
        <v>B2B/B2C</v>
      </c>
      <c r="FG285" s="40">
        <f>COUNTIF($FF$2:$FF$92, FF285)/(COUNTIF($FF$2:$FF$92, "&lt;&gt;""") - COUNTIF($FF$2:$FF$92, ""))</f>
        <v>0.27777777777777779</v>
      </c>
      <c r="FH285" s="36" t="str">
        <f t="shared" si="91"/>
        <v>Low</v>
      </c>
      <c r="FI285" s="40">
        <f>COUNTIF($FH$2:$FH$92, FH285)/(COUNTIF($FH$2:$FH$92, "&lt;&gt;""") - COUNTIF($FH$2:$FH$92, ""))</f>
        <v>0.46666666666666667</v>
      </c>
      <c r="FJ285" s="36" t="str">
        <f t="shared" si="92"/>
        <v>High</v>
      </c>
      <c r="FK285" s="40">
        <f>COUNTIF($FJ$2:$FJ$92, FJ285)/(COUNTIF($FJ$2:$FJ$92, "&lt;&gt;""") - COUNTIF($FJ$2:$FJ$92, ""))</f>
        <v>0.58888888888888891</v>
      </c>
      <c r="FL285" s="207"/>
      <c r="FM285" s="192">
        <f t="shared" si="93"/>
        <v>1</v>
      </c>
      <c r="FN285" s="192" t="e">
        <f t="shared" ca="1" si="94"/>
        <v>#NAME?</v>
      </c>
      <c r="FO285" s="192" t="e">
        <f t="shared" ca="1" si="95"/>
        <v>#NAME?</v>
      </c>
      <c r="FP285" s="192" t="e">
        <f t="shared" ca="1" si="96"/>
        <v>#NAME?</v>
      </c>
      <c r="FQ285" s="209" t="e">
        <f t="shared" ca="1" si="97"/>
        <v>#NAME?</v>
      </c>
      <c r="FR285" s="208" t="e">
        <f t="shared" ca="1" si="420"/>
        <v>#NAME?</v>
      </c>
      <c r="FS285" s="36" t="str">
        <f t="shared" si="99"/>
        <v>Pre-Product</v>
      </c>
      <c r="FT285" s="196">
        <f>COUNTIF($FS$2:$FS$92, FS285)/(COUNTIF($FS$2:$FS$92, "&lt;&gt;""") - COUNTIF($FZ$2:$FZ$92, ""))</f>
        <v>0.22222222222222221</v>
      </c>
      <c r="FU285" s="207"/>
      <c r="FV285" s="192" t="e">
        <f t="shared" ca="1" si="100"/>
        <v>#NAME?</v>
      </c>
      <c r="FW285" s="197" t="e">
        <f t="shared" ca="1" si="101"/>
        <v>#NAME?</v>
      </c>
      <c r="FX285" s="209" t="e">
        <f t="shared" ca="1" si="102"/>
        <v>#NAME?</v>
      </c>
      <c r="FY285" s="211" t="e">
        <f t="shared" ca="1" si="421"/>
        <v>#NAME?</v>
      </c>
      <c r="FZ285" s="36" t="str">
        <f t="shared" si="104"/>
        <v>No</v>
      </c>
      <c r="GA285" s="196">
        <f>COUNTIF($FZ$2:$FZ$92, FZ285)/(COUNTIF($FZ$2:$FZ$92, "&lt;&gt;""") - COUNTIF($FZ$2:$FZ$92, ""))</f>
        <v>0.76666666666666672</v>
      </c>
      <c r="GB285" s="196">
        <f t="shared" si="105"/>
        <v>0</v>
      </c>
      <c r="GC285" s="196">
        <f>COUNTIF($GB$2:$GB$92, GB285)/(COUNTIF($GB$2:$GB$92, "&lt;&gt;""") - COUNTIF($GB$2:$GB$92, ""))</f>
        <v>1.1111111111111112E-2</v>
      </c>
      <c r="GD285" s="196">
        <f t="shared" si="106"/>
        <v>0</v>
      </c>
      <c r="GE285" s="196">
        <f>COUNTIF($GD$2:$GD$92, GD285)/(COUNTIF($GD$2:$GD$92, "&lt;&gt;""") - COUNTIF($GD$2:$GD$92, ""))</f>
        <v>1.1111111111111112E-2</v>
      </c>
      <c r="GF285" s="207"/>
      <c r="GG285" s="36"/>
      <c r="GH285" s="209" t="e">
        <f t="shared" ca="1" si="107"/>
        <v>#NAME?</v>
      </c>
      <c r="GI285" s="212" t="e">
        <f t="shared" ca="1" si="422"/>
        <v>#NAME?</v>
      </c>
    </row>
    <row r="286" spans="1:191" ht="15.75" customHeight="1">
      <c r="A286" s="171"/>
      <c r="B286" s="171" t="s">
        <v>501</v>
      </c>
      <c r="C286" s="16">
        <v>1780452</v>
      </c>
      <c r="D286" s="233" t="s">
        <v>1918</v>
      </c>
      <c r="E286" s="234">
        <v>43832.599305555559</v>
      </c>
      <c r="F286" s="16" t="s">
        <v>204</v>
      </c>
      <c r="G286" s="235" t="s">
        <v>1919</v>
      </c>
      <c r="H286" s="235" t="s">
        <v>1920</v>
      </c>
      <c r="I286" s="271">
        <v>43832</v>
      </c>
      <c r="J286" s="233" t="s">
        <v>1921</v>
      </c>
      <c r="K286" s="233" t="s">
        <v>1918</v>
      </c>
      <c r="M286" s="16" t="s">
        <v>343</v>
      </c>
      <c r="N286" s="16" t="s">
        <v>168</v>
      </c>
      <c r="O286" s="16" t="s">
        <v>30</v>
      </c>
      <c r="P286" s="16" t="s">
        <v>31</v>
      </c>
      <c r="Q286" s="16" t="s">
        <v>35</v>
      </c>
      <c r="S286" s="16" t="s">
        <v>216</v>
      </c>
      <c r="T286" s="237"/>
      <c r="U286" s="213"/>
      <c r="V286" s="54">
        <v>25000000</v>
      </c>
      <c r="W286" s="54"/>
      <c r="X286" s="226"/>
      <c r="Y286" s="55" t="str">
        <f t="shared" si="158"/>
        <v/>
      </c>
      <c r="Z286" s="274">
        <f t="shared" si="159"/>
        <v>25000000</v>
      </c>
      <c r="AA286" s="183" t="e">
        <f t="shared" ca="1" si="160"/>
        <v>#NAME?</v>
      </c>
      <c r="AB286" s="16" t="s">
        <v>36</v>
      </c>
      <c r="AC286" s="16" t="s">
        <v>179</v>
      </c>
      <c r="AD286" s="16" t="s">
        <v>38</v>
      </c>
      <c r="AE286" s="16" t="s">
        <v>227</v>
      </c>
      <c r="AF286" s="16" t="s">
        <v>181</v>
      </c>
      <c r="AG286" s="16" t="s">
        <v>39</v>
      </c>
      <c r="AH286" s="16" t="s">
        <v>190</v>
      </c>
      <c r="AI286" s="54"/>
      <c r="AJ286" s="278">
        <v>88080000000</v>
      </c>
      <c r="AK286" s="224" t="e">
        <f t="shared" ca="1" si="161"/>
        <v>#NAME?</v>
      </c>
      <c r="AL286" s="278">
        <v>88080000000</v>
      </c>
      <c r="AM286" s="224" t="e">
        <f t="shared" ca="1" si="162"/>
        <v>#NAME?</v>
      </c>
      <c r="AN286" s="278">
        <v>0.2</v>
      </c>
      <c r="AO286" s="185" t="e">
        <f t="shared" ca="1" si="63"/>
        <v>#NAME?</v>
      </c>
      <c r="AP286" s="185" t="s">
        <v>211</v>
      </c>
      <c r="AQ286" s="16" t="s">
        <v>181</v>
      </c>
      <c r="AR286" s="16" t="s">
        <v>181</v>
      </c>
      <c r="AS286" s="16" t="s">
        <v>42</v>
      </c>
      <c r="AT286" s="159"/>
      <c r="AU286" s="159"/>
      <c r="AV286" s="16" t="s">
        <v>190</v>
      </c>
      <c r="AW286" s="16" t="s">
        <v>190</v>
      </c>
      <c r="AX286" s="16" t="s">
        <v>190</v>
      </c>
      <c r="AY286" s="16" t="s">
        <v>190</v>
      </c>
      <c r="AZ286" s="54">
        <v>0</v>
      </c>
      <c r="BA286" s="55" t="e">
        <f t="shared" ca="1" si="163"/>
        <v>#NAME?</v>
      </c>
      <c r="BB286" s="278">
        <v>48</v>
      </c>
      <c r="BC286" s="278">
        <v>0</v>
      </c>
      <c r="BD286" s="62" t="e">
        <f t="shared" ca="1" si="164"/>
        <v>#NAME?</v>
      </c>
      <c r="BE286" s="277">
        <f t="shared" si="165"/>
        <v>1</v>
      </c>
      <c r="BF286" s="62" t="e">
        <f t="shared" ca="1" si="166"/>
        <v>#NAME?</v>
      </c>
      <c r="BG286" s="16" t="s">
        <v>43</v>
      </c>
      <c r="BI286" s="16" t="s">
        <v>190</v>
      </c>
      <c r="BJ286" s="16">
        <v>0</v>
      </c>
      <c r="BK286" s="278">
        <v>1</v>
      </c>
      <c r="BL286" s="16" t="s">
        <v>190</v>
      </c>
      <c r="BM286" s="16" t="s">
        <v>190</v>
      </c>
      <c r="BN286" s="16" t="s">
        <v>190</v>
      </c>
      <c r="BO286" s="16" t="s">
        <v>190</v>
      </c>
      <c r="BP286" s="16">
        <v>1</v>
      </c>
      <c r="BQ286" s="16">
        <v>1</v>
      </c>
      <c r="BR286" s="16">
        <v>0</v>
      </c>
      <c r="BS286" s="16">
        <v>0</v>
      </c>
      <c r="BT286" s="205"/>
      <c r="BU286" s="16">
        <v>0</v>
      </c>
      <c r="BV286" s="16">
        <v>0</v>
      </c>
      <c r="BW286" s="16">
        <v>42</v>
      </c>
      <c r="BX286" s="16" t="s">
        <v>190</v>
      </c>
      <c r="BY286" s="205"/>
      <c r="CD286" s="205"/>
      <c r="CI286" s="205"/>
      <c r="CN286" s="205"/>
      <c r="CS286" s="205"/>
      <c r="CX286" s="205"/>
      <c r="DC286" s="205"/>
      <c r="DH286" s="205"/>
      <c r="DM286" s="205"/>
      <c r="DN286" s="205"/>
      <c r="DO286" s="205"/>
      <c r="DQ286" s="206"/>
      <c r="DR286" s="188">
        <f t="shared" si="64"/>
        <v>0</v>
      </c>
      <c r="DS286" s="188"/>
      <c r="DT286" s="189">
        <f t="shared" si="65"/>
        <v>0</v>
      </c>
      <c r="DU286" s="189"/>
      <c r="DV286" s="188">
        <f t="shared" si="66"/>
        <v>42</v>
      </c>
      <c r="DW286" s="183" t="e">
        <f t="shared" ca="1" si="67"/>
        <v>#NAME?</v>
      </c>
      <c r="DX286" s="207"/>
      <c r="DY286" s="190" t="e">
        <f t="shared" ca="1" si="68"/>
        <v>#NAME?</v>
      </c>
      <c r="DZ286" s="191" t="str">
        <f t="shared" si="412"/>
        <v/>
      </c>
      <c r="EA286" s="191" t="str">
        <f t="shared" si="413"/>
        <v/>
      </c>
      <c r="EB286" s="191" t="str">
        <f t="shared" si="414"/>
        <v/>
      </c>
      <c r="EC286" s="208" t="e">
        <f t="shared" ca="1" si="72"/>
        <v>#NAME?</v>
      </c>
      <c r="ED286" s="36" t="str">
        <f t="shared" si="73"/>
        <v>Equity - Common</v>
      </c>
      <c r="EE286" s="193">
        <f>COUNTIF($ED$2:$ED$92, ED286)/(COUNTIF($ED$2:$ED$92, "&lt;&gt;""") - COUNTIF($ED$2:$ED$92, ""))</f>
        <v>0.32222222222222224</v>
      </c>
      <c r="EF286" s="36" t="str">
        <f t="shared" si="74"/>
        <v>Early</v>
      </c>
      <c r="EG286" s="207"/>
      <c r="EH286" s="194" t="e">
        <f t="shared" ca="1" si="75"/>
        <v>#NAME?</v>
      </c>
      <c r="EI286" s="194" t="e">
        <f t="shared" ca="1" si="76"/>
        <v>#NAME?</v>
      </c>
      <c r="EJ286" s="209" t="e">
        <f t="shared" ca="1" si="77"/>
        <v>#NAME?</v>
      </c>
      <c r="EK286" s="208" t="e">
        <f t="shared" ca="1" si="415"/>
        <v>#NAME?</v>
      </c>
      <c r="EL286" s="36" t="str">
        <f t="shared" si="79"/>
        <v>No</v>
      </c>
      <c r="EM286" s="207"/>
      <c r="EN286" s="192">
        <f t="shared" si="416"/>
        <v>1</v>
      </c>
      <c r="EO286" s="192">
        <f t="shared" si="417"/>
        <v>1</v>
      </c>
      <c r="EP286" s="209">
        <f t="shared" si="82"/>
        <v>2</v>
      </c>
      <c r="EQ286" s="210">
        <f t="shared" si="418"/>
        <v>1</v>
      </c>
      <c r="ER286" s="36" t="e">
        <f t="shared" ca="1" si="84"/>
        <v>#NAME?</v>
      </c>
      <c r="ES286" s="40">
        <f ca="1">COUNTIF($ER$2:$ER$92, ER286)/(COUNTIF($ER$2:$ER$92, "&lt;&gt;""") - COUNTIF($ER$2:$ER$92, ""))</f>
        <v>1</v>
      </c>
      <c r="ET286" s="36">
        <f t="shared" si="85"/>
        <v>1</v>
      </c>
      <c r="EU286" s="40">
        <f>COUNTIF($ET$2:$ET$92, ET286)/(COUNTIF($ET$2:$ET$92, "&lt;&gt;""") - COUNTIF($ET$2:$ET$92, ""))</f>
        <v>0.45555555555555555</v>
      </c>
      <c r="EV286" s="36">
        <f t="shared" si="86"/>
        <v>1</v>
      </c>
      <c r="EW286" s="40">
        <f>COUNTIF($EV$2:$EV$92, EV286)/(COUNTIF($EV$2:$EV$92, "&lt;&gt;""") - COUNTIF($EV$2:$EV$92, ""))</f>
        <v>7.7777777777777779E-2</v>
      </c>
      <c r="EX286" s="36" t="str">
        <f t="shared" si="87"/>
        <v>No</v>
      </c>
      <c r="EY286" s="40">
        <f>COUNTIF($EX$2:$EX$92, EX286)/(COUNTIF($EX$2:$EX$92, "&lt;&gt;""") - COUNTIF($EX$2:$EX$92, ""))</f>
        <v>0.72222222222222221</v>
      </c>
      <c r="EZ286" s="36" t="str">
        <f t="shared" ref="EZ286:FB286" si="439">BM286</f>
        <v>No</v>
      </c>
      <c r="FA286" s="36" t="str">
        <f t="shared" si="439"/>
        <v>No</v>
      </c>
      <c r="FB286" s="36" t="str">
        <f t="shared" si="439"/>
        <v>No</v>
      </c>
      <c r="FC286" s="207"/>
      <c r="FD286" s="36" t="str">
        <f t="shared" si="89"/>
        <v>Transactional</v>
      </c>
      <c r="FE286" s="40">
        <f>COUNTIF($FD$2:$FD$92, FD286)/(COUNTIF($FD$2:$FD$92, "&lt;&gt;""") - COUNTIF($FD$2:$FD$92, ""))</f>
        <v>0.6</v>
      </c>
      <c r="FF286" s="36" t="str">
        <f t="shared" si="90"/>
        <v>B2C</v>
      </c>
      <c r="FG286" s="40">
        <f>COUNTIF($FF$2:$FF$92, FF286)/(COUNTIF($FF$2:$FF$92, "&lt;&gt;""") - COUNTIF($FF$2:$FF$92, ""))</f>
        <v>0.41111111111111109</v>
      </c>
      <c r="FH286" s="36" t="str">
        <f t="shared" si="91"/>
        <v>Low</v>
      </c>
      <c r="FI286" s="40">
        <f>COUNTIF($FH$2:$FH$92, FH286)/(COUNTIF($FH$2:$FH$92, "&lt;&gt;""") - COUNTIF($FH$2:$FH$92, ""))</f>
        <v>0.46666666666666667</v>
      </c>
      <c r="FJ286" s="36" t="str">
        <f t="shared" si="92"/>
        <v>High</v>
      </c>
      <c r="FK286" s="40">
        <f>COUNTIF($FJ$2:$FJ$92, FJ286)/(COUNTIF($FJ$2:$FJ$92, "&lt;&gt;""") - COUNTIF($FJ$2:$FJ$92, ""))</f>
        <v>0.58888888888888891</v>
      </c>
      <c r="FL286" s="207"/>
      <c r="FM286" s="192">
        <f t="shared" si="93"/>
        <v>1</v>
      </c>
      <c r="FN286" s="192" t="e">
        <f t="shared" ca="1" si="94"/>
        <v>#NAME?</v>
      </c>
      <c r="FO286" s="192" t="e">
        <f t="shared" ca="1" si="95"/>
        <v>#NAME?</v>
      </c>
      <c r="FP286" s="192" t="e">
        <f t="shared" ca="1" si="96"/>
        <v>#NAME?</v>
      </c>
      <c r="FQ286" s="209" t="e">
        <f t="shared" ca="1" si="97"/>
        <v>#NAME?</v>
      </c>
      <c r="FR286" s="208" t="e">
        <f t="shared" ca="1" si="420"/>
        <v>#NAME?</v>
      </c>
      <c r="FS286" s="36" t="str">
        <f t="shared" si="99"/>
        <v>Pre-Product</v>
      </c>
      <c r="FT286" s="196">
        <f>COUNTIF($FS$2:$FS$92, FS286)/(COUNTIF($FS$2:$FS$92, "&lt;&gt;""") - COUNTIF($FZ$2:$FZ$92, ""))</f>
        <v>0.22222222222222221</v>
      </c>
      <c r="FU286" s="207"/>
      <c r="FV286" s="192" t="e">
        <f t="shared" ca="1" si="100"/>
        <v>#NAME?</v>
      </c>
      <c r="FW286" s="197" t="e">
        <f t="shared" ca="1" si="101"/>
        <v>#NAME?</v>
      </c>
      <c r="FX286" s="209" t="e">
        <f t="shared" ca="1" si="102"/>
        <v>#NAME?</v>
      </c>
      <c r="FY286" s="211" t="e">
        <f t="shared" ca="1" si="421"/>
        <v>#NAME?</v>
      </c>
      <c r="FZ286" s="36" t="str">
        <f t="shared" si="104"/>
        <v>No</v>
      </c>
      <c r="GA286" s="196">
        <f>COUNTIF($FZ$2:$FZ$92, FZ286)/(COUNTIF($FZ$2:$FZ$92, "&lt;&gt;""") - COUNTIF($FZ$2:$FZ$92, ""))</f>
        <v>0.76666666666666672</v>
      </c>
      <c r="GB286" s="196">
        <f t="shared" si="105"/>
        <v>0</v>
      </c>
      <c r="GC286" s="196">
        <f>COUNTIF($GB$2:$GB$92, GB286)/(COUNTIF($GB$2:$GB$92, "&lt;&gt;""") - COUNTIF($GB$2:$GB$92, ""))</f>
        <v>1.1111111111111112E-2</v>
      </c>
      <c r="GD286" s="196">
        <f t="shared" si="106"/>
        <v>0</v>
      </c>
      <c r="GE286" s="196">
        <f>COUNTIF($GD$2:$GD$92, GD286)/(COUNTIF($GD$2:$GD$92, "&lt;&gt;""") - COUNTIF($GD$2:$GD$92, ""))</f>
        <v>1.1111111111111112E-2</v>
      </c>
      <c r="GF286" s="207"/>
      <c r="GG286" s="36"/>
      <c r="GH286" s="209" t="e">
        <f t="shared" ca="1" si="107"/>
        <v>#NAME?</v>
      </c>
      <c r="GI286" s="212" t="e">
        <f t="shared" ca="1" si="422"/>
        <v>#NAME?</v>
      </c>
    </row>
    <row r="287" spans="1:191" ht="15.75" customHeight="1">
      <c r="A287" s="171"/>
      <c r="B287" s="171" t="s">
        <v>501</v>
      </c>
      <c r="C287" s="16">
        <v>1626196</v>
      </c>
      <c r="D287" s="233" t="s">
        <v>1922</v>
      </c>
      <c r="E287" s="234">
        <v>43833.436111111114</v>
      </c>
      <c r="F287" s="16" t="s">
        <v>337</v>
      </c>
      <c r="G287" s="235" t="s">
        <v>1923</v>
      </c>
      <c r="H287" s="235" t="s">
        <v>1924</v>
      </c>
      <c r="I287" s="271">
        <v>43887</v>
      </c>
      <c r="J287" s="233" t="s">
        <v>1925</v>
      </c>
      <c r="K287" s="233" t="s">
        <v>1922</v>
      </c>
      <c r="M287" s="29" t="s">
        <v>331</v>
      </c>
      <c r="N287" s="16" t="s">
        <v>328</v>
      </c>
      <c r="O287" s="16" t="s">
        <v>30</v>
      </c>
      <c r="P287" s="16" t="s">
        <v>174</v>
      </c>
      <c r="Q287" s="16" t="s">
        <v>35</v>
      </c>
      <c r="S287" s="16" t="s">
        <v>216</v>
      </c>
      <c r="T287" s="237"/>
      <c r="U287" s="213"/>
      <c r="V287" s="54">
        <v>8996400</v>
      </c>
      <c r="W287" s="54"/>
      <c r="X287" s="226"/>
      <c r="Y287" s="55" t="str">
        <f t="shared" si="158"/>
        <v/>
      </c>
      <c r="Z287" s="274">
        <f t="shared" si="159"/>
        <v>8996400</v>
      </c>
      <c r="AA287" s="183" t="e">
        <f t="shared" ca="1" si="160"/>
        <v>#NAME?</v>
      </c>
      <c r="AB287" s="16" t="s">
        <v>36</v>
      </c>
      <c r="AC287" s="16" t="s">
        <v>218</v>
      </c>
      <c r="AD287" s="16" t="s">
        <v>38</v>
      </c>
      <c r="AE287" s="16" t="s">
        <v>227</v>
      </c>
      <c r="AF287" s="16" t="s">
        <v>181</v>
      </c>
      <c r="AG287" s="16" t="s">
        <v>39</v>
      </c>
      <c r="AH287" s="16" t="s">
        <v>190</v>
      </c>
      <c r="AI287" s="54"/>
      <c r="AJ287" s="278">
        <v>22290000000000</v>
      </c>
      <c r="AK287" s="224" t="e">
        <f t="shared" ca="1" si="161"/>
        <v>#NAME?</v>
      </c>
      <c r="AL287" s="278">
        <v>22290000000000</v>
      </c>
      <c r="AM287" s="224" t="e">
        <f t="shared" ca="1" si="162"/>
        <v>#NAME?</v>
      </c>
      <c r="AN287" s="278">
        <v>0.09</v>
      </c>
      <c r="AO287" s="185" t="e">
        <f t="shared" ca="1" si="63"/>
        <v>#NAME?</v>
      </c>
      <c r="AP287" s="185" t="s">
        <v>192</v>
      </c>
      <c r="AQ287" s="16" t="s">
        <v>39</v>
      </c>
      <c r="AR287" s="16" t="s">
        <v>39</v>
      </c>
      <c r="AS287" s="16" t="s">
        <v>182</v>
      </c>
      <c r="AT287" s="159"/>
      <c r="AU287" s="159"/>
      <c r="AV287" s="16" t="s">
        <v>227</v>
      </c>
      <c r="AW287" s="16" t="s">
        <v>227</v>
      </c>
      <c r="AX287" s="16" t="s">
        <v>190</v>
      </c>
      <c r="AY287" s="16" t="s">
        <v>190</v>
      </c>
      <c r="AZ287" s="54">
        <v>0</v>
      </c>
      <c r="BA287" s="55" t="e">
        <f t="shared" ca="1" si="163"/>
        <v>#NAME?</v>
      </c>
      <c r="BB287" s="278">
        <v>6131</v>
      </c>
      <c r="BC287" s="278">
        <v>353664</v>
      </c>
      <c r="BD287" s="62" t="e">
        <f t="shared" ca="1" si="164"/>
        <v>#NAME?</v>
      </c>
      <c r="BE287" s="277">
        <f t="shared" si="165"/>
        <v>1.7335663228374956E-2</v>
      </c>
      <c r="BF287" s="62" t="e">
        <f t="shared" ca="1" si="166"/>
        <v>#NAME?</v>
      </c>
      <c r="BG287" s="16" t="s">
        <v>43</v>
      </c>
      <c r="BI287" s="16" t="s">
        <v>227</v>
      </c>
      <c r="BJ287" s="16">
        <v>1</v>
      </c>
      <c r="BK287" s="278">
        <v>2</v>
      </c>
      <c r="BL287" s="16" t="s">
        <v>190</v>
      </c>
      <c r="BM287" s="16" t="s">
        <v>190</v>
      </c>
      <c r="BN287" s="16" t="s">
        <v>190</v>
      </c>
      <c r="BO287" s="16" t="s">
        <v>190</v>
      </c>
      <c r="BP287" s="16">
        <v>3</v>
      </c>
      <c r="BQ287" s="16">
        <v>5</v>
      </c>
      <c r="BR287" s="16">
        <v>13</v>
      </c>
      <c r="BS287" s="16">
        <v>0</v>
      </c>
      <c r="BT287" s="205"/>
      <c r="BU287" s="16">
        <v>0</v>
      </c>
      <c r="BV287" s="16">
        <v>0</v>
      </c>
      <c r="BW287" s="16">
        <v>42</v>
      </c>
      <c r="BX287" s="16" t="s">
        <v>190</v>
      </c>
      <c r="BY287" s="205"/>
      <c r="BZ287" s="16">
        <v>0</v>
      </c>
      <c r="CA287" s="16">
        <v>0</v>
      </c>
      <c r="CB287" s="16">
        <v>37</v>
      </c>
      <c r="CC287" s="16" t="s">
        <v>190</v>
      </c>
      <c r="CD287" s="205"/>
      <c r="CI287" s="205"/>
      <c r="CN287" s="205"/>
      <c r="CS287" s="205"/>
      <c r="CX287" s="205"/>
      <c r="DC287" s="205"/>
      <c r="DH287" s="205"/>
      <c r="DM287" s="205"/>
      <c r="DN287" s="205"/>
      <c r="DO287" s="205"/>
      <c r="DQ287" s="206"/>
      <c r="DR287" s="188">
        <f t="shared" si="64"/>
        <v>0</v>
      </c>
      <c r="DS287" s="188"/>
      <c r="DT287" s="189">
        <f t="shared" si="65"/>
        <v>0</v>
      </c>
      <c r="DU287" s="189"/>
      <c r="DV287" s="188">
        <f t="shared" si="66"/>
        <v>39.5</v>
      </c>
      <c r="DW287" s="183" t="e">
        <f t="shared" ca="1" si="67"/>
        <v>#NAME?</v>
      </c>
      <c r="DX287" s="207"/>
      <c r="DY287" s="190" t="e">
        <f t="shared" ca="1" si="68"/>
        <v>#NAME?</v>
      </c>
      <c r="DZ287" s="191" t="str">
        <f t="shared" si="412"/>
        <v/>
      </c>
      <c r="EA287" s="191" t="str">
        <f t="shared" si="413"/>
        <v/>
      </c>
      <c r="EB287" s="191" t="str">
        <f t="shared" si="414"/>
        <v/>
      </c>
      <c r="EC287" s="208" t="e">
        <f t="shared" ca="1" si="72"/>
        <v>#NAME?</v>
      </c>
      <c r="ED287" s="36" t="str">
        <f t="shared" si="73"/>
        <v>Equity - Common</v>
      </c>
      <c r="EE287" s="193">
        <f>COUNTIF($ED$2:$ED$92, ED287)/(COUNTIF($ED$2:$ED$92, "&lt;&gt;""") - COUNTIF($ED$2:$ED$92, ""))</f>
        <v>0.32222222222222224</v>
      </c>
      <c r="EF287" s="36" t="str">
        <f t="shared" si="74"/>
        <v>Early</v>
      </c>
      <c r="EG287" s="207"/>
      <c r="EH287" s="194" t="e">
        <f t="shared" ca="1" si="75"/>
        <v>#NAME?</v>
      </c>
      <c r="EI287" s="194" t="e">
        <f t="shared" ca="1" si="76"/>
        <v>#NAME?</v>
      </c>
      <c r="EJ287" s="209" t="e">
        <f t="shared" ca="1" si="77"/>
        <v>#NAME?</v>
      </c>
      <c r="EK287" s="208" t="e">
        <f t="shared" ca="1" si="415"/>
        <v>#NAME?</v>
      </c>
      <c r="EL287" s="36" t="str">
        <f t="shared" si="79"/>
        <v>Yes</v>
      </c>
      <c r="EM287" s="207"/>
      <c r="EN287" s="192">
        <f t="shared" si="416"/>
        <v>1</v>
      </c>
      <c r="EO287" s="192">
        <f t="shared" si="417"/>
        <v>1</v>
      </c>
      <c r="EP287" s="209">
        <f t="shared" si="82"/>
        <v>2</v>
      </c>
      <c r="EQ287" s="210">
        <f t="shared" si="418"/>
        <v>1</v>
      </c>
      <c r="ER287" s="36" t="e">
        <f t="shared" ca="1" si="84"/>
        <v>#NAME?</v>
      </c>
      <c r="ES287" s="40">
        <f ca="1">COUNTIF($ER$2:$ER$92, ER287)/(COUNTIF($ER$2:$ER$92, "&lt;&gt;""") - COUNTIF($ER$2:$ER$92, ""))</f>
        <v>1</v>
      </c>
      <c r="ET287" s="36">
        <f t="shared" si="85"/>
        <v>2</v>
      </c>
      <c r="EU287" s="40">
        <f>COUNTIF($ET$2:$ET$92, ET287)/(COUNTIF($ET$2:$ET$92, "&lt;&gt;""") - COUNTIF($ET$2:$ET$92, ""))</f>
        <v>0.45555555555555555</v>
      </c>
      <c r="EV287" s="36">
        <f t="shared" si="86"/>
        <v>5</v>
      </c>
      <c r="EW287" s="40">
        <f>COUNTIF($EV$2:$EV$92, EV287)/(COUNTIF($EV$2:$EV$92, "&lt;&gt;""") - COUNTIF($EV$2:$EV$92, ""))</f>
        <v>0.13333333333333333</v>
      </c>
      <c r="EX287" s="36" t="str">
        <f t="shared" si="87"/>
        <v>No</v>
      </c>
      <c r="EY287" s="40">
        <f>COUNTIF($EX$2:$EX$92, EX287)/(COUNTIF($EX$2:$EX$92, "&lt;&gt;""") - COUNTIF($EX$2:$EX$92, ""))</f>
        <v>0.72222222222222221</v>
      </c>
      <c r="EZ287" s="36" t="str">
        <f t="shared" ref="EZ287:FB287" si="440">BM287</f>
        <v>No</v>
      </c>
      <c r="FA287" s="36" t="str">
        <f t="shared" si="440"/>
        <v>No</v>
      </c>
      <c r="FB287" s="36" t="str">
        <f t="shared" si="440"/>
        <v>No</v>
      </c>
      <c r="FC287" s="207"/>
      <c r="FD287" s="36" t="str">
        <f t="shared" si="89"/>
        <v>Transactional</v>
      </c>
      <c r="FE287" s="40">
        <f>COUNTIF($FD$2:$FD$92, FD287)/(COUNTIF($FD$2:$FD$92, "&lt;&gt;""") - COUNTIF($FD$2:$FD$92, ""))</f>
        <v>0.6</v>
      </c>
      <c r="FF287" s="36" t="str">
        <f t="shared" si="90"/>
        <v>B2B/B2C</v>
      </c>
      <c r="FG287" s="40">
        <f>COUNTIF($FF$2:$FF$92, FF287)/(COUNTIF($FF$2:$FF$92, "&lt;&gt;""") - COUNTIF($FF$2:$FF$92, ""))</f>
        <v>0.27777777777777779</v>
      </c>
      <c r="FH287" s="36" t="str">
        <f t="shared" si="91"/>
        <v>Low</v>
      </c>
      <c r="FI287" s="40">
        <f>COUNTIF($FH$2:$FH$92, FH287)/(COUNTIF($FH$2:$FH$92, "&lt;&gt;""") - COUNTIF($FH$2:$FH$92, ""))</f>
        <v>0.46666666666666667</v>
      </c>
      <c r="FJ287" s="36" t="str">
        <f t="shared" si="92"/>
        <v>High</v>
      </c>
      <c r="FK287" s="40">
        <f>COUNTIF($FJ$2:$FJ$92, FJ287)/(COUNTIF($FJ$2:$FJ$92, "&lt;&gt;""") - COUNTIF($FJ$2:$FJ$92, ""))</f>
        <v>0.58888888888888891</v>
      </c>
      <c r="FL287" s="207"/>
      <c r="FM287" s="192">
        <f t="shared" si="93"/>
        <v>1</v>
      </c>
      <c r="FN287" s="192" t="e">
        <f t="shared" ca="1" si="94"/>
        <v>#NAME?</v>
      </c>
      <c r="FO287" s="192" t="e">
        <f t="shared" ca="1" si="95"/>
        <v>#NAME?</v>
      </c>
      <c r="FP287" s="192" t="e">
        <f t="shared" ca="1" si="96"/>
        <v>#NAME?</v>
      </c>
      <c r="FQ287" s="209" t="e">
        <f t="shared" ca="1" si="97"/>
        <v>#NAME?</v>
      </c>
      <c r="FR287" s="208" t="e">
        <f t="shared" ca="1" si="420"/>
        <v>#NAME?</v>
      </c>
      <c r="FS287" s="36" t="str">
        <f t="shared" si="99"/>
        <v>Pre-Product</v>
      </c>
      <c r="FT287" s="196">
        <f>COUNTIF($FS$2:$FS$92, FS287)/(COUNTIF($FS$2:$FS$92, "&lt;&gt;""") - COUNTIF($FZ$2:$FZ$92, ""))</f>
        <v>0.22222222222222221</v>
      </c>
      <c r="FU287" s="207"/>
      <c r="FV287" s="192" t="e">
        <f t="shared" ca="1" si="100"/>
        <v>#NAME?</v>
      </c>
      <c r="FW287" s="197" t="e">
        <f t="shared" ca="1" si="101"/>
        <v>#NAME?</v>
      </c>
      <c r="FX287" s="209" t="e">
        <f t="shared" ca="1" si="102"/>
        <v>#NAME?</v>
      </c>
      <c r="FY287" s="211" t="e">
        <f t="shared" ca="1" si="421"/>
        <v>#NAME?</v>
      </c>
      <c r="FZ287" s="36" t="str">
        <f t="shared" si="104"/>
        <v>Yes</v>
      </c>
      <c r="GA287" s="196">
        <f>COUNTIF($FZ$2:$FZ$92, FZ287)/(COUNTIF($FZ$2:$FZ$92, "&lt;&gt;""") - COUNTIF($FZ$2:$FZ$92, ""))</f>
        <v>0.23333333333333334</v>
      </c>
      <c r="GB287" s="196">
        <f t="shared" si="105"/>
        <v>0</v>
      </c>
      <c r="GC287" s="196">
        <f>COUNTIF($GB$2:$GB$92, GB287)/(COUNTIF($GB$2:$GB$92, "&lt;&gt;""") - COUNTIF($GB$2:$GB$92, ""))</f>
        <v>1.1111111111111112E-2</v>
      </c>
      <c r="GD287" s="196">
        <f t="shared" si="106"/>
        <v>0</v>
      </c>
      <c r="GE287" s="196">
        <f>COUNTIF($GD$2:$GD$92, GD287)/(COUNTIF($GD$2:$GD$92, "&lt;&gt;""") - COUNTIF($GD$2:$GD$92, ""))</f>
        <v>1.1111111111111112E-2</v>
      </c>
      <c r="GF287" s="207"/>
      <c r="GG287" s="36"/>
      <c r="GH287" s="209" t="e">
        <f t="shared" ca="1" si="107"/>
        <v>#NAME?</v>
      </c>
      <c r="GI287" s="212" t="e">
        <f t="shared" ca="1" si="422"/>
        <v>#NAME?</v>
      </c>
    </row>
    <row r="288" spans="1:191" ht="15.75" customHeight="1">
      <c r="A288" s="171"/>
      <c r="B288" s="171" t="s">
        <v>501</v>
      </c>
      <c r="C288" s="16">
        <v>1446275</v>
      </c>
      <c r="D288" s="233" t="s">
        <v>1926</v>
      </c>
      <c r="E288" s="234">
        <v>43833.438194444447</v>
      </c>
      <c r="F288" s="16" t="s">
        <v>337</v>
      </c>
      <c r="G288" s="235" t="s">
        <v>1927</v>
      </c>
      <c r="H288" s="235" t="s">
        <v>1928</v>
      </c>
      <c r="I288" s="271">
        <v>43832</v>
      </c>
      <c r="J288" s="233" t="s">
        <v>1929</v>
      </c>
      <c r="K288" s="233" t="s">
        <v>1926</v>
      </c>
      <c r="M288" s="16" t="s">
        <v>343</v>
      </c>
      <c r="N288" s="16" t="s">
        <v>213</v>
      </c>
      <c r="O288" s="16" t="s">
        <v>173</v>
      </c>
      <c r="P288" s="16" t="s">
        <v>231</v>
      </c>
      <c r="Q288" s="16" t="s">
        <v>35</v>
      </c>
      <c r="S288" s="16" t="s">
        <v>216</v>
      </c>
      <c r="T288" s="237"/>
      <c r="U288" s="213"/>
      <c r="V288" s="54">
        <v>51633010</v>
      </c>
      <c r="W288" s="54"/>
      <c r="X288" s="226"/>
      <c r="Y288" s="55" t="str">
        <f t="shared" si="158"/>
        <v/>
      </c>
      <c r="Z288" s="274">
        <f t="shared" si="159"/>
        <v>51633010</v>
      </c>
      <c r="AA288" s="183" t="e">
        <f t="shared" ca="1" si="160"/>
        <v>#NAME?</v>
      </c>
      <c r="AB288" s="16" t="s">
        <v>36</v>
      </c>
      <c r="AC288" s="16" t="s">
        <v>218</v>
      </c>
      <c r="AD288" s="16" t="s">
        <v>180</v>
      </c>
      <c r="AE288" s="16" t="s">
        <v>227</v>
      </c>
      <c r="AF288" s="16" t="s">
        <v>181</v>
      </c>
      <c r="AG288" s="16" t="s">
        <v>39</v>
      </c>
      <c r="AH288" s="16" t="s">
        <v>227</v>
      </c>
      <c r="AI288" s="54"/>
      <c r="AJ288" s="278">
        <v>218500000000</v>
      </c>
      <c r="AK288" s="224" t="e">
        <f t="shared" ca="1" si="161"/>
        <v>#NAME?</v>
      </c>
      <c r="AL288" s="278">
        <v>218500000000</v>
      </c>
      <c r="AM288" s="224" t="e">
        <f t="shared" ca="1" si="162"/>
        <v>#NAME?</v>
      </c>
      <c r="AN288" s="278">
        <v>0.05</v>
      </c>
      <c r="AO288" s="185" t="e">
        <f t="shared" ca="1" si="63"/>
        <v>#NAME?</v>
      </c>
      <c r="AP288" s="185" t="s">
        <v>228</v>
      </c>
      <c r="AQ288" s="16" t="s">
        <v>39</v>
      </c>
      <c r="AR288" s="16" t="s">
        <v>39</v>
      </c>
      <c r="AS288" s="16" t="s">
        <v>182</v>
      </c>
      <c r="AT288" s="159"/>
      <c r="AU288" s="159"/>
      <c r="AV288" s="16" t="s">
        <v>227</v>
      </c>
      <c r="AW288" s="16" t="s">
        <v>227</v>
      </c>
      <c r="AX288" s="16" t="s">
        <v>227</v>
      </c>
      <c r="AY288" s="16" t="s">
        <v>227</v>
      </c>
      <c r="AZ288" s="54">
        <v>2840294</v>
      </c>
      <c r="BA288" s="55" t="e">
        <f t="shared" ca="1" si="163"/>
        <v>#NAME?</v>
      </c>
      <c r="BB288" s="278">
        <v>79142</v>
      </c>
      <c r="BC288" s="278">
        <v>21865751</v>
      </c>
      <c r="BD288" s="62" t="e">
        <f t="shared" ca="1" si="164"/>
        <v>#NAME?</v>
      </c>
      <c r="BE288" s="277">
        <f t="shared" si="165"/>
        <v>3.6194503449710007E-3</v>
      </c>
      <c r="BF288" s="62" t="e">
        <f t="shared" ca="1" si="166"/>
        <v>#NAME?</v>
      </c>
      <c r="BG288" s="16" t="s">
        <v>202</v>
      </c>
      <c r="BI288" s="16" t="s">
        <v>227</v>
      </c>
      <c r="BJ288" s="16">
        <v>2</v>
      </c>
      <c r="BK288" s="278">
        <v>2</v>
      </c>
      <c r="BL288" s="16" t="s">
        <v>227</v>
      </c>
      <c r="BM288" s="16" t="s">
        <v>190</v>
      </c>
      <c r="BN288" s="16" t="s">
        <v>190</v>
      </c>
      <c r="BO288" s="16" t="s">
        <v>190</v>
      </c>
      <c r="BP288" s="16">
        <v>4</v>
      </c>
      <c r="BQ288" s="16">
        <v>19</v>
      </c>
      <c r="BR288" s="16">
        <v>0</v>
      </c>
      <c r="BS288" s="16">
        <v>0</v>
      </c>
      <c r="BT288" s="205"/>
      <c r="BU288" s="16">
        <v>9</v>
      </c>
      <c r="BV288" s="16">
        <v>0</v>
      </c>
      <c r="BW288" s="16">
        <v>39</v>
      </c>
      <c r="BX288" s="16" t="s">
        <v>227</v>
      </c>
      <c r="BY288" s="205"/>
      <c r="BZ288" s="16">
        <v>16</v>
      </c>
      <c r="CA288" s="16">
        <v>0</v>
      </c>
      <c r="CB288" s="16">
        <v>67</v>
      </c>
      <c r="CC288" s="16" t="s">
        <v>190</v>
      </c>
      <c r="CD288" s="205"/>
      <c r="CI288" s="205"/>
      <c r="CN288" s="205"/>
      <c r="CS288" s="205"/>
      <c r="CX288" s="205"/>
      <c r="DC288" s="205"/>
      <c r="DH288" s="205"/>
      <c r="DM288" s="205"/>
      <c r="DN288" s="205"/>
      <c r="DO288" s="205"/>
      <c r="DQ288" s="206"/>
      <c r="DR288" s="188">
        <f t="shared" si="64"/>
        <v>12.5</v>
      </c>
      <c r="DS288" s="188"/>
      <c r="DT288" s="189">
        <f t="shared" si="65"/>
        <v>0</v>
      </c>
      <c r="DU288" s="189"/>
      <c r="DV288" s="188">
        <f t="shared" si="66"/>
        <v>53</v>
      </c>
      <c r="DW288" s="183" t="e">
        <f t="shared" ca="1" si="67"/>
        <v>#NAME?</v>
      </c>
      <c r="DX288" s="207"/>
      <c r="DY288" s="190" t="e">
        <f t="shared" ca="1" si="68"/>
        <v>#NAME?</v>
      </c>
      <c r="DZ288" s="191" t="str">
        <f t="shared" si="412"/>
        <v/>
      </c>
      <c r="EA288" s="191" t="str">
        <f t="shared" si="413"/>
        <v/>
      </c>
      <c r="EB288" s="191" t="str">
        <f t="shared" si="414"/>
        <v/>
      </c>
      <c r="EC288" s="208" t="e">
        <f t="shared" ca="1" si="72"/>
        <v>#NAME?</v>
      </c>
      <c r="ED288" s="36" t="str">
        <f t="shared" si="73"/>
        <v>Equity - Common</v>
      </c>
      <c r="EE288" s="193">
        <f>COUNTIF($ED$2:$ED$92, ED288)/(COUNTIF($ED$2:$ED$92, "&lt;&gt;""") - COUNTIF($ED$2:$ED$92, ""))</f>
        <v>0.32222222222222224</v>
      </c>
      <c r="EF288" s="36" t="str">
        <f t="shared" si="74"/>
        <v>Growth</v>
      </c>
      <c r="EG288" s="207"/>
      <c r="EH288" s="194" t="e">
        <f t="shared" ca="1" si="75"/>
        <v>#NAME?</v>
      </c>
      <c r="EI288" s="194" t="e">
        <f t="shared" ca="1" si="76"/>
        <v>#NAME?</v>
      </c>
      <c r="EJ288" s="209" t="e">
        <f t="shared" ca="1" si="77"/>
        <v>#NAME?</v>
      </c>
      <c r="EK288" s="208" t="e">
        <f t="shared" ca="1" si="415"/>
        <v>#NAME?</v>
      </c>
      <c r="EL288" s="36" t="str">
        <f t="shared" si="79"/>
        <v>Yes</v>
      </c>
      <c r="EM288" s="207"/>
      <c r="EN288" s="192">
        <f t="shared" si="416"/>
        <v>2.1904761904761907</v>
      </c>
      <c r="EO288" s="192">
        <f t="shared" si="417"/>
        <v>1</v>
      </c>
      <c r="EP288" s="209">
        <f t="shared" si="82"/>
        <v>3.1904761904761907</v>
      </c>
      <c r="EQ288" s="210">
        <f t="shared" si="418"/>
        <v>1.9345794392523366</v>
      </c>
      <c r="ER288" s="36" t="e">
        <f t="shared" ca="1" si="84"/>
        <v>#NAME?</v>
      </c>
      <c r="ES288" s="40">
        <f ca="1">COUNTIF($ER$2:$ER$92, ER288)/(COUNTIF($ER$2:$ER$92, "&lt;&gt;""") - COUNTIF($ER$2:$ER$92, ""))</f>
        <v>1</v>
      </c>
      <c r="ET288" s="36">
        <f t="shared" si="85"/>
        <v>2</v>
      </c>
      <c r="EU288" s="40">
        <f>COUNTIF($ET$2:$ET$92, ET288)/(COUNTIF($ET$2:$ET$92, "&lt;&gt;""") - COUNTIF($ET$2:$ET$92, ""))</f>
        <v>0.45555555555555555</v>
      </c>
      <c r="EV288" s="36">
        <f t="shared" si="86"/>
        <v>19</v>
      </c>
      <c r="EW288" s="40">
        <f>COUNTIF($EV$2:$EV$92, EV288)/(COUNTIF($EV$2:$EV$92, "&lt;&gt;""") - COUNTIF($EV$2:$EV$92, ""))</f>
        <v>1.1111111111111112E-2</v>
      </c>
      <c r="EX288" s="36" t="str">
        <f t="shared" si="87"/>
        <v>Yes</v>
      </c>
      <c r="EY288" s="40">
        <f>COUNTIF($EX$2:$EX$92, EX288)/(COUNTIF($EX$2:$EX$92, "&lt;&gt;""") - COUNTIF($EX$2:$EX$92, ""))</f>
        <v>0.27777777777777779</v>
      </c>
      <c r="EZ288" s="36" t="str">
        <f t="shared" ref="EZ288:FB288" si="441">BM288</f>
        <v>No</v>
      </c>
      <c r="FA288" s="36" t="str">
        <f t="shared" si="441"/>
        <v>No</v>
      </c>
      <c r="FB288" s="36" t="str">
        <f t="shared" si="441"/>
        <v>No</v>
      </c>
      <c r="FC288" s="207"/>
      <c r="FD288" s="36" t="str">
        <f t="shared" si="89"/>
        <v>Transactional</v>
      </c>
      <c r="FE288" s="40">
        <f>COUNTIF($FD$2:$FD$92, FD288)/(COUNTIF($FD$2:$FD$92, "&lt;&gt;""") - COUNTIF($FD$2:$FD$92, ""))</f>
        <v>0.6</v>
      </c>
      <c r="FF288" s="36" t="str">
        <f t="shared" si="90"/>
        <v>B2B/B2C</v>
      </c>
      <c r="FG288" s="40">
        <f>COUNTIF($FF$2:$FF$92, FF288)/(COUNTIF($FF$2:$FF$92, "&lt;&gt;""") - COUNTIF($FF$2:$FF$92, ""))</f>
        <v>0.27777777777777779</v>
      </c>
      <c r="FH288" s="36" t="str">
        <f t="shared" si="91"/>
        <v>Low</v>
      </c>
      <c r="FI288" s="40">
        <f>COUNTIF($FH$2:$FH$92, FH288)/(COUNTIF($FH$2:$FH$92, "&lt;&gt;""") - COUNTIF($FH$2:$FH$92, ""))</f>
        <v>0.46666666666666667</v>
      </c>
      <c r="FJ288" s="36" t="str">
        <f t="shared" si="92"/>
        <v>High</v>
      </c>
      <c r="FK288" s="40">
        <f>COUNTIF($FJ$2:$FJ$92, FJ288)/(COUNTIF($FJ$2:$FJ$92, "&lt;&gt;""") - COUNTIF($FJ$2:$FJ$92, ""))</f>
        <v>0.58888888888888891</v>
      </c>
      <c r="FL288" s="207"/>
      <c r="FM288" s="192">
        <f t="shared" si="93"/>
        <v>5</v>
      </c>
      <c r="FN288" s="192" t="e">
        <f t="shared" ca="1" si="94"/>
        <v>#NAME?</v>
      </c>
      <c r="FO288" s="192" t="e">
        <f t="shared" ca="1" si="95"/>
        <v>#NAME?</v>
      </c>
      <c r="FP288" s="192" t="e">
        <f t="shared" ca="1" si="96"/>
        <v>#NAME?</v>
      </c>
      <c r="FQ288" s="209" t="e">
        <f t="shared" ca="1" si="97"/>
        <v>#NAME?</v>
      </c>
      <c r="FR288" s="208" t="e">
        <f t="shared" ca="1" si="420"/>
        <v>#NAME?</v>
      </c>
      <c r="FS288" s="36" t="str">
        <f t="shared" si="99"/>
        <v>Pre-Profit</v>
      </c>
      <c r="FT288" s="196">
        <f>COUNTIF($FS$2:$FS$92, FS288)/(COUNTIF($FS$2:$FS$92, "&lt;&gt;""") - COUNTIF($FZ$2:$FZ$92, ""))</f>
        <v>0.51111111111111107</v>
      </c>
      <c r="FU288" s="207"/>
      <c r="FV288" s="192" t="e">
        <f t="shared" ca="1" si="100"/>
        <v>#NAME?</v>
      </c>
      <c r="FW288" s="197" t="e">
        <f t="shared" ca="1" si="101"/>
        <v>#NAME?</v>
      </c>
      <c r="FX288" s="209" t="e">
        <f t="shared" ca="1" si="102"/>
        <v>#NAME?</v>
      </c>
      <c r="FY288" s="211" t="e">
        <f t="shared" ca="1" si="421"/>
        <v>#NAME?</v>
      </c>
      <c r="FZ288" s="36" t="str">
        <f t="shared" si="104"/>
        <v>Yes</v>
      </c>
      <c r="GA288" s="196">
        <f>COUNTIF($FZ$2:$FZ$92, FZ288)/(COUNTIF($FZ$2:$FZ$92, "&lt;&gt;""") - COUNTIF($FZ$2:$FZ$92, ""))</f>
        <v>0.23333333333333334</v>
      </c>
      <c r="GB288" s="196">
        <f t="shared" si="105"/>
        <v>0</v>
      </c>
      <c r="GC288" s="196">
        <f>COUNTIF($GB$2:$GB$92, GB288)/(COUNTIF($GB$2:$GB$92, "&lt;&gt;""") - COUNTIF($GB$2:$GB$92, ""))</f>
        <v>1.1111111111111112E-2</v>
      </c>
      <c r="GD288" s="196">
        <f t="shared" si="106"/>
        <v>0</v>
      </c>
      <c r="GE288" s="196">
        <f>COUNTIF($GD$2:$GD$92, GD288)/(COUNTIF($GD$2:$GD$92, "&lt;&gt;""") - COUNTIF($GD$2:$GD$92, ""))</f>
        <v>1.1111111111111112E-2</v>
      </c>
      <c r="GF288" s="207"/>
      <c r="GG288" s="36"/>
      <c r="GH288" s="209" t="e">
        <f t="shared" ca="1" si="107"/>
        <v>#NAME?</v>
      </c>
      <c r="GI288" s="212" t="e">
        <f t="shared" ca="1" si="422"/>
        <v>#NAME?</v>
      </c>
    </row>
    <row r="289" spans="1:191" ht="15.75" customHeight="1">
      <c r="A289" s="171"/>
      <c r="B289" s="171" t="s">
        <v>501</v>
      </c>
      <c r="C289" s="16">
        <v>1777274</v>
      </c>
      <c r="D289" s="233" t="s">
        <v>1930</v>
      </c>
      <c r="E289" s="234">
        <v>43836.474305555559</v>
      </c>
      <c r="F289" s="16" t="s">
        <v>847</v>
      </c>
      <c r="G289" s="235" t="s">
        <v>1931</v>
      </c>
      <c r="H289" s="235" t="s">
        <v>1932</v>
      </c>
      <c r="I289" s="271">
        <v>43887</v>
      </c>
      <c r="J289" s="233" t="s">
        <v>1933</v>
      </c>
      <c r="K289" s="233" t="s">
        <v>1930</v>
      </c>
      <c r="M289" s="29" t="s">
        <v>747</v>
      </c>
      <c r="N289" s="16" t="s">
        <v>324</v>
      </c>
      <c r="O289" s="16" t="s">
        <v>30</v>
      </c>
      <c r="P289" s="16" t="s">
        <v>174</v>
      </c>
      <c r="Q289" s="16" t="s">
        <v>35</v>
      </c>
      <c r="S289" s="16" t="s">
        <v>269</v>
      </c>
      <c r="T289" s="237"/>
      <c r="U289" s="213"/>
      <c r="V289" s="54"/>
      <c r="W289" s="54">
        <v>5000000</v>
      </c>
      <c r="X289" s="226">
        <v>0.2</v>
      </c>
      <c r="Y289" s="55">
        <f t="shared" si="158"/>
        <v>4000000</v>
      </c>
      <c r="Z289" s="274">
        <f t="shared" si="159"/>
        <v>4000000</v>
      </c>
      <c r="AA289" s="183" t="e">
        <f t="shared" ca="1" si="160"/>
        <v>#NAME?</v>
      </c>
      <c r="AB289" s="16" t="s">
        <v>36</v>
      </c>
      <c r="AC289" s="16" t="s">
        <v>218</v>
      </c>
      <c r="AD289" s="16" t="s">
        <v>180</v>
      </c>
      <c r="AE289" s="16" t="s">
        <v>227</v>
      </c>
      <c r="AF289" s="16" t="s">
        <v>39</v>
      </c>
      <c r="AG289" s="16" t="s">
        <v>181</v>
      </c>
      <c r="AH289" s="16" t="s">
        <v>227</v>
      </c>
      <c r="AI289" s="54"/>
      <c r="AJ289" s="278">
        <v>21450000000</v>
      </c>
      <c r="AK289" s="224" t="e">
        <f t="shared" ca="1" si="161"/>
        <v>#NAME?</v>
      </c>
      <c r="AL289" s="278">
        <v>21450000000</v>
      </c>
      <c r="AM289" s="224" t="e">
        <f t="shared" ca="1" si="162"/>
        <v>#NAME?</v>
      </c>
      <c r="AN289" s="278">
        <v>0.04</v>
      </c>
      <c r="AO289" s="185" t="e">
        <f t="shared" ca="1" si="63"/>
        <v>#NAME?</v>
      </c>
      <c r="AP289" s="185" t="s">
        <v>211</v>
      </c>
      <c r="AQ289" s="16" t="s">
        <v>39</v>
      </c>
      <c r="AR289" s="16" t="s">
        <v>39</v>
      </c>
      <c r="AS289" s="16" t="s">
        <v>182</v>
      </c>
      <c r="AT289" s="159"/>
      <c r="AU289" s="159"/>
      <c r="AV289" s="16" t="s">
        <v>227</v>
      </c>
      <c r="AW289" s="16" t="s">
        <v>227</v>
      </c>
      <c r="AX289" s="16" t="s">
        <v>190</v>
      </c>
      <c r="AY289" s="16" t="s">
        <v>190</v>
      </c>
      <c r="AZ289" s="54">
        <v>0</v>
      </c>
      <c r="BA289" s="55" t="e">
        <f t="shared" ca="1" si="163"/>
        <v>#NAME?</v>
      </c>
      <c r="BB289" s="278">
        <v>5508</v>
      </c>
      <c r="BC289" s="278">
        <v>60000</v>
      </c>
      <c r="BD289" s="62" t="e">
        <f t="shared" ca="1" si="164"/>
        <v>#NAME?</v>
      </c>
      <c r="BE289" s="277">
        <f t="shared" si="165"/>
        <v>9.1800000000000007E-2</v>
      </c>
      <c r="BF289" s="62" t="e">
        <f t="shared" ca="1" si="166"/>
        <v>#NAME?</v>
      </c>
      <c r="BG289" s="16" t="s">
        <v>183</v>
      </c>
      <c r="BI289" s="16" t="s">
        <v>227</v>
      </c>
      <c r="BJ289" s="16">
        <v>1</v>
      </c>
      <c r="BK289" s="278">
        <v>1</v>
      </c>
      <c r="BL289" s="16" t="s">
        <v>227</v>
      </c>
      <c r="BM289" s="16" t="s">
        <v>190</v>
      </c>
      <c r="BN289" s="16" t="s">
        <v>227</v>
      </c>
      <c r="BO289" s="16" t="s">
        <v>190</v>
      </c>
      <c r="BP289" s="16">
        <v>2</v>
      </c>
      <c r="BQ289" s="16">
        <v>1</v>
      </c>
      <c r="BR289" s="16">
        <v>6</v>
      </c>
      <c r="BS289" s="16">
        <v>0</v>
      </c>
      <c r="BT289" s="205"/>
      <c r="BU289" s="16">
        <v>13</v>
      </c>
      <c r="BV289" s="16">
        <v>0</v>
      </c>
      <c r="BW289" s="16">
        <v>42</v>
      </c>
      <c r="BX289" s="16" t="s">
        <v>227</v>
      </c>
      <c r="BY289" s="205"/>
      <c r="CD289" s="205"/>
      <c r="CI289" s="205"/>
      <c r="CN289" s="205"/>
      <c r="CS289" s="205"/>
      <c r="CX289" s="205"/>
      <c r="DC289" s="205"/>
      <c r="DH289" s="205"/>
      <c r="DM289" s="205"/>
      <c r="DN289" s="205"/>
      <c r="DO289" s="205"/>
      <c r="DQ289" s="206"/>
      <c r="DR289" s="188">
        <f t="shared" si="64"/>
        <v>13</v>
      </c>
      <c r="DS289" s="188"/>
      <c r="DT289" s="189">
        <f t="shared" si="65"/>
        <v>0</v>
      </c>
      <c r="DU289" s="189"/>
      <c r="DV289" s="188">
        <f t="shared" si="66"/>
        <v>42</v>
      </c>
      <c r="DW289" s="183" t="e">
        <f t="shared" ca="1" si="67"/>
        <v>#NAME?</v>
      </c>
      <c r="DX289" s="207"/>
      <c r="DY289" s="190" t="e">
        <f t="shared" ca="1" si="68"/>
        <v>#NAME?</v>
      </c>
      <c r="DZ289" s="191">
        <f t="shared" si="412"/>
        <v>3.1052631578947367</v>
      </c>
      <c r="EA289" s="191" t="str">
        <f t="shared" si="413"/>
        <v/>
      </c>
      <c r="EB289" s="191" t="str">
        <f t="shared" si="414"/>
        <v/>
      </c>
      <c r="EC289" s="208" t="e">
        <f t="shared" ca="1" si="72"/>
        <v>#NAME?</v>
      </c>
      <c r="ED289" s="36" t="str">
        <f t="shared" si="73"/>
        <v>SAFE</v>
      </c>
      <c r="EE289" s="193">
        <f>COUNTIF($ED$2:$ED$92, ED289)/(COUNTIF($ED$2:$ED$92, "&lt;&gt;""") - COUNTIF($ED$2:$ED$92, ""))</f>
        <v>0.37777777777777777</v>
      </c>
      <c r="EF289" s="36" t="str">
        <f t="shared" si="74"/>
        <v>Early</v>
      </c>
      <c r="EG289" s="207"/>
      <c r="EH289" s="194" t="e">
        <f t="shared" ca="1" si="75"/>
        <v>#NAME?</v>
      </c>
      <c r="EI289" s="194" t="e">
        <f t="shared" ca="1" si="76"/>
        <v>#NAME?</v>
      </c>
      <c r="EJ289" s="209" t="e">
        <f t="shared" ca="1" si="77"/>
        <v>#NAME?</v>
      </c>
      <c r="EK289" s="208" t="e">
        <f t="shared" ca="1" si="415"/>
        <v>#NAME?</v>
      </c>
      <c r="EL289" s="36" t="str">
        <f t="shared" si="79"/>
        <v>Yes</v>
      </c>
      <c r="EM289" s="207"/>
      <c r="EN289" s="192">
        <f t="shared" si="416"/>
        <v>2.2380952380952381</v>
      </c>
      <c r="EO289" s="192">
        <f t="shared" si="417"/>
        <v>1</v>
      </c>
      <c r="EP289" s="209">
        <f t="shared" si="82"/>
        <v>3.2380952380952381</v>
      </c>
      <c r="EQ289" s="210">
        <f t="shared" si="418"/>
        <v>1.97196261682243</v>
      </c>
      <c r="ER289" s="36" t="e">
        <f t="shared" ca="1" si="84"/>
        <v>#NAME?</v>
      </c>
      <c r="ES289" s="40">
        <f ca="1">COUNTIF($ER$2:$ER$92, ER289)/(COUNTIF($ER$2:$ER$92, "&lt;&gt;""") - COUNTIF($ER$2:$ER$92, ""))</f>
        <v>1</v>
      </c>
      <c r="ET289" s="36">
        <f t="shared" si="85"/>
        <v>1</v>
      </c>
      <c r="EU289" s="40">
        <f>COUNTIF($ET$2:$ET$92, ET289)/(COUNTIF($ET$2:$ET$92, "&lt;&gt;""") - COUNTIF($ET$2:$ET$92, ""))</f>
        <v>0.45555555555555555</v>
      </c>
      <c r="EV289" s="36">
        <f t="shared" si="86"/>
        <v>1</v>
      </c>
      <c r="EW289" s="40">
        <f>COUNTIF($EV$2:$EV$92, EV289)/(COUNTIF($EV$2:$EV$92, "&lt;&gt;""") - COUNTIF($EV$2:$EV$92, ""))</f>
        <v>7.7777777777777779E-2</v>
      </c>
      <c r="EX289" s="36" t="str">
        <f t="shared" si="87"/>
        <v>Yes</v>
      </c>
      <c r="EY289" s="40">
        <f>COUNTIF($EX$2:$EX$92, EX289)/(COUNTIF($EX$2:$EX$92, "&lt;&gt;""") - COUNTIF($EX$2:$EX$92, ""))</f>
        <v>0.27777777777777779</v>
      </c>
      <c r="EZ289" s="36" t="str">
        <f t="shared" ref="EZ289:FB289" si="442">BM289</f>
        <v>No</v>
      </c>
      <c r="FA289" s="36" t="str">
        <f t="shared" si="442"/>
        <v>Yes</v>
      </c>
      <c r="FB289" s="36" t="str">
        <f t="shared" si="442"/>
        <v>No</v>
      </c>
      <c r="FC289" s="207"/>
      <c r="FD289" s="36" t="str">
        <f t="shared" si="89"/>
        <v>Transactional</v>
      </c>
      <c r="FE289" s="40">
        <f>COUNTIF($FD$2:$FD$92, FD289)/(COUNTIF($FD$2:$FD$92, "&lt;&gt;""") - COUNTIF($FD$2:$FD$92, ""))</f>
        <v>0.6</v>
      </c>
      <c r="FF289" s="36" t="str">
        <f t="shared" si="90"/>
        <v>B2B/B2C</v>
      </c>
      <c r="FG289" s="40">
        <f>COUNTIF($FF$2:$FF$92, FF289)/(COUNTIF($FF$2:$FF$92, "&lt;&gt;""") - COUNTIF($FF$2:$FF$92, ""))</f>
        <v>0.27777777777777779</v>
      </c>
      <c r="FH289" s="36" t="str">
        <f t="shared" si="91"/>
        <v>High</v>
      </c>
      <c r="FI289" s="40">
        <f>COUNTIF($FH$2:$FH$92, FH289)/(COUNTIF($FH$2:$FH$92, "&lt;&gt;""") - COUNTIF($FH$2:$FH$92, ""))</f>
        <v>0.53333333333333333</v>
      </c>
      <c r="FJ289" s="36" t="str">
        <f t="shared" si="92"/>
        <v>Low</v>
      </c>
      <c r="FK289" s="40">
        <f>COUNTIF($FJ$2:$FJ$92, FJ289)/(COUNTIF($FJ$2:$FJ$92, "&lt;&gt;""") - COUNTIF($FJ$2:$FJ$92, ""))</f>
        <v>0.41111111111111109</v>
      </c>
      <c r="FL289" s="207"/>
      <c r="FM289" s="192">
        <f t="shared" si="93"/>
        <v>1</v>
      </c>
      <c r="FN289" s="192" t="e">
        <f t="shared" ca="1" si="94"/>
        <v>#NAME?</v>
      </c>
      <c r="FO289" s="192" t="e">
        <f t="shared" ca="1" si="95"/>
        <v>#NAME?</v>
      </c>
      <c r="FP289" s="192" t="e">
        <f t="shared" ca="1" si="96"/>
        <v>#NAME?</v>
      </c>
      <c r="FQ289" s="209" t="e">
        <f t="shared" ca="1" si="97"/>
        <v>#NAME?</v>
      </c>
      <c r="FR289" s="208" t="e">
        <f t="shared" ca="1" si="420"/>
        <v>#NAME?</v>
      </c>
      <c r="FS289" s="36" t="str">
        <f t="shared" si="99"/>
        <v>Pre-Revenue</v>
      </c>
      <c r="FT289" s="196">
        <f>COUNTIF($FS$2:$FS$92, FS289)/(COUNTIF($FS$2:$FS$92, "&lt;&gt;""") - COUNTIF($FZ$2:$FZ$92, ""))</f>
        <v>0.2</v>
      </c>
      <c r="FU289" s="207"/>
      <c r="FV289" s="192" t="e">
        <f t="shared" ca="1" si="100"/>
        <v>#NAME?</v>
      </c>
      <c r="FW289" s="197" t="e">
        <f t="shared" ca="1" si="101"/>
        <v>#NAME?</v>
      </c>
      <c r="FX289" s="209" t="e">
        <f t="shared" ca="1" si="102"/>
        <v>#NAME?</v>
      </c>
      <c r="FY289" s="211" t="e">
        <f t="shared" ca="1" si="421"/>
        <v>#NAME?</v>
      </c>
      <c r="FZ289" s="36" t="str">
        <f t="shared" si="104"/>
        <v>Yes</v>
      </c>
      <c r="GA289" s="196">
        <f>COUNTIF($FZ$2:$FZ$92, FZ289)/(COUNTIF($FZ$2:$FZ$92, "&lt;&gt;""") - COUNTIF($FZ$2:$FZ$92, ""))</f>
        <v>0.23333333333333334</v>
      </c>
      <c r="GB289" s="196">
        <f t="shared" si="105"/>
        <v>0</v>
      </c>
      <c r="GC289" s="196">
        <f>COUNTIF($GB$2:$GB$92, GB289)/(COUNTIF($GB$2:$GB$92, "&lt;&gt;""") - COUNTIF($GB$2:$GB$92, ""))</f>
        <v>1.1111111111111112E-2</v>
      </c>
      <c r="GD289" s="196">
        <f t="shared" si="106"/>
        <v>0</v>
      </c>
      <c r="GE289" s="196">
        <f>COUNTIF($GD$2:$GD$92, GD289)/(COUNTIF($GD$2:$GD$92, "&lt;&gt;""") - COUNTIF($GD$2:$GD$92, ""))</f>
        <v>1.1111111111111112E-2</v>
      </c>
      <c r="GF289" s="207"/>
      <c r="GG289" s="36"/>
      <c r="GH289" s="209" t="e">
        <f t="shared" ca="1" si="107"/>
        <v>#NAME?</v>
      </c>
      <c r="GI289" s="212" t="e">
        <f t="shared" ca="1" si="422"/>
        <v>#NAME?</v>
      </c>
    </row>
  </sheetData>
  <customSheetViews>
    <customSheetView guid="{A5961FC6-04DE-4807-90C3-4D037B2DA7E2}" filter="1" showAutoFilter="1">
      <pageMargins left="0.7" right="0.7" top="0.75" bottom="0.75" header="0.3" footer="0.3"/>
      <autoFilter ref="B1:BX290" xr:uid="{00000000-0000-0000-0000-000000000000}"/>
    </customSheetView>
  </customSheetViews>
  <conditionalFormatting sqref="BD2:BF289">
    <cfRule type="cellIs" dxfId="14" priority="1" operator="equal">
      <formula>0</formula>
    </cfRule>
  </conditionalFormatting>
  <conditionalFormatting sqref="AK8 AL4:AL289">
    <cfRule type="cellIs" dxfId="13" priority="2" operator="greaterThanOrEqual">
      <formula>10000000000000</formula>
    </cfRule>
  </conditionalFormatting>
  <conditionalFormatting sqref="EH2:EI289 GI2:GI289 EC1:EC289 EK1:EK289 EQ1:EQ289 FR1:FR289 EN1:EO289">
    <cfRule type="cellIs" dxfId="12" priority="3" operator="greaterThanOrEqual">
      <formula>5</formula>
    </cfRule>
  </conditionalFormatting>
  <conditionalFormatting sqref="AL1:AL2 AM1">
    <cfRule type="cellIs" dxfId="11" priority="5" operator="greaterThanOrEqual">
      <formula>10000000000000</formula>
    </cfRule>
  </conditionalFormatting>
  <conditionalFormatting sqref="EC1:EC289 EH1:EI289 EK1:EK289 EQ1:EQ289">
    <cfRule type="cellIs" dxfId="10" priority="7" operator="lessThanOrEqual">
      <formula>1</formula>
    </cfRule>
  </conditionalFormatting>
  <conditionalFormatting sqref="GI2:GI289">
    <cfRule type="cellIs" dxfId="9" priority="13" operator="lessThanOrEqual">
      <formula>1</formula>
    </cfRule>
  </conditionalFormatting>
  <conditionalFormatting sqref="AZ1:AZ289">
    <cfRule type="cellIs" dxfId="8" priority="14" operator="greaterThanOrEqual">
      <formula>3000000</formula>
    </cfRule>
  </conditionalFormatting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G9" r:id="rId15" xr:uid="{00000000-0004-0000-0000-00000E000000}"/>
    <hyperlink ref="H9" r:id="rId16" xr:uid="{00000000-0004-0000-0000-00000F000000}"/>
    <hyperlink ref="G10" r:id="rId17" xr:uid="{00000000-0004-0000-0000-000010000000}"/>
    <hyperlink ref="H10" r:id="rId18" xr:uid="{00000000-0004-0000-0000-000011000000}"/>
    <hyperlink ref="G11" r:id="rId19" xr:uid="{00000000-0004-0000-0000-000012000000}"/>
    <hyperlink ref="H11" r:id="rId20" xr:uid="{00000000-0004-0000-0000-000013000000}"/>
    <hyperlink ref="G12" r:id="rId21" xr:uid="{00000000-0004-0000-0000-000014000000}"/>
    <hyperlink ref="H12" r:id="rId22" xr:uid="{00000000-0004-0000-0000-000015000000}"/>
    <hyperlink ref="G13" r:id="rId23" xr:uid="{00000000-0004-0000-0000-000016000000}"/>
    <hyperlink ref="H13" r:id="rId24" xr:uid="{00000000-0004-0000-0000-000017000000}"/>
    <hyperlink ref="G14" r:id="rId25" xr:uid="{00000000-0004-0000-0000-000018000000}"/>
    <hyperlink ref="H14" r:id="rId26" xr:uid="{00000000-0004-0000-0000-000019000000}"/>
    <hyperlink ref="G15" r:id="rId27" xr:uid="{00000000-0004-0000-0000-00001A000000}"/>
    <hyperlink ref="H15" r:id="rId28" xr:uid="{00000000-0004-0000-0000-00001B000000}"/>
    <hyperlink ref="G16" r:id="rId29" xr:uid="{00000000-0004-0000-0000-00001C000000}"/>
    <hyperlink ref="H16" r:id="rId30" xr:uid="{00000000-0004-0000-0000-00001D000000}"/>
    <hyperlink ref="G17" r:id="rId31" xr:uid="{00000000-0004-0000-0000-00001E000000}"/>
    <hyperlink ref="H17" r:id="rId32" xr:uid="{00000000-0004-0000-0000-00001F000000}"/>
    <hyperlink ref="G18" r:id="rId33" xr:uid="{00000000-0004-0000-0000-000020000000}"/>
    <hyperlink ref="H18" r:id="rId34" xr:uid="{00000000-0004-0000-0000-000021000000}"/>
    <hyperlink ref="G19" r:id="rId35" xr:uid="{00000000-0004-0000-0000-000022000000}"/>
    <hyperlink ref="H19" r:id="rId36" xr:uid="{00000000-0004-0000-0000-000023000000}"/>
    <hyperlink ref="G20" r:id="rId37" xr:uid="{00000000-0004-0000-0000-000024000000}"/>
    <hyperlink ref="H20" r:id="rId38" xr:uid="{00000000-0004-0000-0000-000025000000}"/>
    <hyperlink ref="G21" r:id="rId39" xr:uid="{00000000-0004-0000-0000-000026000000}"/>
    <hyperlink ref="H21" r:id="rId40" xr:uid="{00000000-0004-0000-0000-000027000000}"/>
    <hyperlink ref="G22" r:id="rId41" xr:uid="{00000000-0004-0000-0000-000028000000}"/>
    <hyperlink ref="H22" r:id="rId42" xr:uid="{00000000-0004-0000-0000-000029000000}"/>
    <hyperlink ref="G23" r:id="rId43" xr:uid="{00000000-0004-0000-0000-00002A000000}"/>
    <hyperlink ref="H23" r:id="rId44" xr:uid="{00000000-0004-0000-0000-00002B000000}"/>
    <hyperlink ref="G24" r:id="rId45" xr:uid="{00000000-0004-0000-0000-00002C000000}"/>
    <hyperlink ref="H24" r:id="rId46" xr:uid="{00000000-0004-0000-0000-00002D000000}"/>
    <hyperlink ref="G25" r:id="rId47" xr:uid="{00000000-0004-0000-0000-00002E000000}"/>
    <hyperlink ref="H25" r:id="rId48" xr:uid="{00000000-0004-0000-0000-00002F000000}"/>
    <hyperlink ref="G26" r:id="rId49" xr:uid="{00000000-0004-0000-0000-000030000000}"/>
    <hyperlink ref="H26" r:id="rId50" xr:uid="{00000000-0004-0000-0000-000031000000}"/>
    <hyperlink ref="G27" r:id="rId51" xr:uid="{00000000-0004-0000-0000-000032000000}"/>
    <hyperlink ref="H27" r:id="rId52" xr:uid="{00000000-0004-0000-0000-000033000000}"/>
    <hyperlink ref="G28" r:id="rId53" xr:uid="{00000000-0004-0000-0000-000034000000}"/>
    <hyperlink ref="H28" r:id="rId54" xr:uid="{00000000-0004-0000-0000-000035000000}"/>
    <hyperlink ref="G29" r:id="rId55" xr:uid="{00000000-0004-0000-0000-000036000000}"/>
    <hyperlink ref="H29" r:id="rId56" xr:uid="{00000000-0004-0000-0000-000037000000}"/>
    <hyperlink ref="G30" r:id="rId57" xr:uid="{00000000-0004-0000-0000-000038000000}"/>
    <hyperlink ref="H30" r:id="rId58" xr:uid="{00000000-0004-0000-0000-000039000000}"/>
    <hyperlink ref="K30" r:id="rId59" xr:uid="{00000000-0004-0000-0000-00003A000000}"/>
    <hyperlink ref="G31" r:id="rId60" xr:uid="{00000000-0004-0000-0000-00003B000000}"/>
    <hyperlink ref="H31" r:id="rId61" xr:uid="{00000000-0004-0000-0000-00003C000000}"/>
    <hyperlink ref="G32" r:id="rId62" xr:uid="{00000000-0004-0000-0000-00003D000000}"/>
    <hyperlink ref="H32" r:id="rId63" xr:uid="{00000000-0004-0000-0000-00003E000000}"/>
    <hyperlink ref="G33" r:id="rId64" xr:uid="{00000000-0004-0000-0000-00003F000000}"/>
    <hyperlink ref="H33" r:id="rId65" xr:uid="{00000000-0004-0000-0000-000040000000}"/>
    <hyperlink ref="G34" r:id="rId66" xr:uid="{00000000-0004-0000-0000-000041000000}"/>
    <hyperlink ref="H34" r:id="rId67" xr:uid="{00000000-0004-0000-0000-000042000000}"/>
    <hyperlink ref="G35" r:id="rId68" xr:uid="{00000000-0004-0000-0000-000043000000}"/>
    <hyperlink ref="H35" r:id="rId69" xr:uid="{00000000-0004-0000-0000-000044000000}"/>
    <hyperlink ref="G36" r:id="rId70" xr:uid="{00000000-0004-0000-0000-000045000000}"/>
    <hyperlink ref="H36" r:id="rId71" xr:uid="{00000000-0004-0000-0000-000046000000}"/>
    <hyperlink ref="G37" r:id="rId72" xr:uid="{00000000-0004-0000-0000-000047000000}"/>
    <hyperlink ref="H37" r:id="rId73" xr:uid="{00000000-0004-0000-0000-000048000000}"/>
    <hyperlink ref="G38" r:id="rId74" xr:uid="{00000000-0004-0000-0000-000049000000}"/>
    <hyperlink ref="H38" r:id="rId75" xr:uid="{00000000-0004-0000-0000-00004A000000}"/>
    <hyperlink ref="G39" r:id="rId76" xr:uid="{00000000-0004-0000-0000-00004B000000}"/>
    <hyperlink ref="H39" r:id="rId77" xr:uid="{00000000-0004-0000-0000-00004C000000}"/>
    <hyperlink ref="G40" r:id="rId78" xr:uid="{00000000-0004-0000-0000-00004D000000}"/>
    <hyperlink ref="H40" r:id="rId79" xr:uid="{00000000-0004-0000-0000-00004E000000}"/>
    <hyperlink ref="G41" r:id="rId80" xr:uid="{00000000-0004-0000-0000-00004F000000}"/>
    <hyperlink ref="H41" r:id="rId81" xr:uid="{00000000-0004-0000-0000-000050000000}"/>
    <hyperlink ref="G42" r:id="rId82" xr:uid="{00000000-0004-0000-0000-000051000000}"/>
    <hyperlink ref="H42" r:id="rId83" xr:uid="{00000000-0004-0000-0000-000052000000}"/>
    <hyperlink ref="G43" r:id="rId84" xr:uid="{00000000-0004-0000-0000-000053000000}"/>
    <hyperlink ref="H43" r:id="rId85" xr:uid="{00000000-0004-0000-0000-000054000000}"/>
    <hyperlink ref="G44" r:id="rId86" xr:uid="{00000000-0004-0000-0000-000055000000}"/>
    <hyperlink ref="H44" r:id="rId87" xr:uid="{00000000-0004-0000-0000-000056000000}"/>
    <hyperlink ref="G45" r:id="rId88" xr:uid="{00000000-0004-0000-0000-000057000000}"/>
    <hyperlink ref="H45" r:id="rId89" xr:uid="{00000000-0004-0000-0000-000058000000}"/>
    <hyperlink ref="G46" r:id="rId90" xr:uid="{00000000-0004-0000-0000-000059000000}"/>
    <hyperlink ref="H46" r:id="rId91" xr:uid="{00000000-0004-0000-0000-00005A000000}"/>
    <hyperlink ref="G47" r:id="rId92" xr:uid="{00000000-0004-0000-0000-00005B000000}"/>
    <hyperlink ref="H47" r:id="rId93" xr:uid="{00000000-0004-0000-0000-00005C000000}"/>
    <hyperlink ref="G48" r:id="rId94" xr:uid="{00000000-0004-0000-0000-00005D000000}"/>
    <hyperlink ref="H48" r:id="rId95" xr:uid="{00000000-0004-0000-0000-00005E000000}"/>
    <hyperlink ref="G49" r:id="rId96" xr:uid="{00000000-0004-0000-0000-00005F000000}"/>
    <hyperlink ref="H49" r:id="rId97" xr:uid="{00000000-0004-0000-0000-000060000000}"/>
    <hyperlink ref="G50" r:id="rId98" xr:uid="{00000000-0004-0000-0000-000061000000}"/>
    <hyperlink ref="H50" r:id="rId99" xr:uid="{00000000-0004-0000-0000-000062000000}"/>
    <hyperlink ref="G51" r:id="rId100" xr:uid="{00000000-0004-0000-0000-000063000000}"/>
    <hyperlink ref="H51" r:id="rId101" xr:uid="{00000000-0004-0000-0000-000064000000}"/>
    <hyperlink ref="G52" r:id="rId102" xr:uid="{00000000-0004-0000-0000-000065000000}"/>
    <hyperlink ref="H52" r:id="rId103" xr:uid="{00000000-0004-0000-0000-000066000000}"/>
    <hyperlink ref="G53" r:id="rId104" xr:uid="{00000000-0004-0000-0000-000067000000}"/>
    <hyperlink ref="H53" r:id="rId105" xr:uid="{00000000-0004-0000-0000-000068000000}"/>
    <hyperlink ref="G54" r:id="rId106" xr:uid="{00000000-0004-0000-0000-000069000000}"/>
    <hyperlink ref="H54" r:id="rId107" xr:uid="{00000000-0004-0000-0000-00006A000000}"/>
    <hyperlink ref="G55" r:id="rId108" xr:uid="{00000000-0004-0000-0000-00006B000000}"/>
    <hyperlink ref="H55" r:id="rId109" xr:uid="{00000000-0004-0000-0000-00006C000000}"/>
    <hyperlink ref="G56" r:id="rId110" xr:uid="{00000000-0004-0000-0000-00006D000000}"/>
    <hyperlink ref="H56" r:id="rId111" xr:uid="{00000000-0004-0000-0000-00006E000000}"/>
    <hyperlink ref="G57" r:id="rId112" xr:uid="{00000000-0004-0000-0000-00006F000000}"/>
    <hyperlink ref="H57" r:id="rId113" xr:uid="{00000000-0004-0000-0000-000070000000}"/>
    <hyperlink ref="G58" r:id="rId114" xr:uid="{00000000-0004-0000-0000-000071000000}"/>
    <hyperlink ref="H58" r:id="rId115" xr:uid="{00000000-0004-0000-0000-000072000000}"/>
    <hyperlink ref="G59" r:id="rId116" xr:uid="{00000000-0004-0000-0000-000073000000}"/>
    <hyperlink ref="H59" r:id="rId117" xr:uid="{00000000-0004-0000-0000-000074000000}"/>
    <hyperlink ref="G60" r:id="rId118" xr:uid="{00000000-0004-0000-0000-000075000000}"/>
    <hyperlink ref="H60" r:id="rId119" xr:uid="{00000000-0004-0000-0000-000076000000}"/>
    <hyperlink ref="G61" r:id="rId120" xr:uid="{00000000-0004-0000-0000-000077000000}"/>
    <hyperlink ref="H61" r:id="rId121" xr:uid="{00000000-0004-0000-0000-000078000000}"/>
    <hyperlink ref="G62" r:id="rId122" xr:uid="{00000000-0004-0000-0000-000079000000}"/>
    <hyperlink ref="H62" r:id="rId123" xr:uid="{00000000-0004-0000-0000-00007A000000}"/>
    <hyperlink ref="G63" r:id="rId124" xr:uid="{00000000-0004-0000-0000-00007B000000}"/>
    <hyperlink ref="H63" r:id="rId125" xr:uid="{00000000-0004-0000-0000-00007C000000}"/>
    <hyperlink ref="G64" r:id="rId126" xr:uid="{00000000-0004-0000-0000-00007D000000}"/>
    <hyperlink ref="H64" r:id="rId127" xr:uid="{00000000-0004-0000-0000-00007E000000}"/>
    <hyperlink ref="G65" r:id="rId128" xr:uid="{00000000-0004-0000-0000-00007F000000}"/>
    <hyperlink ref="H65" r:id="rId129" xr:uid="{00000000-0004-0000-0000-000080000000}"/>
    <hyperlink ref="G66" r:id="rId130" xr:uid="{00000000-0004-0000-0000-000081000000}"/>
    <hyperlink ref="H66" r:id="rId131" xr:uid="{00000000-0004-0000-0000-000082000000}"/>
    <hyperlink ref="G67" r:id="rId132" xr:uid="{00000000-0004-0000-0000-000083000000}"/>
    <hyperlink ref="H67" r:id="rId133" xr:uid="{00000000-0004-0000-0000-000084000000}"/>
    <hyperlink ref="G68" r:id="rId134" xr:uid="{00000000-0004-0000-0000-000085000000}"/>
    <hyperlink ref="H68" r:id="rId135" xr:uid="{00000000-0004-0000-0000-000086000000}"/>
    <hyperlink ref="G69" r:id="rId136" xr:uid="{00000000-0004-0000-0000-000087000000}"/>
    <hyperlink ref="H69" r:id="rId137" xr:uid="{00000000-0004-0000-0000-000088000000}"/>
    <hyperlink ref="G70" r:id="rId138" xr:uid="{00000000-0004-0000-0000-000089000000}"/>
    <hyperlink ref="H70" r:id="rId139" xr:uid="{00000000-0004-0000-0000-00008A000000}"/>
    <hyperlink ref="G71" r:id="rId140" xr:uid="{00000000-0004-0000-0000-00008B000000}"/>
    <hyperlink ref="H71" r:id="rId141" xr:uid="{00000000-0004-0000-0000-00008C000000}"/>
    <hyperlink ref="G72" r:id="rId142" xr:uid="{00000000-0004-0000-0000-00008D000000}"/>
    <hyperlink ref="H72" r:id="rId143" xr:uid="{00000000-0004-0000-0000-00008E000000}"/>
    <hyperlink ref="G73" r:id="rId144" xr:uid="{00000000-0004-0000-0000-00008F000000}"/>
    <hyperlink ref="H73" r:id="rId145" xr:uid="{00000000-0004-0000-0000-000090000000}"/>
    <hyperlink ref="G74" r:id="rId146" xr:uid="{00000000-0004-0000-0000-000091000000}"/>
    <hyperlink ref="H74" r:id="rId147" xr:uid="{00000000-0004-0000-0000-000092000000}"/>
    <hyperlink ref="G75" r:id="rId148" xr:uid="{00000000-0004-0000-0000-000093000000}"/>
    <hyperlink ref="H75" r:id="rId149" xr:uid="{00000000-0004-0000-0000-000094000000}"/>
    <hyperlink ref="G76" r:id="rId150" xr:uid="{00000000-0004-0000-0000-000095000000}"/>
    <hyperlink ref="H76" r:id="rId151" xr:uid="{00000000-0004-0000-0000-000096000000}"/>
    <hyperlink ref="G77" r:id="rId152" xr:uid="{00000000-0004-0000-0000-000097000000}"/>
    <hyperlink ref="H77" r:id="rId153" xr:uid="{00000000-0004-0000-0000-000098000000}"/>
    <hyperlink ref="G78" r:id="rId154" xr:uid="{00000000-0004-0000-0000-000099000000}"/>
    <hyperlink ref="H78" r:id="rId155" xr:uid="{00000000-0004-0000-0000-00009A000000}"/>
    <hyperlink ref="G79" r:id="rId156" xr:uid="{00000000-0004-0000-0000-00009B000000}"/>
    <hyperlink ref="H79" r:id="rId157" xr:uid="{00000000-0004-0000-0000-00009C000000}"/>
    <hyperlink ref="G80" r:id="rId158" xr:uid="{00000000-0004-0000-0000-00009D000000}"/>
    <hyperlink ref="H80" r:id="rId159" xr:uid="{00000000-0004-0000-0000-00009E000000}"/>
    <hyperlink ref="G81" r:id="rId160" xr:uid="{00000000-0004-0000-0000-00009F000000}"/>
    <hyperlink ref="H81" r:id="rId161" xr:uid="{00000000-0004-0000-0000-0000A0000000}"/>
    <hyperlink ref="G82" r:id="rId162" xr:uid="{00000000-0004-0000-0000-0000A1000000}"/>
    <hyperlink ref="H82" r:id="rId163" xr:uid="{00000000-0004-0000-0000-0000A2000000}"/>
    <hyperlink ref="G83" r:id="rId164" xr:uid="{00000000-0004-0000-0000-0000A3000000}"/>
    <hyperlink ref="H83" r:id="rId165" xr:uid="{00000000-0004-0000-0000-0000A4000000}"/>
    <hyperlink ref="G84" r:id="rId166" xr:uid="{00000000-0004-0000-0000-0000A5000000}"/>
    <hyperlink ref="H84" r:id="rId167" xr:uid="{00000000-0004-0000-0000-0000A6000000}"/>
    <hyperlink ref="G85" r:id="rId168" xr:uid="{00000000-0004-0000-0000-0000A7000000}"/>
    <hyperlink ref="H85" r:id="rId169" xr:uid="{00000000-0004-0000-0000-0000A8000000}"/>
    <hyperlink ref="G86" r:id="rId170" xr:uid="{00000000-0004-0000-0000-0000A9000000}"/>
    <hyperlink ref="H86" r:id="rId171" xr:uid="{00000000-0004-0000-0000-0000AA000000}"/>
    <hyperlink ref="G87" r:id="rId172" xr:uid="{00000000-0004-0000-0000-0000AB000000}"/>
    <hyperlink ref="H87" r:id="rId173" xr:uid="{00000000-0004-0000-0000-0000AC000000}"/>
    <hyperlink ref="G88" r:id="rId174" xr:uid="{00000000-0004-0000-0000-0000AD000000}"/>
    <hyperlink ref="H88" r:id="rId175" xr:uid="{00000000-0004-0000-0000-0000AE000000}"/>
    <hyperlink ref="G89" r:id="rId176" xr:uid="{00000000-0004-0000-0000-0000AF000000}"/>
    <hyperlink ref="H89" r:id="rId177" xr:uid="{00000000-0004-0000-0000-0000B0000000}"/>
    <hyperlink ref="G90" r:id="rId178" xr:uid="{00000000-0004-0000-0000-0000B1000000}"/>
    <hyperlink ref="H90" r:id="rId179" xr:uid="{00000000-0004-0000-0000-0000B2000000}"/>
    <hyperlink ref="G91" r:id="rId180" xr:uid="{00000000-0004-0000-0000-0000B3000000}"/>
    <hyperlink ref="H91" r:id="rId181" xr:uid="{00000000-0004-0000-0000-0000B4000000}"/>
    <hyperlink ref="G92" r:id="rId182" xr:uid="{00000000-0004-0000-0000-0000B5000000}"/>
    <hyperlink ref="H92" r:id="rId183" xr:uid="{00000000-0004-0000-0000-0000B6000000}"/>
    <hyperlink ref="G93" r:id="rId184" xr:uid="{00000000-0004-0000-0000-0000B7000000}"/>
    <hyperlink ref="H93" r:id="rId185" xr:uid="{00000000-0004-0000-0000-0000B8000000}"/>
    <hyperlink ref="G94" r:id="rId186" xr:uid="{00000000-0004-0000-0000-0000B9000000}"/>
    <hyperlink ref="H94" r:id="rId187" xr:uid="{00000000-0004-0000-0000-0000BA000000}"/>
    <hyperlink ref="G95" r:id="rId188" xr:uid="{00000000-0004-0000-0000-0000BB000000}"/>
    <hyperlink ref="H95" r:id="rId189" xr:uid="{00000000-0004-0000-0000-0000BC000000}"/>
    <hyperlink ref="D96" r:id="rId190" xr:uid="{00000000-0004-0000-0000-0000BD000000}"/>
    <hyperlink ref="G96" r:id="rId191" xr:uid="{00000000-0004-0000-0000-0000BE000000}"/>
    <hyperlink ref="H96" r:id="rId192" xr:uid="{00000000-0004-0000-0000-0000BF000000}"/>
    <hyperlink ref="K96" r:id="rId193" xr:uid="{00000000-0004-0000-0000-0000C0000000}"/>
    <hyperlink ref="G97" r:id="rId194" xr:uid="{00000000-0004-0000-0000-0000C1000000}"/>
    <hyperlink ref="H97" r:id="rId195" xr:uid="{00000000-0004-0000-0000-0000C2000000}"/>
    <hyperlink ref="G98" r:id="rId196" xr:uid="{00000000-0004-0000-0000-0000C3000000}"/>
    <hyperlink ref="H98" r:id="rId197" xr:uid="{00000000-0004-0000-0000-0000C4000000}"/>
    <hyperlink ref="G99" r:id="rId198" xr:uid="{00000000-0004-0000-0000-0000C5000000}"/>
    <hyperlink ref="H99" r:id="rId199" xr:uid="{00000000-0004-0000-0000-0000C6000000}"/>
    <hyperlink ref="G100" r:id="rId200" xr:uid="{00000000-0004-0000-0000-0000C7000000}"/>
    <hyperlink ref="H100" r:id="rId201" xr:uid="{00000000-0004-0000-0000-0000C8000000}"/>
    <hyperlink ref="G101" r:id="rId202" xr:uid="{00000000-0004-0000-0000-0000C9000000}"/>
    <hyperlink ref="H101" r:id="rId203" xr:uid="{00000000-0004-0000-0000-0000CA000000}"/>
    <hyperlink ref="G102" r:id="rId204" xr:uid="{00000000-0004-0000-0000-0000CB000000}"/>
    <hyperlink ref="H102" r:id="rId205" xr:uid="{00000000-0004-0000-0000-0000CC000000}"/>
    <hyperlink ref="K102" r:id="rId206" xr:uid="{00000000-0004-0000-0000-0000CD000000}"/>
    <hyperlink ref="G103" r:id="rId207" xr:uid="{00000000-0004-0000-0000-0000CE000000}"/>
    <hyperlink ref="H103" r:id="rId208" xr:uid="{00000000-0004-0000-0000-0000CF000000}"/>
    <hyperlink ref="G104" r:id="rId209" xr:uid="{00000000-0004-0000-0000-0000D0000000}"/>
    <hyperlink ref="H104" r:id="rId210" xr:uid="{00000000-0004-0000-0000-0000D1000000}"/>
    <hyperlink ref="D105" r:id="rId211" xr:uid="{00000000-0004-0000-0000-0000D2000000}"/>
    <hyperlink ref="G105" r:id="rId212" xr:uid="{00000000-0004-0000-0000-0000D3000000}"/>
    <hyperlink ref="H105" r:id="rId213" xr:uid="{00000000-0004-0000-0000-0000D4000000}"/>
    <hyperlink ref="K105" r:id="rId214" xr:uid="{00000000-0004-0000-0000-0000D5000000}"/>
    <hyperlink ref="G106" r:id="rId215" xr:uid="{00000000-0004-0000-0000-0000D6000000}"/>
    <hyperlink ref="H106" r:id="rId216" xr:uid="{00000000-0004-0000-0000-0000D7000000}"/>
    <hyperlink ref="G107" r:id="rId217" xr:uid="{00000000-0004-0000-0000-0000D8000000}"/>
    <hyperlink ref="H107" r:id="rId218" xr:uid="{00000000-0004-0000-0000-0000D9000000}"/>
    <hyperlink ref="G108" r:id="rId219" xr:uid="{00000000-0004-0000-0000-0000DA000000}"/>
    <hyperlink ref="H108" r:id="rId220" xr:uid="{00000000-0004-0000-0000-0000DB000000}"/>
    <hyperlink ref="G109" r:id="rId221" xr:uid="{00000000-0004-0000-0000-0000DC000000}"/>
    <hyperlink ref="H109" r:id="rId222" xr:uid="{00000000-0004-0000-0000-0000DD000000}"/>
    <hyperlink ref="G110" r:id="rId223" xr:uid="{00000000-0004-0000-0000-0000DE000000}"/>
    <hyperlink ref="H110" r:id="rId224" xr:uid="{00000000-0004-0000-0000-0000DF000000}"/>
    <hyperlink ref="G111" r:id="rId225" xr:uid="{00000000-0004-0000-0000-0000E0000000}"/>
    <hyperlink ref="H111" r:id="rId226" xr:uid="{00000000-0004-0000-0000-0000E1000000}"/>
    <hyperlink ref="G112" r:id="rId227" xr:uid="{00000000-0004-0000-0000-0000E2000000}"/>
    <hyperlink ref="H112" r:id="rId228" xr:uid="{00000000-0004-0000-0000-0000E3000000}"/>
    <hyperlink ref="G113" r:id="rId229" xr:uid="{00000000-0004-0000-0000-0000E4000000}"/>
    <hyperlink ref="H113" r:id="rId230" xr:uid="{00000000-0004-0000-0000-0000E5000000}"/>
    <hyperlink ref="G114" r:id="rId231" xr:uid="{00000000-0004-0000-0000-0000E6000000}"/>
    <hyperlink ref="H114" r:id="rId232" xr:uid="{00000000-0004-0000-0000-0000E7000000}"/>
    <hyperlink ref="G115" r:id="rId233" xr:uid="{00000000-0004-0000-0000-0000E8000000}"/>
    <hyperlink ref="H115" r:id="rId234" xr:uid="{00000000-0004-0000-0000-0000E9000000}"/>
    <hyperlink ref="G116" r:id="rId235" xr:uid="{00000000-0004-0000-0000-0000EA000000}"/>
    <hyperlink ref="H116" r:id="rId236" xr:uid="{00000000-0004-0000-0000-0000EB000000}"/>
    <hyperlink ref="G117" r:id="rId237" xr:uid="{00000000-0004-0000-0000-0000EC000000}"/>
    <hyperlink ref="H117" r:id="rId238" xr:uid="{00000000-0004-0000-0000-0000ED000000}"/>
    <hyperlink ref="G118" r:id="rId239" xr:uid="{00000000-0004-0000-0000-0000EE000000}"/>
    <hyperlink ref="H118" r:id="rId240" xr:uid="{00000000-0004-0000-0000-0000EF000000}"/>
    <hyperlink ref="G119" r:id="rId241" xr:uid="{00000000-0004-0000-0000-0000F0000000}"/>
    <hyperlink ref="H119" r:id="rId242" xr:uid="{00000000-0004-0000-0000-0000F1000000}"/>
    <hyperlink ref="G120" r:id="rId243" xr:uid="{00000000-0004-0000-0000-0000F2000000}"/>
    <hyperlink ref="H120" r:id="rId244" xr:uid="{00000000-0004-0000-0000-0000F3000000}"/>
    <hyperlink ref="G121" r:id="rId245" xr:uid="{00000000-0004-0000-0000-0000F4000000}"/>
    <hyperlink ref="H121" r:id="rId246" xr:uid="{00000000-0004-0000-0000-0000F5000000}"/>
    <hyperlink ref="G122" r:id="rId247" xr:uid="{00000000-0004-0000-0000-0000F6000000}"/>
    <hyperlink ref="H122" r:id="rId248" xr:uid="{00000000-0004-0000-0000-0000F7000000}"/>
    <hyperlink ref="G123" r:id="rId249" xr:uid="{00000000-0004-0000-0000-0000F8000000}"/>
    <hyperlink ref="H123" r:id="rId250" xr:uid="{00000000-0004-0000-0000-0000F9000000}"/>
    <hyperlink ref="G124" r:id="rId251" xr:uid="{00000000-0004-0000-0000-0000FA000000}"/>
    <hyperlink ref="H124" r:id="rId252" xr:uid="{00000000-0004-0000-0000-0000FB000000}"/>
    <hyperlink ref="G125" r:id="rId253" xr:uid="{00000000-0004-0000-0000-0000FC000000}"/>
    <hyperlink ref="H125" r:id="rId254" xr:uid="{00000000-0004-0000-0000-0000FD000000}"/>
    <hyperlink ref="G126" r:id="rId255" xr:uid="{00000000-0004-0000-0000-0000FE000000}"/>
    <hyperlink ref="H126" r:id="rId256" xr:uid="{00000000-0004-0000-0000-0000FF000000}"/>
    <hyperlink ref="G127" r:id="rId257" xr:uid="{00000000-0004-0000-0000-000000010000}"/>
    <hyperlink ref="H127" r:id="rId258" xr:uid="{00000000-0004-0000-0000-000001010000}"/>
    <hyperlink ref="G128" r:id="rId259" xr:uid="{00000000-0004-0000-0000-000002010000}"/>
    <hyperlink ref="H128" r:id="rId260" xr:uid="{00000000-0004-0000-0000-000003010000}"/>
    <hyperlink ref="G129" r:id="rId261" xr:uid="{00000000-0004-0000-0000-000004010000}"/>
    <hyperlink ref="H129" r:id="rId262" xr:uid="{00000000-0004-0000-0000-000005010000}"/>
    <hyperlink ref="G130" r:id="rId263" xr:uid="{00000000-0004-0000-0000-000006010000}"/>
    <hyperlink ref="H130" r:id="rId264" xr:uid="{00000000-0004-0000-0000-000007010000}"/>
    <hyperlink ref="G131" r:id="rId265" xr:uid="{00000000-0004-0000-0000-000008010000}"/>
    <hyperlink ref="H131" r:id="rId266" xr:uid="{00000000-0004-0000-0000-000009010000}"/>
    <hyperlink ref="G132" r:id="rId267" xr:uid="{00000000-0004-0000-0000-00000A010000}"/>
    <hyperlink ref="H132" r:id="rId268" xr:uid="{00000000-0004-0000-0000-00000B010000}"/>
    <hyperlink ref="G133" r:id="rId269" xr:uid="{00000000-0004-0000-0000-00000C010000}"/>
    <hyperlink ref="H133" r:id="rId270" xr:uid="{00000000-0004-0000-0000-00000D010000}"/>
    <hyperlink ref="G134" r:id="rId271" xr:uid="{00000000-0004-0000-0000-00000E010000}"/>
    <hyperlink ref="H134" r:id="rId272" xr:uid="{00000000-0004-0000-0000-00000F010000}"/>
    <hyperlink ref="G135" r:id="rId273" xr:uid="{00000000-0004-0000-0000-000010010000}"/>
    <hyperlink ref="H135" r:id="rId274" xr:uid="{00000000-0004-0000-0000-000011010000}"/>
    <hyperlink ref="G136" r:id="rId275" xr:uid="{00000000-0004-0000-0000-000012010000}"/>
    <hyperlink ref="H136" r:id="rId276" xr:uid="{00000000-0004-0000-0000-000013010000}"/>
    <hyperlink ref="G137" r:id="rId277" xr:uid="{00000000-0004-0000-0000-000014010000}"/>
    <hyperlink ref="H137" r:id="rId278" xr:uid="{00000000-0004-0000-0000-000015010000}"/>
    <hyperlink ref="G138" r:id="rId279" xr:uid="{00000000-0004-0000-0000-000016010000}"/>
    <hyperlink ref="H138" r:id="rId280" xr:uid="{00000000-0004-0000-0000-000017010000}"/>
    <hyperlink ref="G139" r:id="rId281" xr:uid="{00000000-0004-0000-0000-000018010000}"/>
    <hyperlink ref="H139" r:id="rId282" xr:uid="{00000000-0004-0000-0000-000019010000}"/>
    <hyperlink ref="G140" r:id="rId283" xr:uid="{00000000-0004-0000-0000-00001A010000}"/>
    <hyperlink ref="H140" r:id="rId284" xr:uid="{00000000-0004-0000-0000-00001B010000}"/>
    <hyperlink ref="G141" r:id="rId285" xr:uid="{00000000-0004-0000-0000-00001C010000}"/>
    <hyperlink ref="H141" r:id="rId286" xr:uid="{00000000-0004-0000-0000-00001D010000}"/>
    <hyperlink ref="G142" r:id="rId287" xr:uid="{00000000-0004-0000-0000-00001E010000}"/>
    <hyperlink ref="H142" r:id="rId288" xr:uid="{00000000-0004-0000-0000-00001F010000}"/>
    <hyperlink ref="G143" r:id="rId289" xr:uid="{00000000-0004-0000-0000-000020010000}"/>
    <hyperlink ref="H143" r:id="rId290" xr:uid="{00000000-0004-0000-0000-000021010000}"/>
    <hyperlink ref="G144" r:id="rId291" xr:uid="{00000000-0004-0000-0000-000022010000}"/>
    <hyperlink ref="H144" r:id="rId292" xr:uid="{00000000-0004-0000-0000-000023010000}"/>
    <hyperlink ref="G145" r:id="rId293" xr:uid="{00000000-0004-0000-0000-000024010000}"/>
    <hyperlink ref="H145" r:id="rId294" xr:uid="{00000000-0004-0000-0000-000025010000}"/>
    <hyperlink ref="G146" r:id="rId295" xr:uid="{00000000-0004-0000-0000-000026010000}"/>
    <hyperlink ref="H146" r:id="rId296" xr:uid="{00000000-0004-0000-0000-000027010000}"/>
    <hyperlink ref="G147" r:id="rId297" xr:uid="{00000000-0004-0000-0000-000028010000}"/>
    <hyperlink ref="H147" r:id="rId298" xr:uid="{00000000-0004-0000-0000-000029010000}"/>
    <hyperlink ref="G148" r:id="rId299" xr:uid="{00000000-0004-0000-0000-00002A010000}"/>
    <hyperlink ref="H148" r:id="rId300" xr:uid="{00000000-0004-0000-0000-00002B010000}"/>
    <hyperlink ref="G149" r:id="rId301" xr:uid="{00000000-0004-0000-0000-00002C010000}"/>
    <hyperlink ref="H149" r:id="rId302" xr:uid="{00000000-0004-0000-0000-00002D010000}"/>
    <hyperlink ref="G150" r:id="rId303" xr:uid="{00000000-0004-0000-0000-00002E010000}"/>
    <hyperlink ref="H150" r:id="rId304" xr:uid="{00000000-0004-0000-0000-00002F010000}"/>
    <hyperlink ref="G151" r:id="rId305" xr:uid="{00000000-0004-0000-0000-000030010000}"/>
    <hyperlink ref="H151" r:id="rId306" xr:uid="{00000000-0004-0000-0000-000031010000}"/>
    <hyperlink ref="G152" r:id="rId307" xr:uid="{00000000-0004-0000-0000-000032010000}"/>
    <hyperlink ref="H152" r:id="rId308" xr:uid="{00000000-0004-0000-0000-000033010000}"/>
    <hyperlink ref="G153" r:id="rId309" xr:uid="{00000000-0004-0000-0000-000034010000}"/>
    <hyperlink ref="H153" r:id="rId310" xr:uid="{00000000-0004-0000-0000-000035010000}"/>
    <hyperlink ref="G154" r:id="rId311" xr:uid="{00000000-0004-0000-0000-000036010000}"/>
    <hyperlink ref="H154" r:id="rId312" xr:uid="{00000000-0004-0000-0000-000037010000}"/>
    <hyperlink ref="G155" r:id="rId313" xr:uid="{00000000-0004-0000-0000-000038010000}"/>
    <hyperlink ref="H155" r:id="rId314" xr:uid="{00000000-0004-0000-0000-000039010000}"/>
    <hyperlink ref="G156" r:id="rId315" xr:uid="{00000000-0004-0000-0000-00003A010000}"/>
    <hyperlink ref="H156" r:id="rId316" xr:uid="{00000000-0004-0000-0000-00003B010000}"/>
    <hyperlink ref="G157" r:id="rId317" xr:uid="{00000000-0004-0000-0000-00003C010000}"/>
    <hyperlink ref="H157" r:id="rId318" xr:uid="{00000000-0004-0000-0000-00003D010000}"/>
    <hyperlink ref="G158" r:id="rId319" xr:uid="{00000000-0004-0000-0000-00003E010000}"/>
    <hyperlink ref="H158" r:id="rId320" xr:uid="{00000000-0004-0000-0000-00003F010000}"/>
    <hyperlink ref="G159" r:id="rId321" xr:uid="{00000000-0004-0000-0000-000040010000}"/>
    <hyperlink ref="H159" r:id="rId322" xr:uid="{00000000-0004-0000-0000-000041010000}"/>
    <hyperlink ref="G160" r:id="rId323" xr:uid="{00000000-0004-0000-0000-000042010000}"/>
    <hyperlink ref="H160" r:id="rId324" xr:uid="{00000000-0004-0000-0000-000043010000}"/>
    <hyperlink ref="G161" r:id="rId325" xr:uid="{00000000-0004-0000-0000-000044010000}"/>
    <hyperlink ref="H161" r:id="rId326" xr:uid="{00000000-0004-0000-0000-000045010000}"/>
    <hyperlink ref="G162" r:id="rId327" xr:uid="{00000000-0004-0000-0000-000046010000}"/>
    <hyperlink ref="H162" r:id="rId328" xr:uid="{00000000-0004-0000-0000-000047010000}"/>
    <hyperlink ref="G163" r:id="rId329" xr:uid="{00000000-0004-0000-0000-000048010000}"/>
    <hyperlink ref="H163" r:id="rId330" xr:uid="{00000000-0004-0000-0000-000049010000}"/>
    <hyperlink ref="G164" r:id="rId331" xr:uid="{00000000-0004-0000-0000-00004A010000}"/>
    <hyperlink ref="H164" r:id="rId332" xr:uid="{00000000-0004-0000-0000-00004B010000}"/>
    <hyperlink ref="G165" r:id="rId333" xr:uid="{00000000-0004-0000-0000-00004C010000}"/>
    <hyperlink ref="H165" r:id="rId334" xr:uid="{00000000-0004-0000-0000-00004D010000}"/>
    <hyperlink ref="G166" r:id="rId335" xr:uid="{00000000-0004-0000-0000-00004E010000}"/>
    <hyperlink ref="H166" r:id="rId336" xr:uid="{00000000-0004-0000-0000-00004F010000}"/>
    <hyperlink ref="G167" r:id="rId337" xr:uid="{00000000-0004-0000-0000-000050010000}"/>
    <hyperlink ref="H167" r:id="rId338" xr:uid="{00000000-0004-0000-0000-000051010000}"/>
    <hyperlink ref="G168" r:id="rId339" xr:uid="{00000000-0004-0000-0000-000052010000}"/>
    <hyperlink ref="H168" r:id="rId340" xr:uid="{00000000-0004-0000-0000-000053010000}"/>
    <hyperlink ref="G169" r:id="rId341" xr:uid="{00000000-0004-0000-0000-000054010000}"/>
    <hyperlink ref="H169" r:id="rId342" xr:uid="{00000000-0004-0000-0000-000055010000}"/>
    <hyperlink ref="G170" r:id="rId343" xr:uid="{00000000-0004-0000-0000-000056010000}"/>
    <hyperlink ref="H170" r:id="rId344" xr:uid="{00000000-0004-0000-0000-000057010000}"/>
    <hyperlink ref="G171" r:id="rId345" xr:uid="{00000000-0004-0000-0000-000058010000}"/>
    <hyperlink ref="H171" r:id="rId346" xr:uid="{00000000-0004-0000-0000-000059010000}"/>
    <hyperlink ref="G172" r:id="rId347" xr:uid="{00000000-0004-0000-0000-00005A010000}"/>
    <hyperlink ref="H172" r:id="rId348" xr:uid="{00000000-0004-0000-0000-00005B010000}"/>
    <hyperlink ref="G173" r:id="rId349" xr:uid="{00000000-0004-0000-0000-00005C010000}"/>
    <hyperlink ref="H173" r:id="rId350" xr:uid="{00000000-0004-0000-0000-00005D010000}"/>
    <hyperlink ref="G174" r:id="rId351" xr:uid="{00000000-0004-0000-0000-00005E010000}"/>
    <hyperlink ref="H174" r:id="rId352" xr:uid="{00000000-0004-0000-0000-00005F010000}"/>
    <hyperlink ref="G175" r:id="rId353" xr:uid="{00000000-0004-0000-0000-000060010000}"/>
    <hyperlink ref="H175" r:id="rId354" xr:uid="{00000000-0004-0000-0000-000061010000}"/>
    <hyperlink ref="G176" r:id="rId355" xr:uid="{00000000-0004-0000-0000-000062010000}"/>
    <hyperlink ref="H176" r:id="rId356" xr:uid="{00000000-0004-0000-0000-000063010000}"/>
    <hyperlink ref="G177" r:id="rId357" xr:uid="{00000000-0004-0000-0000-000064010000}"/>
    <hyperlink ref="H177" r:id="rId358" xr:uid="{00000000-0004-0000-0000-000065010000}"/>
    <hyperlink ref="G178" r:id="rId359" xr:uid="{00000000-0004-0000-0000-000066010000}"/>
    <hyperlink ref="H178" r:id="rId360" xr:uid="{00000000-0004-0000-0000-000067010000}"/>
    <hyperlink ref="G179" r:id="rId361" xr:uid="{00000000-0004-0000-0000-000068010000}"/>
    <hyperlink ref="H179" r:id="rId362" xr:uid="{00000000-0004-0000-0000-000069010000}"/>
    <hyperlink ref="G180" r:id="rId363" xr:uid="{00000000-0004-0000-0000-00006A010000}"/>
    <hyperlink ref="H180" r:id="rId364" xr:uid="{00000000-0004-0000-0000-00006B010000}"/>
    <hyperlink ref="G181" r:id="rId365" xr:uid="{00000000-0004-0000-0000-00006C010000}"/>
    <hyperlink ref="H181" r:id="rId366" xr:uid="{00000000-0004-0000-0000-00006D010000}"/>
    <hyperlink ref="G182" r:id="rId367" xr:uid="{00000000-0004-0000-0000-00006E010000}"/>
    <hyperlink ref="H182" r:id="rId368" xr:uid="{00000000-0004-0000-0000-00006F010000}"/>
    <hyperlink ref="G183" r:id="rId369" xr:uid="{00000000-0004-0000-0000-000070010000}"/>
    <hyperlink ref="H183" r:id="rId370" xr:uid="{00000000-0004-0000-0000-000071010000}"/>
    <hyperlink ref="G184" r:id="rId371" xr:uid="{00000000-0004-0000-0000-000072010000}"/>
    <hyperlink ref="H184" r:id="rId372" xr:uid="{00000000-0004-0000-0000-000073010000}"/>
    <hyperlink ref="G185" r:id="rId373" xr:uid="{00000000-0004-0000-0000-000074010000}"/>
    <hyperlink ref="H185" r:id="rId374" xr:uid="{00000000-0004-0000-0000-000075010000}"/>
    <hyperlink ref="G186" r:id="rId375" xr:uid="{00000000-0004-0000-0000-000076010000}"/>
    <hyperlink ref="H186" r:id="rId376" xr:uid="{00000000-0004-0000-0000-000077010000}"/>
    <hyperlink ref="G187" r:id="rId377" xr:uid="{00000000-0004-0000-0000-000078010000}"/>
    <hyperlink ref="H187" r:id="rId378" xr:uid="{00000000-0004-0000-0000-000079010000}"/>
    <hyperlink ref="G188" r:id="rId379" xr:uid="{00000000-0004-0000-0000-00007A010000}"/>
    <hyperlink ref="H188" r:id="rId380" xr:uid="{00000000-0004-0000-0000-00007B010000}"/>
    <hyperlink ref="G189" r:id="rId381" xr:uid="{00000000-0004-0000-0000-00007C010000}"/>
    <hyperlink ref="H189" r:id="rId382" xr:uid="{00000000-0004-0000-0000-00007D010000}"/>
    <hyperlink ref="G190" r:id="rId383" xr:uid="{00000000-0004-0000-0000-00007E010000}"/>
    <hyperlink ref="H190" r:id="rId384" xr:uid="{00000000-0004-0000-0000-00007F010000}"/>
    <hyperlink ref="G191" r:id="rId385" xr:uid="{00000000-0004-0000-0000-000080010000}"/>
    <hyperlink ref="H191" r:id="rId386" xr:uid="{00000000-0004-0000-0000-000081010000}"/>
    <hyperlink ref="G192" r:id="rId387" xr:uid="{00000000-0004-0000-0000-000082010000}"/>
    <hyperlink ref="H192" r:id="rId388" xr:uid="{00000000-0004-0000-0000-000083010000}"/>
    <hyperlink ref="G193" r:id="rId389" xr:uid="{00000000-0004-0000-0000-000084010000}"/>
    <hyperlink ref="H193" r:id="rId390" xr:uid="{00000000-0004-0000-0000-000085010000}"/>
    <hyperlink ref="G194" r:id="rId391" xr:uid="{00000000-0004-0000-0000-000086010000}"/>
    <hyperlink ref="H194" r:id="rId392" xr:uid="{00000000-0004-0000-0000-000087010000}"/>
    <hyperlink ref="G195" r:id="rId393" xr:uid="{00000000-0004-0000-0000-000088010000}"/>
    <hyperlink ref="H195" r:id="rId394" xr:uid="{00000000-0004-0000-0000-000089010000}"/>
    <hyperlink ref="G196" r:id="rId395" xr:uid="{00000000-0004-0000-0000-00008A010000}"/>
    <hyperlink ref="H196" r:id="rId396" xr:uid="{00000000-0004-0000-0000-00008B010000}"/>
    <hyperlink ref="G197" r:id="rId397" xr:uid="{00000000-0004-0000-0000-00008C010000}"/>
    <hyperlink ref="H197" r:id="rId398" xr:uid="{00000000-0004-0000-0000-00008D010000}"/>
    <hyperlink ref="G198" r:id="rId399" xr:uid="{00000000-0004-0000-0000-00008E010000}"/>
    <hyperlink ref="H198" r:id="rId400" xr:uid="{00000000-0004-0000-0000-00008F010000}"/>
    <hyperlink ref="G199" r:id="rId401" xr:uid="{00000000-0004-0000-0000-000090010000}"/>
    <hyperlink ref="H199" r:id="rId402" xr:uid="{00000000-0004-0000-0000-000091010000}"/>
    <hyperlink ref="G200" r:id="rId403" xr:uid="{00000000-0004-0000-0000-000092010000}"/>
    <hyperlink ref="H200" r:id="rId404" xr:uid="{00000000-0004-0000-0000-000093010000}"/>
    <hyperlink ref="G201" r:id="rId405" xr:uid="{00000000-0004-0000-0000-000094010000}"/>
    <hyperlink ref="H201" r:id="rId406" xr:uid="{00000000-0004-0000-0000-000095010000}"/>
    <hyperlink ref="G202" r:id="rId407" xr:uid="{00000000-0004-0000-0000-000096010000}"/>
    <hyperlink ref="H202" r:id="rId408" xr:uid="{00000000-0004-0000-0000-000097010000}"/>
    <hyperlink ref="G203" r:id="rId409" xr:uid="{00000000-0004-0000-0000-000098010000}"/>
    <hyperlink ref="H203" r:id="rId410" xr:uid="{00000000-0004-0000-0000-000099010000}"/>
    <hyperlink ref="G204" r:id="rId411" xr:uid="{00000000-0004-0000-0000-00009A010000}"/>
    <hyperlink ref="H204" r:id="rId412" xr:uid="{00000000-0004-0000-0000-00009B010000}"/>
    <hyperlink ref="G205" r:id="rId413" xr:uid="{00000000-0004-0000-0000-00009C010000}"/>
    <hyperlink ref="H205" r:id="rId414" xr:uid="{00000000-0004-0000-0000-00009D010000}"/>
    <hyperlink ref="G206" r:id="rId415" xr:uid="{00000000-0004-0000-0000-00009E010000}"/>
    <hyperlink ref="H206" r:id="rId416" xr:uid="{00000000-0004-0000-0000-00009F010000}"/>
    <hyperlink ref="G207" r:id="rId417" xr:uid="{00000000-0004-0000-0000-0000A0010000}"/>
    <hyperlink ref="H207" r:id="rId418" xr:uid="{00000000-0004-0000-0000-0000A1010000}"/>
    <hyperlink ref="G208" r:id="rId419" xr:uid="{00000000-0004-0000-0000-0000A2010000}"/>
    <hyperlink ref="H208" r:id="rId420" xr:uid="{00000000-0004-0000-0000-0000A3010000}"/>
    <hyperlink ref="G209" r:id="rId421" xr:uid="{00000000-0004-0000-0000-0000A4010000}"/>
    <hyperlink ref="H209" r:id="rId422" xr:uid="{00000000-0004-0000-0000-0000A5010000}"/>
    <hyperlink ref="G210" r:id="rId423" xr:uid="{00000000-0004-0000-0000-0000A6010000}"/>
    <hyperlink ref="H210" r:id="rId424" xr:uid="{00000000-0004-0000-0000-0000A7010000}"/>
    <hyperlink ref="G211" r:id="rId425" xr:uid="{00000000-0004-0000-0000-0000A8010000}"/>
    <hyperlink ref="H211" r:id="rId426" xr:uid="{00000000-0004-0000-0000-0000A9010000}"/>
    <hyperlink ref="G212" r:id="rId427" xr:uid="{00000000-0004-0000-0000-0000AA010000}"/>
    <hyperlink ref="H212" r:id="rId428" xr:uid="{00000000-0004-0000-0000-0000AB010000}"/>
    <hyperlink ref="G213" r:id="rId429" xr:uid="{00000000-0004-0000-0000-0000AC010000}"/>
    <hyperlink ref="H213" r:id="rId430" xr:uid="{00000000-0004-0000-0000-0000AD010000}"/>
    <hyperlink ref="G214" r:id="rId431" xr:uid="{00000000-0004-0000-0000-0000AE010000}"/>
    <hyperlink ref="H214" r:id="rId432" xr:uid="{00000000-0004-0000-0000-0000AF010000}"/>
    <hyperlink ref="G215" r:id="rId433" xr:uid="{00000000-0004-0000-0000-0000B0010000}"/>
    <hyperlink ref="H215" r:id="rId434" xr:uid="{00000000-0004-0000-0000-0000B1010000}"/>
    <hyperlink ref="G216" r:id="rId435" xr:uid="{00000000-0004-0000-0000-0000B2010000}"/>
    <hyperlink ref="H216" r:id="rId436" xr:uid="{00000000-0004-0000-0000-0000B3010000}"/>
    <hyperlink ref="G217" r:id="rId437" xr:uid="{00000000-0004-0000-0000-0000B4010000}"/>
    <hyperlink ref="H217" r:id="rId438" xr:uid="{00000000-0004-0000-0000-0000B5010000}"/>
    <hyperlink ref="G218" r:id="rId439" xr:uid="{00000000-0004-0000-0000-0000B6010000}"/>
    <hyperlink ref="H218" r:id="rId440" xr:uid="{00000000-0004-0000-0000-0000B7010000}"/>
    <hyperlink ref="G219" r:id="rId441" xr:uid="{00000000-0004-0000-0000-0000B8010000}"/>
    <hyperlink ref="H219" r:id="rId442" xr:uid="{00000000-0004-0000-0000-0000B9010000}"/>
    <hyperlink ref="G220" r:id="rId443" xr:uid="{00000000-0004-0000-0000-0000BA010000}"/>
    <hyperlink ref="H220" r:id="rId444" xr:uid="{00000000-0004-0000-0000-0000BB010000}"/>
    <hyperlink ref="G221" r:id="rId445" xr:uid="{00000000-0004-0000-0000-0000BC010000}"/>
    <hyperlink ref="H221" r:id="rId446" xr:uid="{00000000-0004-0000-0000-0000BD010000}"/>
    <hyperlink ref="G222" r:id="rId447" xr:uid="{00000000-0004-0000-0000-0000BE010000}"/>
    <hyperlink ref="H222" r:id="rId448" xr:uid="{00000000-0004-0000-0000-0000BF010000}"/>
    <hyperlink ref="G223" r:id="rId449" xr:uid="{00000000-0004-0000-0000-0000C0010000}"/>
    <hyperlink ref="H223" r:id="rId450" xr:uid="{00000000-0004-0000-0000-0000C1010000}"/>
    <hyperlink ref="G224" r:id="rId451" xr:uid="{00000000-0004-0000-0000-0000C2010000}"/>
    <hyperlink ref="H224" r:id="rId452" xr:uid="{00000000-0004-0000-0000-0000C3010000}"/>
    <hyperlink ref="G225" r:id="rId453" xr:uid="{00000000-0004-0000-0000-0000C4010000}"/>
    <hyperlink ref="H225" r:id="rId454" xr:uid="{00000000-0004-0000-0000-0000C5010000}"/>
    <hyperlink ref="G226" r:id="rId455" xr:uid="{00000000-0004-0000-0000-0000C6010000}"/>
    <hyperlink ref="H226" r:id="rId456" xr:uid="{00000000-0004-0000-0000-0000C7010000}"/>
    <hyperlink ref="D227" r:id="rId457" xr:uid="{00000000-0004-0000-0000-0000C8010000}"/>
    <hyperlink ref="G227" r:id="rId458" xr:uid="{00000000-0004-0000-0000-0000C9010000}"/>
    <hyperlink ref="H227" r:id="rId459" xr:uid="{00000000-0004-0000-0000-0000CA010000}"/>
    <hyperlink ref="K227" r:id="rId460" xr:uid="{00000000-0004-0000-0000-0000CB010000}"/>
    <hyperlink ref="G228" r:id="rId461" xr:uid="{00000000-0004-0000-0000-0000CC010000}"/>
    <hyperlink ref="H228" r:id="rId462" xr:uid="{00000000-0004-0000-0000-0000CD010000}"/>
    <hyperlink ref="G229" r:id="rId463" xr:uid="{00000000-0004-0000-0000-0000CE010000}"/>
    <hyperlink ref="H229" r:id="rId464" xr:uid="{00000000-0004-0000-0000-0000CF010000}"/>
    <hyperlink ref="G230" r:id="rId465" xr:uid="{00000000-0004-0000-0000-0000D0010000}"/>
    <hyperlink ref="H230" r:id="rId466" xr:uid="{00000000-0004-0000-0000-0000D1010000}"/>
    <hyperlink ref="G231" r:id="rId467" xr:uid="{00000000-0004-0000-0000-0000D2010000}"/>
    <hyperlink ref="H231" r:id="rId468" xr:uid="{00000000-0004-0000-0000-0000D3010000}"/>
    <hyperlink ref="G232" r:id="rId469" xr:uid="{00000000-0004-0000-0000-0000D4010000}"/>
    <hyperlink ref="H232" r:id="rId470" xr:uid="{00000000-0004-0000-0000-0000D5010000}"/>
    <hyperlink ref="G233" r:id="rId471" xr:uid="{00000000-0004-0000-0000-0000D6010000}"/>
    <hyperlink ref="H233" r:id="rId472" xr:uid="{00000000-0004-0000-0000-0000D7010000}"/>
    <hyperlink ref="G234" r:id="rId473" xr:uid="{00000000-0004-0000-0000-0000D8010000}"/>
    <hyperlink ref="H234" r:id="rId474" xr:uid="{00000000-0004-0000-0000-0000D9010000}"/>
    <hyperlink ref="G235" r:id="rId475" xr:uid="{00000000-0004-0000-0000-0000DA010000}"/>
    <hyperlink ref="H235" r:id="rId476" xr:uid="{00000000-0004-0000-0000-0000DB010000}"/>
    <hyperlink ref="D236" r:id="rId477" xr:uid="{00000000-0004-0000-0000-0000DC010000}"/>
    <hyperlink ref="G236" r:id="rId478" xr:uid="{00000000-0004-0000-0000-0000DD010000}"/>
    <hyperlink ref="H236" r:id="rId479" xr:uid="{00000000-0004-0000-0000-0000DE010000}"/>
    <hyperlink ref="K236" r:id="rId480" xr:uid="{00000000-0004-0000-0000-0000DF010000}"/>
    <hyperlink ref="G237" r:id="rId481" xr:uid="{00000000-0004-0000-0000-0000E0010000}"/>
    <hyperlink ref="H237" r:id="rId482" xr:uid="{00000000-0004-0000-0000-0000E1010000}"/>
    <hyperlink ref="G238" r:id="rId483" xr:uid="{00000000-0004-0000-0000-0000E2010000}"/>
    <hyperlink ref="H238" r:id="rId484" xr:uid="{00000000-0004-0000-0000-0000E3010000}"/>
    <hyperlink ref="G239" r:id="rId485" xr:uid="{00000000-0004-0000-0000-0000E4010000}"/>
    <hyperlink ref="H239" r:id="rId486" xr:uid="{00000000-0004-0000-0000-0000E5010000}"/>
    <hyperlink ref="G240" r:id="rId487" xr:uid="{00000000-0004-0000-0000-0000E6010000}"/>
    <hyperlink ref="H240" r:id="rId488" xr:uid="{00000000-0004-0000-0000-0000E7010000}"/>
    <hyperlink ref="G241" r:id="rId489" xr:uid="{00000000-0004-0000-0000-0000E8010000}"/>
    <hyperlink ref="H241" r:id="rId490" xr:uid="{00000000-0004-0000-0000-0000E9010000}"/>
    <hyperlink ref="G242" r:id="rId491" xr:uid="{00000000-0004-0000-0000-0000EA010000}"/>
    <hyperlink ref="H242" r:id="rId492" xr:uid="{00000000-0004-0000-0000-0000EB010000}"/>
    <hyperlink ref="G243" r:id="rId493" xr:uid="{00000000-0004-0000-0000-0000EC010000}"/>
    <hyperlink ref="H243" r:id="rId494" xr:uid="{00000000-0004-0000-0000-0000ED010000}"/>
    <hyperlink ref="G244" r:id="rId495" xr:uid="{00000000-0004-0000-0000-0000EE010000}"/>
    <hyperlink ref="H244" r:id="rId496" xr:uid="{00000000-0004-0000-0000-0000EF010000}"/>
    <hyperlink ref="G245" r:id="rId497" xr:uid="{00000000-0004-0000-0000-0000F0010000}"/>
    <hyperlink ref="H245" r:id="rId498" xr:uid="{00000000-0004-0000-0000-0000F1010000}"/>
    <hyperlink ref="G246" r:id="rId499" xr:uid="{00000000-0004-0000-0000-0000F2010000}"/>
    <hyperlink ref="H246" r:id="rId500" xr:uid="{00000000-0004-0000-0000-0000F3010000}"/>
    <hyperlink ref="G247" r:id="rId501" xr:uid="{00000000-0004-0000-0000-0000F4010000}"/>
    <hyperlink ref="H247" r:id="rId502" xr:uid="{00000000-0004-0000-0000-0000F5010000}"/>
    <hyperlink ref="G248" r:id="rId503" xr:uid="{00000000-0004-0000-0000-0000F6010000}"/>
    <hyperlink ref="H248" r:id="rId504" xr:uid="{00000000-0004-0000-0000-0000F7010000}"/>
    <hyperlink ref="G249" r:id="rId505" xr:uid="{00000000-0004-0000-0000-0000F8010000}"/>
    <hyperlink ref="H249" r:id="rId506" xr:uid="{00000000-0004-0000-0000-0000F9010000}"/>
    <hyperlink ref="G250" r:id="rId507" xr:uid="{00000000-0004-0000-0000-0000FA010000}"/>
    <hyperlink ref="H250" r:id="rId508" xr:uid="{00000000-0004-0000-0000-0000FB010000}"/>
    <hyperlink ref="G251" r:id="rId509" xr:uid="{00000000-0004-0000-0000-0000FC010000}"/>
    <hyperlink ref="H251" r:id="rId510" xr:uid="{00000000-0004-0000-0000-0000FD010000}"/>
    <hyperlink ref="G252" r:id="rId511" xr:uid="{00000000-0004-0000-0000-0000FE010000}"/>
    <hyperlink ref="H252" r:id="rId512" xr:uid="{00000000-0004-0000-0000-0000FF010000}"/>
    <hyperlink ref="G253" r:id="rId513" xr:uid="{00000000-0004-0000-0000-000000020000}"/>
    <hyperlink ref="H253" r:id="rId514" xr:uid="{00000000-0004-0000-0000-000001020000}"/>
    <hyperlink ref="G254" r:id="rId515" xr:uid="{00000000-0004-0000-0000-000002020000}"/>
    <hyperlink ref="H254" r:id="rId516" xr:uid="{00000000-0004-0000-0000-000003020000}"/>
    <hyperlink ref="G255" r:id="rId517" xr:uid="{00000000-0004-0000-0000-000004020000}"/>
    <hyperlink ref="H255" r:id="rId518" xr:uid="{00000000-0004-0000-0000-000005020000}"/>
    <hyperlink ref="G256" r:id="rId519" xr:uid="{00000000-0004-0000-0000-000006020000}"/>
    <hyperlink ref="H256" r:id="rId520" xr:uid="{00000000-0004-0000-0000-000007020000}"/>
    <hyperlink ref="G257" r:id="rId521" xr:uid="{00000000-0004-0000-0000-000008020000}"/>
    <hyperlink ref="H257" r:id="rId522" xr:uid="{00000000-0004-0000-0000-000009020000}"/>
    <hyperlink ref="G258" r:id="rId523" xr:uid="{00000000-0004-0000-0000-00000A020000}"/>
    <hyperlink ref="H258" r:id="rId524" xr:uid="{00000000-0004-0000-0000-00000B020000}"/>
    <hyperlink ref="G259" r:id="rId525" xr:uid="{00000000-0004-0000-0000-00000C020000}"/>
    <hyperlink ref="H259" r:id="rId526" xr:uid="{00000000-0004-0000-0000-00000D020000}"/>
    <hyperlink ref="G260" r:id="rId527" xr:uid="{00000000-0004-0000-0000-00000E020000}"/>
    <hyperlink ref="H260" r:id="rId528" xr:uid="{00000000-0004-0000-0000-00000F020000}"/>
    <hyperlink ref="G261" r:id="rId529" xr:uid="{00000000-0004-0000-0000-000010020000}"/>
    <hyperlink ref="H261" r:id="rId530" xr:uid="{00000000-0004-0000-0000-000011020000}"/>
    <hyperlink ref="G262" r:id="rId531" xr:uid="{00000000-0004-0000-0000-000012020000}"/>
    <hyperlink ref="H262" r:id="rId532" xr:uid="{00000000-0004-0000-0000-000013020000}"/>
    <hyperlink ref="G263" r:id="rId533" xr:uid="{00000000-0004-0000-0000-000014020000}"/>
    <hyperlink ref="H263" r:id="rId534" xr:uid="{00000000-0004-0000-0000-000015020000}"/>
    <hyperlink ref="G264" r:id="rId535" xr:uid="{00000000-0004-0000-0000-000016020000}"/>
    <hyperlink ref="H264" r:id="rId536" xr:uid="{00000000-0004-0000-0000-000017020000}"/>
    <hyperlink ref="G265" r:id="rId537" xr:uid="{00000000-0004-0000-0000-000018020000}"/>
    <hyperlink ref="H265" r:id="rId538" xr:uid="{00000000-0004-0000-0000-000019020000}"/>
    <hyperlink ref="D266" r:id="rId539" xr:uid="{00000000-0004-0000-0000-00001A020000}"/>
    <hyperlink ref="G266" r:id="rId540" xr:uid="{00000000-0004-0000-0000-00001B020000}"/>
    <hyperlink ref="H266" r:id="rId541" xr:uid="{00000000-0004-0000-0000-00001C020000}"/>
    <hyperlink ref="K266" r:id="rId542" xr:uid="{00000000-0004-0000-0000-00001D020000}"/>
    <hyperlink ref="G267" r:id="rId543" xr:uid="{00000000-0004-0000-0000-00001E020000}"/>
    <hyperlink ref="H267" r:id="rId544" xr:uid="{00000000-0004-0000-0000-00001F020000}"/>
    <hyperlink ref="G268" r:id="rId545" xr:uid="{00000000-0004-0000-0000-000020020000}"/>
    <hyperlink ref="H268" r:id="rId546" xr:uid="{00000000-0004-0000-0000-000021020000}"/>
    <hyperlink ref="G269" r:id="rId547" xr:uid="{00000000-0004-0000-0000-000022020000}"/>
    <hyperlink ref="H269" r:id="rId548" xr:uid="{00000000-0004-0000-0000-000023020000}"/>
    <hyperlink ref="G270" r:id="rId549" xr:uid="{00000000-0004-0000-0000-000024020000}"/>
    <hyperlink ref="H270" r:id="rId550" xr:uid="{00000000-0004-0000-0000-000025020000}"/>
    <hyperlink ref="G271" r:id="rId551" xr:uid="{00000000-0004-0000-0000-000026020000}"/>
    <hyperlink ref="H271" r:id="rId552" xr:uid="{00000000-0004-0000-0000-000027020000}"/>
    <hyperlink ref="G272" r:id="rId553" xr:uid="{00000000-0004-0000-0000-000028020000}"/>
    <hyperlink ref="H272" r:id="rId554" xr:uid="{00000000-0004-0000-0000-000029020000}"/>
    <hyperlink ref="G273" r:id="rId555" xr:uid="{00000000-0004-0000-0000-00002A020000}"/>
    <hyperlink ref="H273" r:id="rId556" xr:uid="{00000000-0004-0000-0000-00002B020000}"/>
    <hyperlink ref="G274" r:id="rId557" xr:uid="{00000000-0004-0000-0000-00002C020000}"/>
    <hyperlink ref="H274" r:id="rId558" xr:uid="{00000000-0004-0000-0000-00002D020000}"/>
    <hyperlink ref="G275" r:id="rId559" xr:uid="{00000000-0004-0000-0000-00002E020000}"/>
    <hyperlink ref="H275" r:id="rId560" xr:uid="{00000000-0004-0000-0000-00002F020000}"/>
    <hyperlink ref="G276" r:id="rId561" xr:uid="{00000000-0004-0000-0000-000030020000}"/>
    <hyperlink ref="H276" r:id="rId562" xr:uid="{00000000-0004-0000-0000-000031020000}"/>
    <hyperlink ref="G277" r:id="rId563" xr:uid="{00000000-0004-0000-0000-000032020000}"/>
    <hyperlink ref="H277" r:id="rId564" xr:uid="{00000000-0004-0000-0000-000033020000}"/>
    <hyperlink ref="G278" r:id="rId565" xr:uid="{00000000-0004-0000-0000-000034020000}"/>
    <hyperlink ref="H278" r:id="rId566" xr:uid="{00000000-0004-0000-0000-000035020000}"/>
    <hyperlink ref="G279" r:id="rId567" xr:uid="{00000000-0004-0000-0000-000036020000}"/>
    <hyperlink ref="H279" r:id="rId568" xr:uid="{00000000-0004-0000-0000-000037020000}"/>
    <hyperlink ref="G280" r:id="rId569" xr:uid="{00000000-0004-0000-0000-000038020000}"/>
    <hyperlink ref="H280" r:id="rId570" xr:uid="{00000000-0004-0000-0000-000039020000}"/>
    <hyperlink ref="G281" r:id="rId571" xr:uid="{00000000-0004-0000-0000-00003A020000}"/>
    <hyperlink ref="H281" r:id="rId572" xr:uid="{00000000-0004-0000-0000-00003B020000}"/>
    <hyperlink ref="G282" r:id="rId573" xr:uid="{00000000-0004-0000-0000-00003C020000}"/>
    <hyperlink ref="H282" r:id="rId574" xr:uid="{00000000-0004-0000-0000-00003D020000}"/>
    <hyperlink ref="G283" r:id="rId575" xr:uid="{00000000-0004-0000-0000-00003E020000}"/>
    <hyperlink ref="H283" r:id="rId576" xr:uid="{00000000-0004-0000-0000-00003F020000}"/>
    <hyperlink ref="G284" r:id="rId577" xr:uid="{00000000-0004-0000-0000-000040020000}"/>
    <hyperlink ref="H284" r:id="rId578" xr:uid="{00000000-0004-0000-0000-000041020000}"/>
    <hyperlink ref="G285" r:id="rId579" xr:uid="{00000000-0004-0000-0000-000042020000}"/>
    <hyperlink ref="H285" r:id="rId580" xr:uid="{00000000-0004-0000-0000-000043020000}"/>
    <hyperlink ref="G286" r:id="rId581" xr:uid="{00000000-0004-0000-0000-000044020000}"/>
    <hyperlink ref="H286" r:id="rId582" xr:uid="{00000000-0004-0000-0000-000045020000}"/>
    <hyperlink ref="G287" r:id="rId583" xr:uid="{00000000-0004-0000-0000-000046020000}"/>
    <hyperlink ref="H287" r:id="rId584" xr:uid="{00000000-0004-0000-0000-000047020000}"/>
    <hyperlink ref="G288" r:id="rId585" xr:uid="{00000000-0004-0000-0000-000048020000}"/>
    <hyperlink ref="H288" r:id="rId586" xr:uid="{00000000-0004-0000-0000-000049020000}"/>
    <hyperlink ref="G289" r:id="rId587" xr:uid="{00000000-0004-0000-0000-00004A020000}"/>
    <hyperlink ref="H289" r:id="rId588" xr:uid="{00000000-0004-0000-0000-00004B020000}"/>
  </hyperlinks>
  <pageMargins left="0.7" right="0.7" top="0.75" bottom="0.75" header="0.3" footer="0.3"/>
  <drawing r:id="rId589"/>
  <legacyDrawing r:id="rId590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xr:uid="{00000000-0002-0000-0000-00000F000000}">
          <x14:formula1>
            <xm:f>Dropdowns!$A$2:$A$170</xm:f>
          </x14:formula1>
          <xm:sqref>M2:M7 M9:M289</xm:sqref>
        </x14:dataValidation>
        <x14:dataValidation type="list" allowBlank="1" xr:uid="{00000000-0002-0000-0000-000000000000}">
          <x14:formula1>
            <xm:f>Dropdowns!$V$2:$V$16</xm:f>
          </x14:formula1>
          <xm:sqref>AM2:AM289 AK2:AK289</xm:sqref>
        </x14:dataValidation>
        <x14:dataValidation type="list" allowBlank="1" xr:uid="{00000000-0002-0000-0000-000001000000}">
          <x14:formula1>
            <xm:f>Dropdowns!$B$2:$B$159</xm:f>
          </x14:formula1>
          <xm:sqref>N2:N289</xm:sqref>
        </x14:dataValidation>
        <x14:dataValidation type="list" allowBlank="1" xr:uid="{00000000-0002-0000-0000-000002000000}">
          <x14:formula1>
            <xm:f>Dropdowns!$U$2:$U$159</xm:f>
          </x14:formula1>
          <xm:sqref>AU2:AU289</xm:sqref>
        </x14:dataValidation>
        <x14:dataValidation type="list" allowBlank="1" xr:uid="{00000000-0002-0000-0000-000003000000}">
          <x14:formula1>
            <xm:f>Dropdowns!$D$2:$D$159</xm:f>
          </x14:formula1>
          <xm:sqref>P2:P289</xm:sqref>
        </x14:dataValidation>
        <x14:dataValidation type="list" allowBlank="1" xr:uid="{00000000-0002-0000-0000-000004000000}">
          <x14:formula1>
            <xm:f>Dropdowns!$R$2:$R$159</xm:f>
          </x14:formula1>
          <xm:sqref>BH2:BH289</xm:sqref>
        </x14:dataValidation>
        <x14:dataValidation type="list" allowBlank="1" xr:uid="{00000000-0002-0000-0000-000005000000}">
          <x14:formula1>
            <xm:f>Dropdowns!$AN$2:$AN$159</xm:f>
          </x14:formula1>
          <xm:sqref>AP2:AP289</xm:sqref>
        </x14:dataValidation>
        <x14:dataValidation type="list" allowBlank="1" xr:uid="{00000000-0002-0000-0000-000006000000}">
          <x14:formula1>
            <xm:f>Dropdowns!$N$2:$N$159</xm:f>
          </x14:formula1>
          <xm:sqref>AQ2:AQ289</xm:sqref>
        </x14:dataValidation>
        <x14:dataValidation type="list" allowBlank="1" xr:uid="{00000000-0002-0000-0000-000007000000}">
          <x14:formula1>
            <xm:f>Dropdowns!$O$2:$O$159</xm:f>
          </x14:formula1>
          <xm:sqref>AR2:AR289</xm:sqref>
        </x14:dataValidation>
        <x14:dataValidation type="list" allowBlank="1" xr:uid="{00000000-0002-0000-0000-000008000000}">
          <x14:formula1>
            <xm:f>Dropdowns!$G$2:$G$159</xm:f>
          </x14:formula1>
          <xm:sqref>Q2:R289</xm:sqref>
        </x14:dataValidation>
        <x14:dataValidation type="list" allowBlank="1" xr:uid="{00000000-0002-0000-0000-000009000000}">
          <x14:formula1>
            <xm:f>Dropdowns!$P$2:$P$159</xm:f>
          </x14:formula1>
          <xm:sqref>AS2:AS289</xm:sqref>
        </x14:dataValidation>
        <x14:dataValidation type="list" allowBlank="1" xr:uid="{00000000-0002-0000-0000-00000A000000}">
          <x14:formula1>
            <xm:f>Dropdowns!$Q$2:$Q$159</xm:f>
          </x14:formula1>
          <xm:sqref>BG2:BG289</xm:sqref>
        </x14:dataValidation>
        <x14:dataValidation type="list" allowBlank="1" xr:uid="{00000000-0002-0000-0000-00000B000000}">
          <x14:formula1>
            <xm:f>Dropdowns!$S$2:$S$159</xm:f>
          </x14:formula1>
          <xm:sqref>F2:F289</xm:sqref>
        </x14:dataValidation>
        <x14:dataValidation type="list" allowBlank="1" xr:uid="{00000000-0002-0000-0000-00000C000000}">
          <x14:formula1>
            <xm:f>Dropdowns!$J$2:$J$159</xm:f>
          </x14:formula1>
          <xm:sqref>AD2:AD289</xm:sqref>
        </x14:dataValidation>
        <x14:dataValidation type="list" allowBlank="1" xr:uid="{00000000-0002-0000-0000-00000D000000}">
          <x14:formula1>
            <xm:f>Dropdowns!$L$2:$L$159</xm:f>
          </x14:formula1>
          <xm:sqref>AG2:AG289</xm:sqref>
        </x14:dataValidation>
        <x14:dataValidation type="list" allowBlank="1" xr:uid="{00000000-0002-0000-0000-00000E000000}">
          <x14:formula1>
            <xm:f>Dropdowns!$C$2:$C$149</xm:f>
          </x14:formula1>
          <xm:sqref>O2:O289</xm:sqref>
        </x14:dataValidation>
        <x14:dataValidation type="list" allowBlank="1" xr:uid="{00000000-0002-0000-0000-000010000000}">
          <x14:formula1>
            <xm:f>Dropdowns!$F$2:$F$159</xm:f>
          </x14:formula1>
          <xm:sqref>S2:S289</xm:sqref>
        </x14:dataValidation>
        <x14:dataValidation type="list" allowBlank="1" xr:uid="{00000000-0002-0000-0000-000011000000}">
          <x14:formula1>
            <xm:f>Dropdowns!$K$2:$K$159</xm:f>
          </x14:formula1>
          <xm:sqref>AF2:AF289</xm:sqref>
        </x14:dataValidation>
        <x14:dataValidation type="list" allowBlank="1" xr:uid="{00000000-0002-0000-0000-000012000000}">
          <x14:formula1>
            <xm:f>Dropdowns!$I$2:$I$159</xm:f>
          </x14:formula1>
          <xm:sqref>AC2:AC289</xm:sqref>
        </x14:dataValidation>
        <x14:dataValidation type="list" allowBlank="1" xr:uid="{00000000-0002-0000-0000-000013000000}">
          <x14:formula1>
            <xm:f>Dropdowns!$T$2:$T$159</xm:f>
          </x14:formula1>
          <xm:sqref>AT2:AT289</xm:sqref>
        </x14:dataValidation>
        <x14:dataValidation type="list" allowBlank="1" xr:uid="{00000000-0002-0000-0000-000014000000}">
          <x14:formula1>
            <xm:f>Dropdowns!$H$2:$H$159</xm:f>
          </x14:formula1>
          <xm:sqref>AB2:AB289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N286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44140625" defaultRowHeight="15.75" customHeight="1"/>
  <cols>
    <col min="1" max="1" width="19" customWidth="1"/>
    <col min="2" max="3" width="8.44140625" customWidth="1"/>
    <col min="4" max="4" width="39.5546875" customWidth="1"/>
    <col min="5" max="5" width="18.88671875" customWidth="1"/>
    <col min="6" max="6" width="22" customWidth="1"/>
    <col min="7" max="7" width="14" customWidth="1"/>
    <col min="8" max="8" width="14.33203125" customWidth="1"/>
    <col min="9" max="9" width="15.88671875" customWidth="1"/>
    <col min="10" max="10" width="22.6640625" customWidth="1"/>
    <col min="11" max="11" width="26.33203125" customWidth="1"/>
    <col min="12" max="13" width="28.44140625" customWidth="1"/>
    <col min="14" max="14" width="18.88671875" customWidth="1"/>
    <col min="15" max="15" width="12.88671875" customWidth="1"/>
    <col min="16" max="16" width="10.88671875" customWidth="1"/>
    <col min="17" max="18" width="22.33203125" customWidth="1"/>
    <col min="19" max="19" width="18.33203125" customWidth="1"/>
    <col min="20" max="20" width="29.6640625" customWidth="1"/>
    <col min="21" max="22" width="22.109375" customWidth="1"/>
    <col min="23" max="23" width="18.109375" customWidth="1"/>
    <col min="24" max="24" width="14.5546875" customWidth="1"/>
    <col min="25" max="25" width="30" customWidth="1"/>
    <col min="26" max="27" width="22" customWidth="1"/>
    <col min="28" max="28" width="16.109375" customWidth="1"/>
    <col min="29" max="29" width="20.109375" customWidth="1"/>
    <col min="30" max="30" width="15.33203125" customWidth="1"/>
    <col min="31" max="31" width="31" customWidth="1"/>
    <col min="32" max="32" width="13.5546875" customWidth="1"/>
    <col min="33" max="33" width="22.88671875" customWidth="1"/>
    <col min="34" max="34" width="21.44140625" customWidth="1"/>
    <col min="35" max="35" width="24.33203125" customWidth="1"/>
    <col min="36" max="36" width="27.109375" customWidth="1"/>
    <col min="37" max="37" width="25.88671875" customWidth="1"/>
    <col min="38" max="38" width="34.6640625" customWidth="1"/>
    <col min="39" max="39" width="20.6640625" customWidth="1"/>
    <col min="40" max="40" width="29.5546875" customWidth="1"/>
    <col min="41" max="41" width="28.44140625" customWidth="1"/>
    <col min="42" max="42" width="28.109375" customWidth="1"/>
    <col min="43" max="43" width="26.44140625" customWidth="1"/>
    <col min="44" max="44" width="21.88671875" customWidth="1"/>
    <col min="45" max="45" width="19.33203125" customWidth="1"/>
    <col min="46" max="46" width="30.6640625" customWidth="1"/>
    <col min="47" max="47" width="19.33203125" customWidth="1"/>
    <col min="48" max="48" width="13" customWidth="1"/>
    <col min="49" max="49" width="11.33203125" customWidth="1"/>
    <col min="50" max="50" width="23.88671875" customWidth="1"/>
    <col min="51" max="51" width="14.44140625" customWidth="1"/>
    <col min="52" max="52" width="24" customWidth="1"/>
    <col min="53" max="53" width="19.6640625" customWidth="1"/>
    <col min="54" max="54" width="35" customWidth="1"/>
    <col min="55" max="55" width="43.88671875" customWidth="1"/>
    <col min="56" max="56" width="30.33203125" customWidth="1"/>
    <col min="57" max="57" width="39.109375" customWidth="1"/>
    <col min="58" max="58" width="20.6640625" customWidth="1"/>
    <col min="59" max="59" width="25" customWidth="1"/>
    <col min="60" max="60" width="18.109375" customWidth="1"/>
    <col min="61" max="61" width="18.33203125" customWidth="1"/>
    <col min="62" max="62" width="13.5546875" customWidth="1"/>
    <col min="63" max="63" width="24.33203125" customWidth="1"/>
    <col min="64" max="64" width="22.109375" customWidth="1"/>
    <col min="65" max="65" width="23.6640625" customWidth="1"/>
    <col min="66" max="66" width="23" customWidth="1"/>
    <col min="67" max="67" width="20.33203125" customWidth="1"/>
    <col min="68" max="68" width="11.6640625" customWidth="1"/>
    <col min="69" max="70" width="18.5546875" customWidth="1"/>
    <col min="71" max="71" width="3.33203125" customWidth="1"/>
    <col min="72" max="72" width="41" customWidth="1"/>
    <col min="73" max="73" width="16.88671875" customWidth="1"/>
    <col min="74" max="74" width="15.6640625" customWidth="1"/>
    <col min="75" max="75" width="35.44140625" customWidth="1"/>
    <col min="76" max="76" width="3.5546875" customWidth="1"/>
    <col min="77" max="77" width="41" customWidth="1"/>
    <col min="78" max="78" width="16.88671875" customWidth="1"/>
    <col min="79" max="79" width="15.6640625" customWidth="1"/>
    <col min="80" max="80" width="35.44140625" customWidth="1"/>
    <col min="81" max="81" width="3.5546875" customWidth="1"/>
    <col min="82" max="82" width="41" customWidth="1"/>
    <col min="83" max="83" width="16.88671875" customWidth="1"/>
    <col min="84" max="84" width="15.6640625" customWidth="1"/>
    <col min="85" max="85" width="35.44140625" customWidth="1"/>
    <col min="86" max="86" width="3.109375" customWidth="1"/>
    <col min="87" max="87" width="41" customWidth="1"/>
    <col min="88" max="88" width="16.88671875" customWidth="1"/>
    <col min="89" max="89" width="15.6640625" customWidth="1"/>
    <col min="90" max="90" width="35.44140625" customWidth="1"/>
    <col min="91" max="91" width="3.5546875" customWidth="1"/>
    <col min="92" max="92" width="41" customWidth="1"/>
    <col min="93" max="93" width="16.88671875" customWidth="1"/>
    <col min="94" max="94" width="15.6640625" customWidth="1"/>
    <col min="95" max="95" width="35.44140625" customWidth="1"/>
    <col min="96" max="96" width="3.5546875" customWidth="1"/>
    <col min="97" max="97" width="41" customWidth="1"/>
    <col min="98" max="98" width="16.88671875" customWidth="1"/>
    <col min="99" max="99" width="15.6640625" customWidth="1"/>
    <col min="100" max="100" width="35.44140625" customWidth="1"/>
    <col min="101" max="101" width="3.5546875" customWidth="1"/>
    <col min="102" max="102" width="41" customWidth="1"/>
    <col min="103" max="103" width="16.88671875" customWidth="1"/>
    <col min="104" max="104" width="15.6640625" customWidth="1"/>
    <col min="105" max="105" width="35.44140625" customWidth="1"/>
    <col min="106" max="106" width="3.5546875" customWidth="1"/>
    <col min="107" max="107" width="41" customWidth="1"/>
    <col min="108" max="108" width="16.88671875" customWidth="1"/>
    <col min="109" max="109" width="15.6640625" customWidth="1"/>
    <col min="110" max="110" width="35.44140625" customWidth="1"/>
    <col min="111" max="111" width="3.5546875" customWidth="1"/>
    <col min="112" max="112" width="41" customWidth="1"/>
    <col min="113" max="113" width="16.88671875" customWidth="1"/>
    <col min="114" max="114" width="15.6640625" customWidth="1"/>
    <col min="115" max="115" width="35.44140625" customWidth="1"/>
    <col min="116" max="118" width="3.5546875" customWidth="1"/>
  </cols>
  <sheetData>
    <row r="1" spans="1:118" ht="17.25" customHeight="1">
      <c r="A1" s="2"/>
      <c r="B1" s="2"/>
      <c r="C1" s="3"/>
      <c r="D1" s="5"/>
      <c r="E1" s="6"/>
      <c r="F1" s="6"/>
      <c r="G1" s="7"/>
      <c r="H1" s="7"/>
      <c r="I1" s="6"/>
      <c r="J1" s="5"/>
      <c r="K1" s="5"/>
      <c r="L1" s="6"/>
      <c r="M1" s="6"/>
      <c r="N1" s="6"/>
      <c r="O1" s="6"/>
      <c r="P1" s="6"/>
      <c r="Q1" s="6"/>
      <c r="R1" s="6"/>
      <c r="S1" s="6"/>
      <c r="T1" s="8"/>
      <c r="U1" s="10"/>
      <c r="V1" s="12"/>
      <c r="W1" s="12"/>
      <c r="X1" s="13"/>
      <c r="Y1" s="12"/>
      <c r="Z1" s="12"/>
      <c r="AA1" s="12"/>
      <c r="AB1" s="6"/>
      <c r="AC1" s="6"/>
      <c r="AD1" s="6"/>
      <c r="AE1" s="6"/>
      <c r="AF1" s="6"/>
      <c r="AG1" s="6"/>
      <c r="AH1" s="6"/>
      <c r="AI1" s="12"/>
      <c r="AJ1" s="12"/>
      <c r="AK1" s="12"/>
      <c r="AL1" s="13"/>
      <c r="AM1" s="14"/>
      <c r="AN1" s="6"/>
      <c r="AO1" s="6"/>
      <c r="AP1" s="6"/>
      <c r="AQ1" s="6"/>
      <c r="AR1" s="6"/>
      <c r="AS1" s="15"/>
      <c r="AT1" s="15"/>
      <c r="AU1" s="6"/>
      <c r="AV1" s="6"/>
      <c r="AW1" s="6"/>
      <c r="AX1" s="6"/>
      <c r="AY1" s="12"/>
      <c r="AZ1" s="12"/>
      <c r="BA1" s="12"/>
      <c r="BB1" s="12"/>
      <c r="BC1" s="10"/>
      <c r="BD1" s="10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</row>
    <row r="2" spans="1:118" ht="17.25" customHeight="1">
      <c r="A2" s="18" t="s">
        <v>33</v>
      </c>
      <c r="B2" s="18" t="s">
        <v>40</v>
      </c>
      <c r="C2" s="20" t="s">
        <v>41</v>
      </c>
      <c r="D2" s="5" t="s">
        <v>45</v>
      </c>
      <c r="E2" s="15" t="s">
        <v>47</v>
      </c>
      <c r="F2" s="15" t="s">
        <v>18</v>
      </c>
      <c r="G2" s="7" t="s">
        <v>48</v>
      </c>
      <c r="H2" s="7" t="s">
        <v>49</v>
      </c>
      <c r="I2" s="15" t="s">
        <v>51</v>
      </c>
      <c r="J2" s="5" t="s">
        <v>52</v>
      </c>
      <c r="K2" s="5" t="s">
        <v>53</v>
      </c>
      <c r="L2" s="15" t="s">
        <v>54</v>
      </c>
      <c r="M2" s="15" t="s">
        <v>55</v>
      </c>
      <c r="N2" s="15" t="s">
        <v>56</v>
      </c>
      <c r="O2" s="15" t="s">
        <v>57</v>
      </c>
      <c r="P2" s="15" t="s">
        <v>58</v>
      </c>
      <c r="Q2" s="15" t="s">
        <v>59</v>
      </c>
      <c r="R2" s="15" t="s">
        <v>60</v>
      </c>
      <c r="S2" s="15" t="s">
        <v>61</v>
      </c>
      <c r="T2" s="22" t="s">
        <v>62</v>
      </c>
      <c r="U2" s="23" t="s">
        <v>63</v>
      </c>
      <c r="V2" s="24" t="s">
        <v>64</v>
      </c>
      <c r="W2" s="24" t="s">
        <v>65</v>
      </c>
      <c r="X2" s="25" t="s">
        <v>66</v>
      </c>
      <c r="Y2" s="24" t="s">
        <v>67</v>
      </c>
      <c r="Z2" s="24" t="s">
        <v>68</v>
      </c>
      <c r="AA2" s="24" t="s">
        <v>69</v>
      </c>
      <c r="AB2" s="15" t="s">
        <v>70</v>
      </c>
      <c r="AC2" s="15" t="s">
        <v>71</v>
      </c>
      <c r="AD2" s="15" t="s">
        <v>72</v>
      </c>
      <c r="AE2" s="15" t="s">
        <v>73</v>
      </c>
      <c r="AF2" s="15" t="s">
        <v>74</v>
      </c>
      <c r="AG2" s="15" t="s">
        <v>75</v>
      </c>
      <c r="AH2" s="15" t="s">
        <v>76</v>
      </c>
      <c r="AI2" s="24" t="s">
        <v>77</v>
      </c>
      <c r="AJ2" s="24" t="s">
        <v>78</v>
      </c>
      <c r="AK2" s="24" t="s">
        <v>79</v>
      </c>
      <c r="AL2" s="24" t="s">
        <v>80</v>
      </c>
      <c r="AM2" s="26" t="s">
        <v>81</v>
      </c>
      <c r="AN2" s="15" t="s">
        <v>82</v>
      </c>
      <c r="AO2" s="15" t="s">
        <v>27</v>
      </c>
      <c r="AP2" s="15" t="s">
        <v>83</v>
      </c>
      <c r="AQ2" s="15" t="s">
        <v>84</v>
      </c>
      <c r="AR2" s="15" t="s">
        <v>85</v>
      </c>
      <c r="AS2" s="15" t="s">
        <v>19</v>
      </c>
      <c r="AT2" s="15" t="s">
        <v>20</v>
      </c>
      <c r="AU2" s="15" t="s">
        <v>86</v>
      </c>
      <c r="AV2" s="15" t="s">
        <v>87</v>
      </c>
      <c r="AW2" s="15" t="s">
        <v>88</v>
      </c>
      <c r="AX2" s="15" t="s">
        <v>89</v>
      </c>
      <c r="AY2" s="24" t="s">
        <v>90</v>
      </c>
      <c r="AZ2" s="24" t="s">
        <v>91</v>
      </c>
      <c r="BA2" s="24" t="s">
        <v>92</v>
      </c>
      <c r="BB2" s="24" t="s">
        <v>93</v>
      </c>
      <c r="BC2" s="24" t="s">
        <v>94</v>
      </c>
      <c r="BD2" s="15" t="s">
        <v>95</v>
      </c>
      <c r="BE2" s="15" t="s">
        <v>96</v>
      </c>
      <c r="BF2" s="15" t="s">
        <v>97</v>
      </c>
      <c r="BG2" s="15" t="s">
        <v>98</v>
      </c>
      <c r="BH2" s="15" t="s">
        <v>99</v>
      </c>
      <c r="BI2" s="15" t="s">
        <v>100</v>
      </c>
      <c r="BJ2" s="15" t="s">
        <v>101</v>
      </c>
      <c r="BK2" s="15" t="s">
        <v>102</v>
      </c>
      <c r="BL2" s="15" t="s">
        <v>103</v>
      </c>
      <c r="BM2" s="15" t="s">
        <v>104</v>
      </c>
      <c r="BN2" s="15" t="s">
        <v>105</v>
      </c>
      <c r="BO2" s="15" t="s">
        <v>106</v>
      </c>
      <c r="BP2" s="15" t="s">
        <v>107</v>
      </c>
      <c r="BQ2" s="15" t="s">
        <v>108</v>
      </c>
      <c r="BR2" s="15" t="s">
        <v>109</v>
      </c>
      <c r="BS2" s="15" t="s">
        <v>110</v>
      </c>
      <c r="BT2" s="15" t="s">
        <v>111</v>
      </c>
      <c r="BU2" s="15" t="s">
        <v>112</v>
      </c>
      <c r="BV2" s="15" t="s">
        <v>113</v>
      </c>
      <c r="BW2" s="15" t="s">
        <v>114</v>
      </c>
      <c r="BX2" s="15" t="s">
        <v>115</v>
      </c>
      <c r="BY2" s="15" t="s">
        <v>116</v>
      </c>
      <c r="BZ2" s="15" t="s">
        <v>117</v>
      </c>
      <c r="CA2" s="15" t="s">
        <v>118</v>
      </c>
      <c r="CB2" s="15" t="s">
        <v>119</v>
      </c>
      <c r="CC2" s="15" t="s">
        <v>120</v>
      </c>
      <c r="CD2" s="15" t="s">
        <v>121</v>
      </c>
      <c r="CE2" s="15" t="s">
        <v>122</v>
      </c>
      <c r="CF2" s="15" t="s">
        <v>123</v>
      </c>
      <c r="CG2" s="15" t="s">
        <v>124</v>
      </c>
      <c r="CH2" s="15" t="s">
        <v>125</v>
      </c>
      <c r="CI2" s="15" t="s">
        <v>126</v>
      </c>
      <c r="CJ2" s="15" t="s">
        <v>127</v>
      </c>
      <c r="CK2" s="15" t="s">
        <v>128</v>
      </c>
      <c r="CL2" s="15" t="s">
        <v>129</v>
      </c>
      <c r="CM2" s="15" t="s">
        <v>130</v>
      </c>
      <c r="CN2" s="15" t="s">
        <v>131</v>
      </c>
      <c r="CO2" s="15" t="s">
        <v>132</v>
      </c>
      <c r="CP2" s="15" t="s">
        <v>133</v>
      </c>
      <c r="CQ2" s="15" t="s">
        <v>134</v>
      </c>
      <c r="CR2" s="15" t="s">
        <v>135</v>
      </c>
      <c r="CS2" s="15" t="s">
        <v>136</v>
      </c>
      <c r="CT2" s="15" t="s">
        <v>137</v>
      </c>
      <c r="CU2" s="15" t="s">
        <v>138</v>
      </c>
      <c r="CV2" s="15" t="s">
        <v>139</v>
      </c>
      <c r="CW2" s="15" t="s">
        <v>141</v>
      </c>
      <c r="CX2" s="15" t="s">
        <v>142</v>
      </c>
      <c r="CY2" s="15" t="s">
        <v>143</v>
      </c>
      <c r="CZ2" s="15" t="s">
        <v>144</v>
      </c>
      <c r="DA2" s="15" t="s">
        <v>145</v>
      </c>
      <c r="DB2" s="15" t="s">
        <v>146</v>
      </c>
      <c r="DC2" s="15" t="s">
        <v>147</v>
      </c>
      <c r="DD2" s="15" t="s">
        <v>148</v>
      </c>
      <c r="DE2" s="15" t="s">
        <v>149</v>
      </c>
      <c r="DF2" s="15" t="s">
        <v>150</v>
      </c>
      <c r="DG2" s="15" t="s">
        <v>151</v>
      </c>
      <c r="DH2" s="15" t="s">
        <v>152</v>
      </c>
      <c r="DI2" s="15" t="s">
        <v>153</v>
      </c>
      <c r="DJ2" s="15" t="s">
        <v>154</v>
      </c>
      <c r="DK2" s="15" t="s">
        <v>155</v>
      </c>
      <c r="DL2" s="6"/>
      <c r="DM2" s="6"/>
      <c r="DN2" s="6"/>
    </row>
    <row r="3" spans="1:118" ht="15.75" customHeight="1">
      <c r="A3" s="29" t="s">
        <v>156</v>
      </c>
      <c r="B3" s="29" t="s">
        <v>157</v>
      </c>
      <c r="C3" s="30">
        <v>1809705</v>
      </c>
      <c r="D3" s="29" t="s">
        <v>159</v>
      </c>
      <c r="E3" s="31"/>
      <c r="F3" s="29" t="s">
        <v>160</v>
      </c>
      <c r="G3" s="32" t="s">
        <v>161</v>
      </c>
      <c r="H3" s="32" t="s">
        <v>164</v>
      </c>
      <c r="I3" s="33">
        <v>43941</v>
      </c>
      <c r="J3" s="29" t="s">
        <v>165</v>
      </c>
      <c r="K3" s="29" t="s">
        <v>159</v>
      </c>
      <c r="L3" s="16" t="s">
        <v>166</v>
      </c>
      <c r="M3" s="34" t="s">
        <v>167</v>
      </c>
      <c r="N3" s="35" t="s">
        <v>168</v>
      </c>
      <c r="O3" s="35" t="s">
        <v>30</v>
      </c>
      <c r="P3" s="35" t="s">
        <v>31</v>
      </c>
      <c r="Q3" s="35" t="s">
        <v>35</v>
      </c>
      <c r="R3" s="36"/>
      <c r="S3" s="35" t="s">
        <v>170</v>
      </c>
      <c r="T3" s="37">
        <v>1.55</v>
      </c>
      <c r="U3" s="38"/>
      <c r="V3" s="39"/>
      <c r="W3" s="39"/>
      <c r="X3" s="40"/>
      <c r="Y3" s="39"/>
      <c r="Z3" s="41"/>
      <c r="AA3" s="41"/>
      <c r="AB3" s="35" t="s">
        <v>36</v>
      </c>
      <c r="AC3" s="35" t="s">
        <v>179</v>
      </c>
      <c r="AD3" s="35" t="s">
        <v>38</v>
      </c>
      <c r="AE3" s="35" t="s">
        <v>190</v>
      </c>
      <c r="AF3" s="35" t="s">
        <v>181</v>
      </c>
      <c r="AG3" s="35" t="s">
        <v>39</v>
      </c>
      <c r="AH3" s="35" t="s">
        <v>190</v>
      </c>
      <c r="AI3" s="42">
        <v>47500000000</v>
      </c>
      <c r="AJ3" s="44" t="s">
        <v>195</v>
      </c>
      <c r="AK3" s="45">
        <v>45125000</v>
      </c>
      <c r="AL3" s="44" t="s">
        <v>207</v>
      </c>
      <c r="AM3" s="46">
        <v>3.5999999999999997E-2</v>
      </c>
      <c r="AN3" s="44" t="s">
        <v>187</v>
      </c>
      <c r="AO3" s="44">
        <v>3388</v>
      </c>
      <c r="AP3" s="35" t="s">
        <v>39</v>
      </c>
      <c r="AQ3" s="35" t="s">
        <v>181</v>
      </c>
      <c r="AR3" s="35" t="s">
        <v>42</v>
      </c>
      <c r="AS3" s="35" t="s">
        <v>181</v>
      </c>
      <c r="AT3" s="35" t="s">
        <v>39</v>
      </c>
      <c r="AU3" s="35" t="s">
        <v>227</v>
      </c>
      <c r="AV3" s="35" t="s">
        <v>190</v>
      </c>
      <c r="AW3" s="35" t="s">
        <v>190</v>
      </c>
      <c r="AX3" s="35" t="s">
        <v>190</v>
      </c>
      <c r="AY3" s="45">
        <v>0</v>
      </c>
      <c r="AZ3" s="45" t="s">
        <v>162</v>
      </c>
      <c r="BA3" s="45">
        <v>0</v>
      </c>
      <c r="BB3" s="42">
        <v>0</v>
      </c>
      <c r="BC3" s="44" t="s">
        <v>162</v>
      </c>
      <c r="BD3" s="38">
        <f t="shared" ref="BD3:BD5" si="0">IF(BB3=0, 1, BA3/BB3)</f>
        <v>1</v>
      </c>
      <c r="BE3" s="35" t="s">
        <v>240</v>
      </c>
      <c r="BF3" s="35" t="s">
        <v>183</v>
      </c>
      <c r="BG3" s="36"/>
      <c r="BH3" s="35" t="s">
        <v>190</v>
      </c>
      <c r="BI3" s="44">
        <v>0</v>
      </c>
      <c r="BJ3" s="44">
        <v>2</v>
      </c>
      <c r="BK3" s="35" t="s">
        <v>227</v>
      </c>
      <c r="BL3" s="35" t="s">
        <v>227</v>
      </c>
      <c r="BM3" s="35" t="s">
        <v>227</v>
      </c>
      <c r="BN3" s="35" t="s">
        <v>190</v>
      </c>
      <c r="BO3" s="44">
        <v>1</v>
      </c>
      <c r="BP3" s="48"/>
      <c r="BQ3" s="44">
        <v>0</v>
      </c>
      <c r="BR3" s="44">
        <v>0</v>
      </c>
      <c r="BS3" s="34"/>
      <c r="BT3" s="44">
        <v>0</v>
      </c>
      <c r="BU3" s="44">
        <v>0</v>
      </c>
      <c r="BV3" s="44">
        <v>49</v>
      </c>
      <c r="BW3" s="35" t="s">
        <v>227</v>
      </c>
      <c r="BX3" s="34"/>
      <c r="BY3" s="44">
        <v>0</v>
      </c>
      <c r="BZ3" s="44">
        <v>0</v>
      </c>
      <c r="CA3" s="49"/>
      <c r="CB3" s="35" t="s">
        <v>190</v>
      </c>
      <c r="CC3" s="34"/>
      <c r="CD3" s="50"/>
      <c r="CE3" s="50"/>
      <c r="CF3" s="50"/>
      <c r="CG3" s="50"/>
      <c r="CH3" s="34"/>
      <c r="CI3" s="50"/>
      <c r="CJ3" s="50"/>
      <c r="CK3" s="50"/>
      <c r="CL3" s="50"/>
      <c r="CM3" s="34"/>
      <c r="CN3" s="36"/>
      <c r="CO3" s="36"/>
      <c r="CP3" s="36"/>
      <c r="CQ3" s="50"/>
      <c r="CR3" s="34"/>
      <c r="CS3" s="36"/>
      <c r="CT3" s="36"/>
      <c r="CU3" s="36"/>
      <c r="CV3" s="50"/>
      <c r="CW3" s="34"/>
      <c r="CX3" s="36"/>
      <c r="CY3" s="36"/>
      <c r="CZ3" s="36"/>
      <c r="DA3" s="50"/>
      <c r="DB3" s="34"/>
      <c r="DC3" s="36"/>
      <c r="DD3" s="36"/>
      <c r="DE3" s="36"/>
      <c r="DF3" s="50"/>
      <c r="DG3" s="34"/>
      <c r="DH3" s="36"/>
      <c r="DI3" s="36"/>
      <c r="DJ3" s="36"/>
      <c r="DK3" s="50"/>
      <c r="DL3" s="51"/>
      <c r="DM3" s="51"/>
      <c r="DN3" s="51"/>
    </row>
    <row r="4" spans="1:118" ht="15.75" customHeight="1">
      <c r="A4" s="29" t="s">
        <v>156</v>
      </c>
      <c r="B4" s="29" t="s">
        <v>157</v>
      </c>
      <c r="C4" s="30">
        <v>1809409</v>
      </c>
      <c r="D4" s="29" t="s">
        <v>255</v>
      </c>
      <c r="E4" s="31"/>
      <c r="F4" s="29" t="s">
        <v>160</v>
      </c>
      <c r="G4" s="32" t="s">
        <v>260</v>
      </c>
      <c r="H4" s="32" t="s">
        <v>265</v>
      </c>
      <c r="I4" s="33">
        <v>43941</v>
      </c>
      <c r="J4" s="29" t="s">
        <v>274</v>
      </c>
      <c r="K4" s="29" t="s">
        <v>255</v>
      </c>
      <c r="L4" s="16" t="s">
        <v>276</v>
      </c>
      <c r="M4" s="34" t="s">
        <v>167</v>
      </c>
      <c r="N4" s="35" t="s">
        <v>168</v>
      </c>
      <c r="O4" s="35" t="s">
        <v>30</v>
      </c>
      <c r="P4" s="35" t="s">
        <v>31</v>
      </c>
      <c r="Q4" s="35" t="s">
        <v>35</v>
      </c>
      <c r="R4" s="36"/>
      <c r="S4" s="35" t="s">
        <v>170</v>
      </c>
      <c r="T4" s="37">
        <v>1.7</v>
      </c>
      <c r="U4" s="38"/>
      <c r="V4" s="39"/>
      <c r="W4" s="39"/>
      <c r="X4" s="40"/>
      <c r="Y4" s="39"/>
      <c r="Z4" s="41"/>
      <c r="AA4" s="41"/>
      <c r="AB4" s="35" t="s">
        <v>36</v>
      </c>
      <c r="AC4" s="35" t="s">
        <v>179</v>
      </c>
      <c r="AD4" s="35" t="s">
        <v>38</v>
      </c>
      <c r="AE4" s="35" t="s">
        <v>190</v>
      </c>
      <c r="AF4" s="35" t="s">
        <v>181</v>
      </c>
      <c r="AG4" s="35" t="s">
        <v>39</v>
      </c>
      <c r="AH4" s="35" t="s">
        <v>190</v>
      </c>
      <c r="AI4" s="42">
        <v>47500000000</v>
      </c>
      <c r="AJ4" s="44" t="s">
        <v>195</v>
      </c>
      <c r="AK4" s="45">
        <v>45125000</v>
      </c>
      <c r="AL4" s="44" t="s">
        <v>207</v>
      </c>
      <c r="AM4" s="46">
        <v>3.5999999999999997E-2</v>
      </c>
      <c r="AN4" s="44" t="s">
        <v>187</v>
      </c>
      <c r="AO4" s="44">
        <v>3388</v>
      </c>
      <c r="AP4" s="35" t="s">
        <v>39</v>
      </c>
      <c r="AQ4" s="35" t="s">
        <v>181</v>
      </c>
      <c r="AR4" s="35" t="s">
        <v>42</v>
      </c>
      <c r="AS4" s="35" t="s">
        <v>181</v>
      </c>
      <c r="AT4" s="35" t="s">
        <v>39</v>
      </c>
      <c r="AU4" s="35" t="s">
        <v>190</v>
      </c>
      <c r="AV4" s="35" t="s">
        <v>190</v>
      </c>
      <c r="AW4" s="35" t="s">
        <v>227</v>
      </c>
      <c r="AX4" s="35" t="s">
        <v>227</v>
      </c>
      <c r="AY4" s="45">
        <v>96514</v>
      </c>
      <c r="AZ4" s="55" t="e">
        <f ca="1">_xludf.IFS(
AY4&lt;10000, "&lt; $10K",
AY4&lt;=50000, "$10K - $50K",
AY4&lt;=100000, "$50K - $100K",
AY4&lt;=500000, "$100K - $500K",
AY4&lt;=1000000, "$500K - $1M",
AY4&lt;=2000000, "$1M - $2M",
AY4&lt;=3000000, "$2M - $3M",
AY4&lt;=4000000, "$3M - $4M",
AY4&lt;=5000000, "$4M - $5M",
AY4&gt;5000000, "&gt; $5M")</f>
        <v>#NAME?</v>
      </c>
      <c r="BA4" s="45">
        <v>6096</v>
      </c>
      <c r="BB4" s="42">
        <v>0</v>
      </c>
      <c r="BC4" s="44" t="s">
        <v>162</v>
      </c>
      <c r="BD4" s="38">
        <f t="shared" si="0"/>
        <v>1</v>
      </c>
      <c r="BE4" s="35" t="s">
        <v>240</v>
      </c>
      <c r="BF4" s="35" t="s">
        <v>202</v>
      </c>
      <c r="BG4" s="36"/>
      <c r="BH4" s="35" t="s">
        <v>190</v>
      </c>
      <c r="BI4" s="44">
        <v>0</v>
      </c>
      <c r="BJ4" s="44">
        <v>1</v>
      </c>
      <c r="BK4" s="35" t="s">
        <v>190</v>
      </c>
      <c r="BL4" s="35" t="s">
        <v>227</v>
      </c>
      <c r="BM4" s="35" t="s">
        <v>227</v>
      </c>
      <c r="BN4" s="35" t="s">
        <v>190</v>
      </c>
      <c r="BO4" s="44">
        <v>2</v>
      </c>
      <c r="BP4" s="48"/>
      <c r="BQ4" s="44">
        <v>0</v>
      </c>
      <c r="BR4" s="44">
        <v>0</v>
      </c>
      <c r="BS4" s="34"/>
      <c r="BT4" s="44">
        <v>0</v>
      </c>
      <c r="BU4" s="44">
        <v>0</v>
      </c>
      <c r="BV4" s="44">
        <v>54</v>
      </c>
      <c r="BW4" s="35" t="s">
        <v>227</v>
      </c>
      <c r="BX4" s="34"/>
      <c r="BY4" s="49"/>
      <c r="BZ4" s="49"/>
      <c r="CA4" s="49"/>
      <c r="CB4" s="50"/>
      <c r="CC4" s="34"/>
      <c r="CD4" s="50"/>
      <c r="CE4" s="50"/>
      <c r="CF4" s="50"/>
      <c r="CG4" s="50"/>
      <c r="CH4" s="34"/>
      <c r="CI4" s="50"/>
      <c r="CJ4" s="50"/>
      <c r="CK4" s="50"/>
      <c r="CL4" s="50"/>
      <c r="CM4" s="34"/>
      <c r="CN4" s="36"/>
      <c r="CO4" s="36"/>
      <c r="CP4" s="36"/>
      <c r="CQ4" s="50"/>
      <c r="CR4" s="34"/>
      <c r="CS4" s="36"/>
      <c r="CT4" s="36"/>
      <c r="CU4" s="36"/>
      <c r="CV4" s="50"/>
      <c r="CW4" s="34"/>
      <c r="CX4" s="36"/>
      <c r="CY4" s="36"/>
      <c r="CZ4" s="36"/>
      <c r="DA4" s="50"/>
      <c r="DB4" s="34"/>
      <c r="DC4" s="36"/>
      <c r="DD4" s="36"/>
      <c r="DE4" s="36"/>
      <c r="DF4" s="50"/>
      <c r="DG4" s="34"/>
      <c r="DH4" s="36"/>
      <c r="DI4" s="36"/>
      <c r="DJ4" s="36"/>
      <c r="DK4" s="50"/>
      <c r="DL4" s="51"/>
      <c r="DM4" s="51"/>
      <c r="DN4" s="51"/>
    </row>
    <row r="5" spans="1:118" ht="15.75" customHeight="1">
      <c r="A5" s="29" t="s">
        <v>156</v>
      </c>
      <c r="B5" s="29" t="s">
        <v>157</v>
      </c>
      <c r="C5" s="30">
        <v>1808331</v>
      </c>
      <c r="D5" s="29" t="s">
        <v>351</v>
      </c>
      <c r="E5" s="31"/>
      <c r="F5" s="29" t="s">
        <v>160</v>
      </c>
      <c r="G5" s="32" t="s">
        <v>352</v>
      </c>
      <c r="H5" s="32" t="s">
        <v>353</v>
      </c>
      <c r="I5" s="33">
        <v>43941</v>
      </c>
      <c r="J5" s="57"/>
      <c r="K5" s="29" t="s">
        <v>354</v>
      </c>
      <c r="L5" s="16" t="s">
        <v>351</v>
      </c>
      <c r="M5" s="34" t="s">
        <v>167</v>
      </c>
      <c r="N5" s="35" t="s">
        <v>168</v>
      </c>
      <c r="O5" s="35" t="s">
        <v>30</v>
      </c>
      <c r="P5" s="35" t="s">
        <v>31</v>
      </c>
      <c r="Q5" s="35" t="s">
        <v>35</v>
      </c>
      <c r="R5" s="36"/>
      <c r="S5" s="35" t="s">
        <v>170</v>
      </c>
      <c r="T5" s="37">
        <v>1.5</v>
      </c>
      <c r="U5" s="38"/>
      <c r="V5" s="39"/>
      <c r="W5" s="39"/>
      <c r="X5" s="40"/>
      <c r="Y5" s="39"/>
      <c r="Z5" s="41"/>
      <c r="AA5" s="41"/>
      <c r="AB5" s="35" t="s">
        <v>36</v>
      </c>
      <c r="AC5" s="35" t="s">
        <v>179</v>
      </c>
      <c r="AD5" s="35" t="s">
        <v>38</v>
      </c>
      <c r="AE5" s="35" t="s">
        <v>190</v>
      </c>
      <c r="AF5" s="35" t="s">
        <v>181</v>
      </c>
      <c r="AG5" s="35" t="s">
        <v>39</v>
      </c>
      <c r="AH5" s="35" t="s">
        <v>190</v>
      </c>
      <c r="AI5" s="42">
        <v>47500000000</v>
      </c>
      <c r="AJ5" s="44" t="s">
        <v>207</v>
      </c>
      <c r="AK5" s="45">
        <v>9025000</v>
      </c>
      <c r="AL5" s="44" t="s">
        <v>317</v>
      </c>
      <c r="AM5" s="46">
        <v>3.5999999999999997E-2</v>
      </c>
      <c r="AN5" s="44" t="s">
        <v>187</v>
      </c>
      <c r="AO5" s="44">
        <v>676</v>
      </c>
      <c r="AP5" s="35" t="s">
        <v>181</v>
      </c>
      <c r="AQ5" s="35" t="s">
        <v>181</v>
      </c>
      <c r="AR5" s="35" t="s">
        <v>42</v>
      </c>
      <c r="AS5" s="35" t="s">
        <v>181</v>
      </c>
      <c r="AT5" s="35" t="s">
        <v>39</v>
      </c>
      <c r="AU5" s="35" t="s">
        <v>190</v>
      </c>
      <c r="AV5" s="35" t="s">
        <v>190</v>
      </c>
      <c r="AW5" s="35" t="s">
        <v>190</v>
      </c>
      <c r="AX5" s="35" t="s">
        <v>190</v>
      </c>
      <c r="AY5" s="45">
        <v>0</v>
      </c>
      <c r="AZ5" s="45" t="s">
        <v>162</v>
      </c>
      <c r="BA5" s="45">
        <v>0</v>
      </c>
      <c r="BB5" s="42">
        <v>0</v>
      </c>
      <c r="BC5" s="44" t="s">
        <v>162</v>
      </c>
      <c r="BD5" s="38">
        <f t="shared" si="0"/>
        <v>1</v>
      </c>
      <c r="BE5" s="35" t="s">
        <v>240</v>
      </c>
      <c r="BF5" s="35" t="s">
        <v>43</v>
      </c>
      <c r="BG5" s="36"/>
      <c r="BH5" s="35" t="s">
        <v>190</v>
      </c>
      <c r="BI5" s="44">
        <v>0</v>
      </c>
      <c r="BJ5" s="44">
        <v>2</v>
      </c>
      <c r="BK5" s="35" t="s">
        <v>227</v>
      </c>
      <c r="BL5" s="35" t="s">
        <v>227</v>
      </c>
      <c r="BM5" s="35" t="s">
        <v>227</v>
      </c>
      <c r="BN5" s="35" t="s">
        <v>190</v>
      </c>
      <c r="BO5" s="48"/>
      <c r="BP5" s="48"/>
      <c r="BQ5" s="44">
        <v>0</v>
      </c>
      <c r="BR5" s="44">
        <v>0</v>
      </c>
      <c r="BS5" s="34"/>
      <c r="BT5" s="48"/>
      <c r="BU5" s="48"/>
      <c r="BV5" s="48"/>
      <c r="BW5" s="34"/>
      <c r="BX5" s="34"/>
      <c r="BY5" s="49"/>
      <c r="BZ5" s="49"/>
      <c r="CA5" s="49"/>
      <c r="CB5" s="50"/>
      <c r="CC5" s="34"/>
      <c r="CD5" s="50"/>
      <c r="CE5" s="50"/>
      <c r="CF5" s="50"/>
      <c r="CG5" s="50"/>
      <c r="CH5" s="34"/>
      <c r="CI5" s="50"/>
      <c r="CJ5" s="50"/>
      <c r="CK5" s="50"/>
      <c r="CL5" s="50"/>
      <c r="CM5" s="34"/>
      <c r="CN5" s="36"/>
      <c r="CO5" s="36"/>
      <c r="CP5" s="36"/>
      <c r="CQ5" s="50"/>
      <c r="CR5" s="34"/>
      <c r="CS5" s="36"/>
      <c r="CT5" s="36"/>
      <c r="CU5" s="36"/>
      <c r="CV5" s="50"/>
      <c r="CW5" s="34"/>
      <c r="CX5" s="36"/>
      <c r="CY5" s="36"/>
      <c r="CZ5" s="36"/>
      <c r="DA5" s="50"/>
      <c r="DB5" s="34"/>
      <c r="DC5" s="36"/>
      <c r="DD5" s="36"/>
      <c r="DE5" s="36"/>
      <c r="DF5" s="50"/>
      <c r="DG5" s="34"/>
      <c r="DH5" s="36"/>
      <c r="DI5" s="36"/>
      <c r="DJ5" s="36"/>
      <c r="DK5" s="50"/>
      <c r="DL5" s="51"/>
      <c r="DM5" s="51"/>
      <c r="DN5" s="51"/>
    </row>
    <row r="6" spans="1:118" ht="15.75" customHeight="1">
      <c r="A6" s="29" t="s">
        <v>156</v>
      </c>
      <c r="B6" s="29" t="s">
        <v>355</v>
      </c>
      <c r="C6" s="30">
        <v>1809729</v>
      </c>
      <c r="D6" s="29" t="s">
        <v>356</v>
      </c>
      <c r="E6" s="31"/>
      <c r="F6" s="29" t="s">
        <v>289</v>
      </c>
      <c r="G6" s="32" t="s">
        <v>357</v>
      </c>
      <c r="H6" s="58" t="s">
        <v>358</v>
      </c>
      <c r="I6" s="33">
        <v>43941</v>
      </c>
      <c r="J6" s="29" t="s">
        <v>359</v>
      </c>
      <c r="K6" s="29" t="s">
        <v>356</v>
      </c>
      <c r="L6" s="16" t="s">
        <v>360</v>
      </c>
      <c r="M6" s="35" t="s">
        <v>167</v>
      </c>
      <c r="N6" s="35" t="s">
        <v>168</v>
      </c>
      <c r="O6" s="35" t="s">
        <v>30</v>
      </c>
      <c r="P6" s="35" t="s">
        <v>31</v>
      </c>
      <c r="Q6" s="35" t="s">
        <v>35</v>
      </c>
      <c r="R6" s="36"/>
      <c r="S6" s="35" t="s">
        <v>170</v>
      </c>
      <c r="T6" s="59"/>
      <c r="U6" s="60">
        <v>7.0000000000000007E-2</v>
      </c>
      <c r="V6" s="39"/>
      <c r="W6" s="39"/>
      <c r="X6" s="40"/>
      <c r="Y6" s="39"/>
      <c r="Z6" s="41"/>
      <c r="AA6" s="41"/>
      <c r="AB6" s="35" t="s">
        <v>36</v>
      </c>
      <c r="AC6" s="35" t="s">
        <v>218</v>
      </c>
      <c r="AD6" s="35" t="s">
        <v>38</v>
      </c>
      <c r="AE6" s="35" t="s">
        <v>190</v>
      </c>
      <c r="AF6" s="35" t="s">
        <v>181</v>
      </c>
      <c r="AG6" s="35" t="s">
        <v>39</v>
      </c>
      <c r="AH6" s="35" t="s">
        <v>190</v>
      </c>
      <c r="AI6" s="42">
        <v>47500000000</v>
      </c>
      <c r="AJ6" s="44" t="s">
        <v>195</v>
      </c>
      <c r="AK6" s="45">
        <v>10000000</v>
      </c>
      <c r="AL6" s="61" t="e">
        <f t="shared" ref="AL6:AL8" ca="1" si="1">_xludf.IFS(
AK6&gt;=1000000000000, "&gt; $1T",
AK6&gt;=500000000000, "$500B-$1T",
AK6&gt;=250000000000, "$250B-$500B",
AK6&gt;=100000000000, "$100B-$250B",
AK6&gt;=50000000000, "$50B-$100B",
AK6&gt;=25000000000, "$25B-$50B",
AK6&gt;=10000000000, "$10B-$25B",
AK6&gt;=5000000000, "$5B-$10B",
AK6&gt;=1000000000, "$1B-$5B",
AK6&gt;=500000000, "$500M-$1B",
AK6&gt;=250000000, "$250M-$500M",
AK6&gt;=100000000, "$100M-$250M",
AK6&gt;=50000000, "$50M-$100M",
AK6&gt;=25000000, "$25M-$50M",
AK6&lt;25000000, "&lt; $25M")</f>
        <v>#NAME?</v>
      </c>
      <c r="AM6" s="46">
        <v>0.04</v>
      </c>
      <c r="AN6" s="44" t="s">
        <v>187</v>
      </c>
      <c r="AO6" s="44">
        <v>200</v>
      </c>
      <c r="AP6" s="35" t="s">
        <v>181</v>
      </c>
      <c r="AQ6" s="35" t="s">
        <v>181</v>
      </c>
      <c r="AR6" s="35" t="s">
        <v>42</v>
      </c>
      <c r="AS6" s="35" t="s">
        <v>181</v>
      </c>
      <c r="AT6" s="35" t="s">
        <v>39</v>
      </c>
      <c r="AU6" s="35" t="s">
        <v>190</v>
      </c>
      <c r="AV6" s="35" t="s">
        <v>190</v>
      </c>
      <c r="AW6" s="35" t="s">
        <v>227</v>
      </c>
      <c r="AX6" s="35" t="s">
        <v>227</v>
      </c>
      <c r="AY6" s="45">
        <v>134439</v>
      </c>
      <c r="AZ6" s="55" t="e">
        <f t="shared" ref="AZ6:AZ8" ca="1" si="2">_xludf.IFS(
AY6&lt;10000, "&lt; $10K",
AY6&lt;=50000, "$10K - $50K",
AY6&lt;=100000, "$50K - $100K",
AY6&lt;=500000, "$100K - $500K",
AY6&lt;=1000000, "$500K - $1M",
AY6&lt;=2000000, "$1M - $2M",
AY6&lt;=3000000, "$2M - $3M",
AY6&lt;=4000000, "$3M - $4M",
AY6&lt;=5000000, "$4M - $5M",
AY6&gt;5000000, "&gt; $5M")</f>
        <v>#NAME?</v>
      </c>
      <c r="BA6" s="45">
        <v>0</v>
      </c>
      <c r="BB6" s="42">
        <v>0</v>
      </c>
      <c r="BC6" s="62" t="e">
        <f t="shared" ref="BC6:BC8" ca="1" si="3">_xludf.IFS(
BB6&lt;10000, "&lt; $10K",
BB6&lt;=50000, "$10K - $50K",
BB6&lt;=100000, "$50K - $100K",
BB6&lt;=500000, "$100K - $500K",
BB6&lt;=1000000, "$500K - $1M",
BB6&lt;=2000000, "$1M - $2M",
BB6&lt;=3000000, "$2M - $3M",
BB6&lt;=4000000, "$3M - $4M",
BB6&lt;=5000000, "$4M - $5M",
BB6&gt;5000000, "&gt; $5M")</f>
        <v>#NAME?</v>
      </c>
      <c r="BD6" s="62">
        <f t="shared" ref="BD6:BD8" si="4">IF(OR(BA6=0, BB6=0), 1, BA6/BB6)</f>
        <v>1</v>
      </c>
      <c r="BE6" s="35" t="e">
        <f t="shared" ref="BE6:BE8" ca="1" si="5">_xludf.IFS(
BD6&lt;0.1, "&lt; 10%",
BD6&lt;=0.2, "10% - 20%",
BD6&lt;=0.3, "20% - 30%",
BD6&lt;=0.4, "30% - 40%",
BD6&lt;=0.5, "40% - 50%",
BD6&lt;=0.6, "50% - 60%",
BD6&lt;=0.7, "60% - 70%",
BD6&lt;=0.8, "70% - 80%",
BD6&lt;=0.9, "80% - 90%",
BD6&gt;0.9, "90% - 100%")</f>
        <v>#NAME?</v>
      </c>
      <c r="BF6" s="35" t="s">
        <v>219</v>
      </c>
      <c r="BG6" s="36"/>
      <c r="BH6" s="35" t="s">
        <v>190</v>
      </c>
      <c r="BI6" s="44">
        <v>0</v>
      </c>
      <c r="BJ6" s="44">
        <v>1</v>
      </c>
      <c r="BK6" s="35" t="s">
        <v>190</v>
      </c>
      <c r="BL6" s="35" t="s">
        <v>190</v>
      </c>
      <c r="BM6" s="35" t="s">
        <v>190</v>
      </c>
      <c r="BN6" s="35" t="s">
        <v>190</v>
      </c>
      <c r="BO6" s="44">
        <v>2</v>
      </c>
      <c r="BP6" s="44">
        <v>2</v>
      </c>
      <c r="BQ6" s="44">
        <v>0</v>
      </c>
      <c r="BR6" s="44">
        <v>0</v>
      </c>
      <c r="BS6" s="34"/>
      <c r="BT6" s="44">
        <v>2</v>
      </c>
      <c r="BU6" s="44">
        <v>0</v>
      </c>
      <c r="BV6" s="44">
        <v>26</v>
      </c>
      <c r="BW6" s="35" t="s">
        <v>190</v>
      </c>
      <c r="BX6" s="34"/>
      <c r="BY6" s="44"/>
      <c r="BZ6" s="44"/>
      <c r="CA6" s="44"/>
      <c r="CB6" s="50"/>
      <c r="CC6" s="34"/>
      <c r="CD6" s="50"/>
      <c r="CE6" s="50"/>
      <c r="CF6" s="50"/>
      <c r="CG6" s="50"/>
      <c r="CH6" s="34"/>
      <c r="CI6" s="50"/>
      <c r="CJ6" s="50"/>
      <c r="CK6" s="50"/>
      <c r="CL6" s="50"/>
      <c r="CM6" s="34"/>
      <c r="CN6" s="36"/>
      <c r="CO6" s="36"/>
      <c r="CP6" s="36"/>
      <c r="CQ6" s="50"/>
      <c r="CR6" s="34"/>
      <c r="CS6" s="36"/>
      <c r="CT6" s="36"/>
      <c r="CU6" s="36"/>
      <c r="CV6" s="50"/>
      <c r="CW6" s="34"/>
      <c r="CX6" s="36"/>
      <c r="CY6" s="36"/>
      <c r="CZ6" s="36"/>
      <c r="DA6" s="50"/>
      <c r="DB6" s="34"/>
      <c r="DC6" s="36"/>
      <c r="DD6" s="36"/>
      <c r="DE6" s="36"/>
      <c r="DF6" s="50"/>
      <c r="DG6" s="34"/>
      <c r="DH6" s="36"/>
      <c r="DI6" s="36"/>
      <c r="DJ6" s="36"/>
      <c r="DK6" s="50"/>
      <c r="DL6" s="51"/>
      <c r="DM6" s="51"/>
      <c r="DN6" s="51"/>
    </row>
    <row r="7" spans="1:118" ht="15.75" customHeight="1">
      <c r="A7" s="29" t="s">
        <v>156</v>
      </c>
      <c r="B7" s="29" t="s">
        <v>355</v>
      </c>
      <c r="C7" s="30">
        <v>1809918</v>
      </c>
      <c r="D7" s="29" t="s">
        <v>383</v>
      </c>
      <c r="E7" s="31"/>
      <c r="F7" s="29" t="s">
        <v>289</v>
      </c>
      <c r="G7" s="32" t="s">
        <v>384</v>
      </c>
      <c r="H7" s="58" t="s">
        <v>385</v>
      </c>
      <c r="I7" s="33">
        <v>43937</v>
      </c>
      <c r="J7" s="29" t="s">
        <v>387</v>
      </c>
      <c r="K7" s="29" t="s">
        <v>383</v>
      </c>
      <c r="L7" s="16" t="s">
        <v>388</v>
      </c>
      <c r="M7" s="35" t="s">
        <v>167</v>
      </c>
      <c r="N7" s="35" t="s">
        <v>168</v>
      </c>
      <c r="O7" s="35" t="s">
        <v>30</v>
      </c>
      <c r="P7" s="35" t="s">
        <v>31</v>
      </c>
      <c r="Q7" s="35" t="s">
        <v>35</v>
      </c>
      <c r="R7" s="36"/>
      <c r="S7" s="35" t="s">
        <v>170</v>
      </c>
      <c r="T7" s="59"/>
      <c r="U7" s="60">
        <v>7.0000000000000007E-2</v>
      </c>
      <c r="V7" s="39"/>
      <c r="W7" s="39"/>
      <c r="X7" s="40"/>
      <c r="Y7" s="39"/>
      <c r="Z7" s="41"/>
      <c r="AA7" s="41"/>
      <c r="AB7" s="35" t="s">
        <v>36</v>
      </c>
      <c r="AC7" s="35" t="s">
        <v>179</v>
      </c>
      <c r="AD7" s="35" t="s">
        <v>38</v>
      </c>
      <c r="AE7" s="35" t="s">
        <v>190</v>
      </c>
      <c r="AF7" s="35" t="s">
        <v>181</v>
      </c>
      <c r="AG7" s="35" t="s">
        <v>39</v>
      </c>
      <c r="AH7" s="35" t="s">
        <v>190</v>
      </c>
      <c r="AI7" s="42">
        <v>47500000000</v>
      </c>
      <c r="AJ7" s="44" t="s">
        <v>195</v>
      </c>
      <c r="AK7" s="45">
        <v>10000000</v>
      </c>
      <c r="AL7" s="61" t="e">
        <f t="shared" ca="1" si="1"/>
        <v>#NAME?</v>
      </c>
      <c r="AM7" s="46">
        <v>0.04</v>
      </c>
      <c r="AN7" s="44" t="s">
        <v>187</v>
      </c>
      <c r="AO7" s="44">
        <v>200</v>
      </c>
      <c r="AP7" s="35" t="s">
        <v>181</v>
      </c>
      <c r="AQ7" s="35" t="s">
        <v>181</v>
      </c>
      <c r="AR7" s="35" t="s">
        <v>42</v>
      </c>
      <c r="AS7" s="35" t="s">
        <v>181</v>
      </c>
      <c r="AT7" s="35" t="s">
        <v>39</v>
      </c>
      <c r="AU7" s="35" t="s">
        <v>190</v>
      </c>
      <c r="AV7" s="35" t="s">
        <v>190</v>
      </c>
      <c r="AW7" s="35" t="s">
        <v>227</v>
      </c>
      <c r="AX7" s="35" t="s">
        <v>227</v>
      </c>
      <c r="AY7" s="45">
        <v>1263767</v>
      </c>
      <c r="AZ7" s="55" t="e">
        <f t="shared" ca="1" si="2"/>
        <v>#NAME?</v>
      </c>
      <c r="BA7" s="45">
        <v>0</v>
      </c>
      <c r="BB7" s="42">
        <v>0</v>
      </c>
      <c r="BC7" s="62" t="e">
        <f t="shared" ca="1" si="3"/>
        <v>#NAME?</v>
      </c>
      <c r="BD7" s="62">
        <f t="shared" si="4"/>
        <v>1</v>
      </c>
      <c r="BE7" s="35" t="e">
        <f t="shared" ca="1" si="5"/>
        <v>#NAME?</v>
      </c>
      <c r="BF7" s="35" t="s">
        <v>219</v>
      </c>
      <c r="BG7" s="36"/>
      <c r="BH7" s="35" t="s">
        <v>190</v>
      </c>
      <c r="BI7" s="44">
        <v>0</v>
      </c>
      <c r="BJ7" s="44">
        <v>1</v>
      </c>
      <c r="BK7" s="35" t="s">
        <v>190</v>
      </c>
      <c r="BL7" s="35" t="s">
        <v>227</v>
      </c>
      <c r="BM7" s="35" t="s">
        <v>190</v>
      </c>
      <c r="BN7" s="35" t="s">
        <v>190</v>
      </c>
      <c r="BO7" s="44">
        <v>1</v>
      </c>
      <c r="BP7" s="44">
        <v>25</v>
      </c>
      <c r="BQ7" s="44">
        <v>0</v>
      </c>
      <c r="BR7" s="44">
        <v>0</v>
      </c>
      <c r="BS7" s="34"/>
      <c r="BT7" s="44">
        <v>10</v>
      </c>
      <c r="BU7" s="44">
        <v>0</v>
      </c>
      <c r="BV7" s="44">
        <v>40</v>
      </c>
      <c r="BW7" s="35" t="s">
        <v>190</v>
      </c>
      <c r="BX7" s="34"/>
      <c r="BY7" s="49"/>
      <c r="BZ7" s="49"/>
      <c r="CA7" s="49"/>
      <c r="CB7" s="50"/>
      <c r="CC7" s="34"/>
      <c r="CD7" s="50"/>
      <c r="CE7" s="50"/>
      <c r="CF7" s="50"/>
      <c r="CG7" s="50"/>
      <c r="CH7" s="34"/>
      <c r="CI7" s="50"/>
      <c r="CJ7" s="50"/>
      <c r="CK7" s="50"/>
      <c r="CL7" s="50"/>
      <c r="CM7" s="34"/>
      <c r="CN7" s="36"/>
      <c r="CO7" s="36"/>
      <c r="CP7" s="36"/>
      <c r="CQ7" s="50"/>
      <c r="CR7" s="34"/>
      <c r="CS7" s="36"/>
      <c r="CT7" s="36"/>
      <c r="CU7" s="36"/>
      <c r="CV7" s="50"/>
      <c r="CW7" s="34"/>
      <c r="CX7" s="36"/>
      <c r="CY7" s="36"/>
      <c r="CZ7" s="36"/>
      <c r="DA7" s="50"/>
      <c r="DB7" s="34"/>
      <c r="DC7" s="36"/>
      <c r="DD7" s="36"/>
      <c r="DE7" s="36"/>
      <c r="DF7" s="50"/>
      <c r="DG7" s="34"/>
      <c r="DH7" s="36"/>
      <c r="DI7" s="36"/>
      <c r="DJ7" s="36"/>
      <c r="DK7" s="50"/>
      <c r="DL7" s="51"/>
      <c r="DM7" s="51"/>
      <c r="DN7" s="51"/>
    </row>
    <row r="8" spans="1:118" ht="15.75" customHeight="1">
      <c r="A8" s="29" t="s">
        <v>156</v>
      </c>
      <c r="B8" s="29" t="s">
        <v>355</v>
      </c>
      <c r="C8" s="30">
        <v>1810132</v>
      </c>
      <c r="D8" s="29" t="s">
        <v>389</v>
      </c>
      <c r="E8" s="31"/>
      <c r="F8" s="29" t="s">
        <v>289</v>
      </c>
      <c r="G8" s="32" t="s">
        <v>390</v>
      </c>
      <c r="H8" s="58" t="s">
        <v>391</v>
      </c>
      <c r="I8" s="33">
        <v>43943</v>
      </c>
      <c r="J8" s="35" t="s">
        <v>392</v>
      </c>
      <c r="K8" s="35" t="s">
        <v>389</v>
      </c>
      <c r="L8" s="16" t="s">
        <v>393</v>
      </c>
      <c r="M8" s="35" t="s">
        <v>167</v>
      </c>
      <c r="N8" s="35" t="s">
        <v>168</v>
      </c>
      <c r="O8" s="35" t="s">
        <v>30</v>
      </c>
      <c r="P8" s="35" t="s">
        <v>31</v>
      </c>
      <c r="Q8" s="35" t="s">
        <v>35</v>
      </c>
      <c r="R8" s="36"/>
      <c r="S8" s="35" t="s">
        <v>170</v>
      </c>
      <c r="T8" s="59"/>
      <c r="U8" s="60">
        <v>0.09</v>
      </c>
      <c r="V8" s="39"/>
      <c r="W8" s="39"/>
      <c r="X8" s="40"/>
      <c r="Y8" s="39"/>
      <c r="Z8" s="41"/>
      <c r="AA8" s="41"/>
      <c r="AB8" s="35" t="s">
        <v>36</v>
      </c>
      <c r="AC8" s="35" t="s">
        <v>179</v>
      </c>
      <c r="AD8" s="35" t="s">
        <v>38</v>
      </c>
      <c r="AE8" s="35" t="s">
        <v>190</v>
      </c>
      <c r="AF8" s="35" t="s">
        <v>181</v>
      </c>
      <c r="AG8" s="35" t="s">
        <v>39</v>
      </c>
      <c r="AH8" s="35" t="s">
        <v>190</v>
      </c>
      <c r="AI8" s="42">
        <v>47500000000</v>
      </c>
      <c r="AJ8" s="44" t="s">
        <v>195</v>
      </c>
      <c r="AK8" s="45">
        <v>10000000</v>
      </c>
      <c r="AL8" s="61" t="e">
        <f t="shared" ca="1" si="1"/>
        <v>#NAME?</v>
      </c>
      <c r="AM8" s="46">
        <v>0.04</v>
      </c>
      <c r="AN8" s="44" t="s">
        <v>187</v>
      </c>
      <c r="AO8" s="44">
        <v>200</v>
      </c>
      <c r="AP8" s="35" t="s">
        <v>181</v>
      </c>
      <c r="AQ8" s="35" t="s">
        <v>181</v>
      </c>
      <c r="AR8" s="35" t="s">
        <v>42</v>
      </c>
      <c r="AS8" s="35" t="s">
        <v>181</v>
      </c>
      <c r="AT8" s="35" t="s">
        <v>39</v>
      </c>
      <c r="AU8" s="35" t="s">
        <v>190</v>
      </c>
      <c r="AV8" s="35" t="s">
        <v>190</v>
      </c>
      <c r="AW8" s="35" t="s">
        <v>227</v>
      </c>
      <c r="AX8" s="35" t="s">
        <v>227</v>
      </c>
      <c r="AY8" s="45">
        <v>85053</v>
      </c>
      <c r="AZ8" s="55" t="e">
        <f t="shared" ca="1" si="2"/>
        <v>#NAME?</v>
      </c>
      <c r="BA8" s="45">
        <v>1126.6600000000001</v>
      </c>
      <c r="BB8" s="42">
        <v>0</v>
      </c>
      <c r="BC8" s="62" t="e">
        <f t="shared" ca="1" si="3"/>
        <v>#NAME?</v>
      </c>
      <c r="BD8" s="62">
        <f t="shared" si="4"/>
        <v>1</v>
      </c>
      <c r="BE8" s="35" t="e">
        <f t="shared" ca="1" si="5"/>
        <v>#NAME?</v>
      </c>
      <c r="BF8" s="35" t="s">
        <v>202</v>
      </c>
      <c r="BG8" s="36"/>
      <c r="BH8" s="35" t="s">
        <v>190</v>
      </c>
      <c r="BI8" s="44">
        <v>0</v>
      </c>
      <c r="BJ8" s="44">
        <v>1</v>
      </c>
      <c r="BK8" s="35" t="s">
        <v>190</v>
      </c>
      <c r="BL8" s="35" t="s">
        <v>227</v>
      </c>
      <c r="BM8" s="35" t="s">
        <v>190</v>
      </c>
      <c r="BN8" s="35" t="s">
        <v>190</v>
      </c>
      <c r="BO8" s="44">
        <v>1</v>
      </c>
      <c r="BP8" s="44">
        <v>5</v>
      </c>
      <c r="BQ8" s="44">
        <v>0</v>
      </c>
      <c r="BR8" s="44">
        <v>0</v>
      </c>
      <c r="BS8" s="34"/>
      <c r="BT8" s="44">
        <v>10</v>
      </c>
      <c r="BU8" s="44">
        <v>0</v>
      </c>
      <c r="BV8" s="44">
        <v>35</v>
      </c>
      <c r="BW8" s="35" t="s">
        <v>190</v>
      </c>
      <c r="BX8" s="34"/>
      <c r="BY8" s="49"/>
      <c r="BZ8" s="49"/>
      <c r="CA8" s="49"/>
      <c r="CB8" s="50"/>
      <c r="CC8" s="34"/>
      <c r="CD8" s="50"/>
      <c r="CE8" s="50"/>
      <c r="CF8" s="50"/>
      <c r="CG8" s="50"/>
      <c r="CH8" s="34"/>
      <c r="CI8" s="50"/>
      <c r="CJ8" s="50"/>
      <c r="CK8" s="50"/>
      <c r="CL8" s="50"/>
      <c r="CM8" s="34"/>
      <c r="CN8" s="36"/>
      <c r="CO8" s="36"/>
      <c r="CP8" s="36"/>
      <c r="CQ8" s="50"/>
      <c r="CR8" s="34"/>
      <c r="CS8" s="36"/>
      <c r="CT8" s="36"/>
      <c r="CU8" s="36"/>
      <c r="CV8" s="50"/>
      <c r="CW8" s="34"/>
      <c r="CX8" s="36"/>
      <c r="CY8" s="36"/>
      <c r="CZ8" s="36"/>
      <c r="DA8" s="50"/>
      <c r="DB8" s="34"/>
      <c r="DC8" s="36"/>
      <c r="DD8" s="36"/>
      <c r="DE8" s="36"/>
      <c r="DF8" s="50"/>
      <c r="DG8" s="34"/>
      <c r="DH8" s="36"/>
      <c r="DI8" s="36"/>
      <c r="DJ8" s="36"/>
      <c r="DK8" s="50"/>
      <c r="DL8" s="51"/>
      <c r="DM8" s="51"/>
      <c r="DN8" s="51"/>
    </row>
    <row r="9" spans="1:118" ht="15.75" customHeight="1">
      <c r="DL9" s="51"/>
      <c r="DM9" s="51"/>
      <c r="DN9" s="51"/>
    </row>
    <row r="10" spans="1:118" ht="15.75" customHeight="1">
      <c r="A10" s="29" t="s">
        <v>394</v>
      </c>
      <c r="B10" s="35" t="s">
        <v>355</v>
      </c>
      <c r="C10" s="44">
        <v>1809680</v>
      </c>
      <c r="D10" s="35" t="s">
        <v>395</v>
      </c>
      <c r="E10" s="75"/>
      <c r="F10" s="35" t="s">
        <v>160</v>
      </c>
      <c r="G10" s="58" t="s">
        <v>396</v>
      </c>
      <c r="H10" s="58" t="s">
        <v>397</v>
      </c>
      <c r="I10" s="76">
        <v>43936</v>
      </c>
      <c r="J10" s="35" t="s">
        <v>398</v>
      </c>
      <c r="K10" s="35" t="s">
        <v>395</v>
      </c>
      <c r="M10" s="35" t="s">
        <v>399</v>
      </c>
      <c r="N10" s="35" t="s">
        <v>168</v>
      </c>
      <c r="O10" s="35" t="s">
        <v>30</v>
      </c>
      <c r="P10" s="35" t="s">
        <v>174</v>
      </c>
      <c r="Q10" s="35" t="s">
        <v>35</v>
      </c>
      <c r="R10" s="36"/>
      <c r="S10" s="35" t="s">
        <v>257</v>
      </c>
      <c r="T10" s="37">
        <v>1</v>
      </c>
      <c r="U10" s="38"/>
      <c r="V10" s="39"/>
      <c r="W10" s="39"/>
      <c r="X10" s="40"/>
      <c r="Y10" s="39"/>
      <c r="Z10" s="77">
        <v>0</v>
      </c>
      <c r="AA10" s="78" t="s">
        <v>158</v>
      </c>
      <c r="AB10" s="35" t="s">
        <v>36</v>
      </c>
      <c r="AC10" s="35" t="s">
        <v>179</v>
      </c>
      <c r="AD10" s="35" t="s">
        <v>38</v>
      </c>
      <c r="AE10" s="35" t="s">
        <v>190</v>
      </c>
      <c r="AF10" s="35" t="s">
        <v>181</v>
      </c>
      <c r="AG10" s="35" t="s">
        <v>181</v>
      </c>
      <c r="AH10" s="35"/>
      <c r="AI10" s="42">
        <v>22000000000</v>
      </c>
      <c r="AJ10" s="44" t="s">
        <v>259</v>
      </c>
      <c r="AK10" s="45">
        <v>1000000</v>
      </c>
      <c r="AL10" s="44" t="s">
        <v>317</v>
      </c>
      <c r="AM10" s="46">
        <v>0.04</v>
      </c>
      <c r="AN10" s="44" t="s">
        <v>187</v>
      </c>
      <c r="AO10" s="44">
        <v>10</v>
      </c>
      <c r="AP10" s="35" t="s">
        <v>181</v>
      </c>
      <c r="AQ10" s="35" t="s">
        <v>181</v>
      </c>
      <c r="AR10" s="35" t="s">
        <v>42</v>
      </c>
      <c r="AS10" s="35" t="s">
        <v>181</v>
      </c>
      <c r="AT10" s="35" t="s">
        <v>39</v>
      </c>
      <c r="AU10" s="35" t="s">
        <v>190</v>
      </c>
      <c r="AV10" s="35" t="s">
        <v>190</v>
      </c>
      <c r="AW10" s="35" t="s">
        <v>190</v>
      </c>
      <c r="AX10" s="35" t="s">
        <v>190</v>
      </c>
      <c r="AY10" s="45">
        <v>0</v>
      </c>
      <c r="AZ10" s="45" t="s">
        <v>162</v>
      </c>
      <c r="BA10" s="45">
        <v>0</v>
      </c>
      <c r="BB10" s="42">
        <v>0</v>
      </c>
      <c r="BC10" s="44" t="s">
        <v>162</v>
      </c>
      <c r="BD10" s="60">
        <v>1</v>
      </c>
      <c r="BE10" s="35" t="s">
        <v>240</v>
      </c>
      <c r="BF10" s="35" t="s">
        <v>202</v>
      </c>
      <c r="BG10" s="36"/>
      <c r="BH10" s="35" t="s">
        <v>190</v>
      </c>
      <c r="BI10" s="44">
        <v>0</v>
      </c>
      <c r="BJ10" s="44">
        <v>1</v>
      </c>
      <c r="BK10" s="35" t="s">
        <v>190</v>
      </c>
      <c r="BL10" s="35" t="s">
        <v>190</v>
      </c>
      <c r="BM10" s="35" t="s">
        <v>227</v>
      </c>
      <c r="BN10" s="35" t="s">
        <v>190</v>
      </c>
      <c r="BO10" s="44">
        <v>1</v>
      </c>
      <c r="BP10" s="44">
        <v>1</v>
      </c>
      <c r="BQ10" s="44">
        <v>0</v>
      </c>
      <c r="BR10" s="44">
        <v>0</v>
      </c>
      <c r="BS10" s="34"/>
      <c r="BT10" s="44">
        <v>5</v>
      </c>
      <c r="BU10" s="44">
        <v>0</v>
      </c>
      <c r="BV10" s="44">
        <v>40</v>
      </c>
      <c r="BW10" s="35" t="s">
        <v>190</v>
      </c>
      <c r="BX10" s="35"/>
      <c r="BY10" s="49"/>
      <c r="BZ10" s="49"/>
      <c r="CA10" s="49"/>
      <c r="CB10" s="50"/>
      <c r="CC10" s="34"/>
      <c r="CD10" s="50"/>
      <c r="CE10" s="50"/>
      <c r="CF10" s="50"/>
      <c r="CG10" s="50"/>
      <c r="CH10" s="34"/>
      <c r="CI10" s="50"/>
      <c r="CJ10" s="50"/>
      <c r="CK10" s="50"/>
      <c r="CL10" s="50"/>
      <c r="CM10" s="34"/>
      <c r="CN10" s="36"/>
      <c r="CO10" s="36"/>
      <c r="CP10" s="36"/>
      <c r="CQ10" s="50"/>
      <c r="CR10" s="34"/>
      <c r="CS10" s="36"/>
      <c r="CT10" s="36"/>
      <c r="CU10" s="36"/>
      <c r="CV10" s="50"/>
      <c r="CW10" s="34"/>
      <c r="CX10" s="36"/>
      <c r="CY10" s="36"/>
      <c r="CZ10" s="36"/>
      <c r="DA10" s="50"/>
      <c r="DB10" s="34"/>
      <c r="DC10" s="36"/>
      <c r="DD10" s="36"/>
      <c r="DE10" s="36"/>
      <c r="DF10" s="50"/>
      <c r="DG10" s="34"/>
      <c r="DH10" s="36"/>
      <c r="DI10" s="36"/>
      <c r="DJ10" s="36"/>
      <c r="DK10" s="50"/>
      <c r="DL10" s="51"/>
      <c r="DM10" s="51"/>
      <c r="DN10" s="51"/>
    </row>
    <row r="11" spans="1:118" ht="15.75" customHeight="1">
      <c r="A11" s="57"/>
      <c r="B11" s="34" t="s">
        <v>409</v>
      </c>
      <c r="C11" s="48">
        <v>1806194</v>
      </c>
      <c r="D11" s="34" t="s">
        <v>410</v>
      </c>
      <c r="E11" s="75"/>
      <c r="F11" s="34" t="s">
        <v>289</v>
      </c>
      <c r="G11" s="81" t="s">
        <v>411</v>
      </c>
      <c r="H11" s="81" t="s">
        <v>412</v>
      </c>
      <c r="I11" s="82">
        <v>43900</v>
      </c>
      <c r="J11" s="34" t="s">
        <v>413</v>
      </c>
      <c r="K11" s="34" t="s">
        <v>410</v>
      </c>
      <c r="M11" s="34" t="s">
        <v>414</v>
      </c>
      <c r="N11" s="34" t="s">
        <v>168</v>
      </c>
      <c r="O11" s="34" t="s">
        <v>30</v>
      </c>
      <c r="P11" s="34" t="s">
        <v>31</v>
      </c>
      <c r="Q11" s="34" t="s">
        <v>35</v>
      </c>
      <c r="R11" s="36"/>
      <c r="S11" s="34" t="s">
        <v>170</v>
      </c>
      <c r="T11" s="59"/>
      <c r="U11" s="38">
        <v>0.1125</v>
      </c>
      <c r="V11" s="39"/>
      <c r="W11" s="39"/>
      <c r="X11" s="40"/>
      <c r="Y11" s="39"/>
      <c r="Z11" s="41"/>
      <c r="AA11" s="41"/>
      <c r="AB11" s="34" t="s">
        <v>36</v>
      </c>
      <c r="AC11" s="34" t="s">
        <v>179</v>
      </c>
      <c r="AD11" s="34" t="s">
        <v>38</v>
      </c>
      <c r="AE11" s="34" t="s">
        <v>190</v>
      </c>
      <c r="AF11" s="34" t="s">
        <v>181</v>
      </c>
      <c r="AG11" s="34" t="s">
        <v>39</v>
      </c>
      <c r="AH11" s="34" t="s">
        <v>190</v>
      </c>
      <c r="AI11" s="83">
        <v>203000000000</v>
      </c>
      <c r="AJ11" s="61" t="e">
        <f t="shared" ref="AJ11:AJ43" ca="1" si="6">_xludf.IFS(
AI11&gt;=1000000000000, "&gt; $1T",
AI11&gt;=500000000000, "$500B-$1T",
AI11&gt;=250000000000, "$250B-$500B",
AI11&gt;=100000000000, "$100B-$250B",
AI11&gt;=50000000000, "$50B-$100B",
AI11&gt;=25000000000, "$25B-$50B",
AI11&gt;=10000000000, "$10B-$25B",
AI11&gt;=5000000000, "$5B-$10B",
AI11&gt;=1000000000, "$1B-$5B",
AI11&gt;=500000000, "$500M-$1B",
AI11&gt;=250000000, "$250M-$500M",
AI11&gt;=100000000, "$100M-$250M",
AI11&gt;=50000000, "$50M-$100M",
AI11&gt;=25000000, "$25M-$50M",
AI11&lt;25000000, "&lt; $25M")</f>
        <v>#NAME?</v>
      </c>
      <c r="AK11" s="65">
        <v>5890000000</v>
      </c>
      <c r="AL11" s="61" t="e">
        <f t="shared" ref="AL11:AL43" ca="1" si="7">_xludf.IFS(
AK11&gt;=1000000000000, "&gt; $1T",
AK11&gt;=500000000000, "$500B-$1T",
AK11&gt;=250000000000, "$250B-$500B",
AK11&gt;=100000000000, "$100B-$250B",
AK11&gt;=50000000000, "$50B-$100B",
AK11&gt;=25000000000, "$25B-$50B",
AK11&gt;=10000000000, "$10B-$25B",
AK11&gt;=5000000000, "$5B-$10B",
AK11&gt;=1000000000, "$1B-$5B",
AK11&gt;=500000000, "$500M-$1B",
AK11&gt;=250000000, "$250M-$500M",
AK11&gt;=100000000, "$100M-$250M",
AK11&gt;=50000000, "$50M-$100M",
AK11&gt;=25000000, "$25M-$50M",
AK11&lt;25000000, "&lt; $25M")</f>
        <v>#NAME?</v>
      </c>
      <c r="AM11" s="84">
        <v>6.2E-2</v>
      </c>
      <c r="AN11" s="48"/>
      <c r="AO11" s="48"/>
      <c r="AP11" s="34" t="s">
        <v>39</v>
      </c>
      <c r="AQ11" s="34" t="s">
        <v>181</v>
      </c>
      <c r="AR11" s="34" t="s">
        <v>42</v>
      </c>
      <c r="AS11" s="34" t="s">
        <v>181</v>
      </c>
      <c r="AT11" s="34" t="s">
        <v>39</v>
      </c>
      <c r="AU11" s="34" t="s">
        <v>227</v>
      </c>
      <c r="AV11" s="34" t="s">
        <v>190</v>
      </c>
      <c r="AW11" s="34" t="s">
        <v>227</v>
      </c>
      <c r="AX11" s="34" t="s">
        <v>227</v>
      </c>
      <c r="AY11" s="65">
        <v>226084</v>
      </c>
      <c r="AZ11" s="65"/>
      <c r="BA11" s="65">
        <v>926.75</v>
      </c>
      <c r="BB11" s="83">
        <v>0</v>
      </c>
      <c r="BC11" s="38"/>
      <c r="BD11" s="38">
        <f t="shared" ref="BD11:BD43" si="8">IF(BB11=0, 1, BA11/BB11)</f>
        <v>1</v>
      </c>
      <c r="BE11" s="34"/>
      <c r="BF11" s="34" t="s">
        <v>219</v>
      </c>
      <c r="BG11" s="36"/>
      <c r="BH11" s="34" t="s">
        <v>190</v>
      </c>
      <c r="BI11" s="48">
        <v>0</v>
      </c>
      <c r="BJ11" s="48">
        <v>2</v>
      </c>
      <c r="BK11" s="34" t="s">
        <v>190</v>
      </c>
      <c r="BL11" s="34" t="s">
        <v>227</v>
      </c>
      <c r="BM11" s="34" t="s">
        <v>227</v>
      </c>
      <c r="BN11" s="34" t="s">
        <v>190</v>
      </c>
      <c r="BO11" s="48">
        <v>4</v>
      </c>
      <c r="BP11" s="48">
        <v>3</v>
      </c>
      <c r="BQ11" s="48">
        <v>0</v>
      </c>
      <c r="BR11" s="48">
        <v>0</v>
      </c>
      <c r="BS11" s="34"/>
      <c r="BT11" s="48">
        <v>2</v>
      </c>
      <c r="BU11" s="48">
        <v>0</v>
      </c>
      <c r="BV11" s="48">
        <v>36</v>
      </c>
      <c r="BW11" s="34" t="s">
        <v>190</v>
      </c>
      <c r="BX11" s="34"/>
      <c r="BY11" s="49">
        <v>0</v>
      </c>
      <c r="BZ11" s="49">
        <v>0</v>
      </c>
      <c r="CA11" s="49">
        <v>36</v>
      </c>
      <c r="CB11" s="50" t="s">
        <v>190</v>
      </c>
      <c r="CC11" s="34"/>
      <c r="CD11" s="50"/>
      <c r="CE11" s="50"/>
      <c r="CF11" s="50"/>
      <c r="CG11" s="50"/>
      <c r="CH11" s="34"/>
      <c r="CI11" s="50"/>
      <c r="CJ11" s="50"/>
      <c r="CK11" s="50"/>
      <c r="CL11" s="50"/>
      <c r="CM11" s="34"/>
      <c r="CN11" s="36"/>
      <c r="CO11" s="36"/>
      <c r="CP11" s="36"/>
      <c r="CQ11" s="50"/>
      <c r="CR11" s="34"/>
      <c r="CS11" s="36"/>
      <c r="CT11" s="36"/>
      <c r="CU11" s="36"/>
      <c r="CV11" s="50"/>
      <c r="CW11" s="34"/>
      <c r="CX11" s="36"/>
      <c r="CY11" s="36"/>
      <c r="CZ11" s="36"/>
      <c r="DA11" s="50"/>
      <c r="DB11" s="34"/>
      <c r="DC11" s="36"/>
      <c r="DD11" s="36"/>
      <c r="DE11" s="36"/>
      <c r="DF11" s="50"/>
      <c r="DG11" s="34"/>
      <c r="DH11" s="36"/>
      <c r="DI11" s="36"/>
      <c r="DJ11" s="36"/>
      <c r="DK11" s="50"/>
      <c r="DL11" s="51"/>
      <c r="DM11" s="51"/>
      <c r="DN11" s="51"/>
    </row>
    <row r="12" spans="1:118" ht="15.75" customHeight="1">
      <c r="A12" s="57"/>
      <c r="B12" s="34" t="s">
        <v>409</v>
      </c>
      <c r="C12" s="48">
        <v>1802569</v>
      </c>
      <c r="D12" s="34" t="s">
        <v>415</v>
      </c>
      <c r="E12" s="85">
        <v>43881.589583333334</v>
      </c>
      <c r="F12" s="34" t="s">
        <v>321</v>
      </c>
      <c r="G12" s="81" t="s">
        <v>416</v>
      </c>
      <c r="H12" s="81" t="s">
        <v>417</v>
      </c>
      <c r="I12" s="82">
        <v>43881</v>
      </c>
      <c r="J12" s="34" t="s">
        <v>418</v>
      </c>
      <c r="K12" s="34" t="s">
        <v>415</v>
      </c>
      <c r="M12" s="34" t="s">
        <v>167</v>
      </c>
      <c r="N12" s="34" t="s">
        <v>168</v>
      </c>
      <c r="O12" s="34" t="s">
        <v>30</v>
      </c>
      <c r="P12" s="34" t="s">
        <v>31</v>
      </c>
      <c r="Q12" s="34" t="s">
        <v>35</v>
      </c>
      <c r="R12" s="36"/>
      <c r="S12" s="34" t="s">
        <v>170</v>
      </c>
      <c r="T12" s="59"/>
      <c r="U12" s="38">
        <v>0.17</v>
      </c>
      <c r="V12" s="39"/>
      <c r="W12" s="39"/>
      <c r="X12" s="40"/>
      <c r="Y12" s="39"/>
      <c r="Z12" s="41"/>
      <c r="AA12" s="41"/>
      <c r="AB12" s="34" t="s">
        <v>36</v>
      </c>
      <c r="AC12" s="34" t="s">
        <v>179</v>
      </c>
      <c r="AD12" s="34" t="s">
        <v>38</v>
      </c>
      <c r="AE12" s="34" t="s">
        <v>190</v>
      </c>
      <c r="AF12" s="34" t="s">
        <v>181</v>
      </c>
      <c r="AG12" s="34" t="s">
        <v>39</v>
      </c>
      <c r="AH12" s="34" t="s">
        <v>190</v>
      </c>
      <c r="AI12" s="83">
        <v>899000000000</v>
      </c>
      <c r="AJ12" s="61" t="e">
        <f t="shared" ca="1" si="6"/>
        <v>#NAME?</v>
      </c>
      <c r="AK12" s="65">
        <v>36700000000</v>
      </c>
      <c r="AL12" s="61" t="e">
        <f t="shared" ca="1" si="7"/>
        <v>#NAME?</v>
      </c>
      <c r="AM12" s="84">
        <v>9.5000000000000001E-2</v>
      </c>
      <c r="AN12" s="48"/>
      <c r="AO12" s="48"/>
      <c r="AP12" s="34" t="s">
        <v>39</v>
      </c>
      <c r="AQ12" s="34" t="s">
        <v>181</v>
      </c>
      <c r="AR12" s="34" t="s">
        <v>42</v>
      </c>
      <c r="AS12" s="34" t="s">
        <v>181</v>
      </c>
      <c r="AT12" s="34" t="s">
        <v>39</v>
      </c>
      <c r="AU12" s="34" t="s">
        <v>190</v>
      </c>
      <c r="AV12" s="34" t="s">
        <v>190</v>
      </c>
      <c r="AW12" s="34" t="s">
        <v>190</v>
      </c>
      <c r="AX12" s="34" t="s">
        <v>190</v>
      </c>
      <c r="AY12" s="65">
        <v>0</v>
      </c>
      <c r="AZ12" s="65"/>
      <c r="BA12" s="65">
        <v>0</v>
      </c>
      <c r="BB12" s="83">
        <v>0</v>
      </c>
      <c r="BC12" s="38"/>
      <c r="BD12" s="38">
        <f t="shared" si="8"/>
        <v>1</v>
      </c>
      <c r="BE12" s="34"/>
      <c r="BF12" s="34" t="s">
        <v>183</v>
      </c>
      <c r="BG12" s="36"/>
      <c r="BH12" s="34" t="s">
        <v>190</v>
      </c>
      <c r="BI12" s="48">
        <v>0</v>
      </c>
      <c r="BJ12" s="48">
        <v>2</v>
      </c>
      <c r="BK12" s="34" t="s">
        <v>190</v>
      </c>
      <c r="BL12" s="34" t="s">
        <v>227</v>
      </c>
      <c r="BM12" s="34" t="s">
        <v>227</v>
      </c>
      <c r="BN12" s="34" t="s">
        <v>227</v>
      </c>
      <c r="BO12" s="48">
        <v>2</v>
      </c>
      <c r="BP12" s="48">
        <v>3</v>
      </c>
      <c r="BQ12" s="48">
        <v>0</v>
      </c>
      <c r="BR12" s="48">
        <v>0</v>
      </c>
      <c r="BS12" s="34"/>
      <c r="BT12" s="48">
        <v>10</v>
      </c>
      <c r="BU12" s="48">
        <v>0</v>
      </c>
      <c r="BV12" s="48">
        <v>40</v>
      </c>
      <c r="BW12" s="34" t="s">
        <v>227</v>
      </c>
      <c r="BX12" s="34"/>
      <c r="BY12" s="49">
        <v>7</v>
      </c>
      <c r="BZ12" s="49">
        <v>0</v>
      </c>
      <c r="CA12" s="49">
        <v>30</v>
      </c>
      <c r="CB12" s="50" t="s">
        <v>227</v>
      </c>
      <c r="CC12" s="34"/>
      <c r="CD12" s="50"/>
      <c r="CE12" s="50"/>
      <c r="CF12" s="50"/>
      <c r="CG12" s="50"/>
      <c r="CH12" s="34"/>
      <c r="CI12" s="50"/>
      <c r="CJ12" s="50"/>
      <c r="CK12" s="50"/>
      <c r="CL12" s="50"/>
      <c r="CM12" s="34"/>
      <c r="CN12" s="36"/>
      <c r="CO12" s="36"/>
      <c r="CP12" s="36"/>
      <c r="CQ12" s="50"/>
      <c r="CR12" s="34"/>
      <c r="CS12" s="36"/>
      <c r="CT12" s="36"/>
      <c r="CU12" s="36"/>
      <c r="CV12" s="50"/>
      <c r="CW12" s="34"/>
      <c r="CX12" s="36"/>
      <c r="CY12" s="36"/>
      <c r="CZ12" s="36"/>
      <c r="DA12" s="50"/>
      <c r="DB12" s="34"/>
      <c r="DC12" s="36"/>
      <c r="DD12" s="36"/>
      <c r="DE12" s="36"/>
      <c r="DF12" s="50"/>
      <c r="DG12" s="34"/>
      <c r="DH12" s="36"/>
      <c r="DI12" s="36"/>
      <c r="DJ12" s="36"/>
      <c r="DK12" s="50"/>
      <c r="DL12" s="51"/>
      <c r="DM12" s="51"/>
      <c r="DN12" s="51"/>
    </row>
    <row r="13" spans="1:118" ht="15.75" customHeight="1">
      <c r="A13" s="57"/>
      <c r="B13" s="34" t="s">
        <v>409</v>
      </c>
      <c r="C13" s="48">
        <v>1798432</v>
      </c>
      <c r="D13" s="34" t="s">
        <v>419</v>
      </c>
      <c r="E13" s="85"/>
      <c r="F13" s="34" t="s">
        <v>160</v>
      </c>
      <c r="G13" s="81" t="s">
        <v>420</v>
      </c>
      <c r="H13" s="81" t="s">
        <v>421</v>
      </c>
      <c r="I13" s="82">
        <v>43915</v>
      </c>
      <c r="J13" s="34" t="s">
        <v>422</v>
      </c>
      <c r="K13" s="34" t="s">
        <v>419</v>
      </c>
      <c r="M13" s="34" t="s">
        <v>167</v>
      </c>
      <c r="N13" s="34" t="s">
        <v>168</v>
      </c>
      <c r="O13" s="34" t="s">
        <v>30</v>
      </c>
      <c r="P13" s="34" t="s">
        <v>31</v>
      </c>
      <c r="Q13" s="34" t="s">
        <v>35</v>
      </c>
      <c r="R13" s="36"/>
      <c r="S13" s="34" t="s">
        <v>257</v>
      </c>
      <c r="T13" s="86">
        <v>1.6</v>
      </c>
      <c r="U13" s="87"/>
      <c r="V13" s="39"/>
      <c r="W13" s="39"/>
      <c r="X13" s="40"/>
      <c r="Y13" s="39"/>
      <c r="Z13" s="41"/>
      <c r="AA13" s="41"/>
      <c r="AB13" s="34" t="s">
        <v>36</v>
      </c>
      <c r="AC13" s="34" t="s">
        <v>179</v>
      </c>
      <c r="AD13" s="34" t="s">
        <v>38</v>
      </c>
      <c r="AE13" s="34" t="s">
        <v>190</v>
      </c>
      <c r="AF13" s="34" t="s">
        <v>39</v>
      </c>
      <c r="AG13" s="34" t="s">
        <v>181</v>
      </c>
      <c r="AH13" s="34" t="s">
        <v>190</v>
      </c>
      <c r="AI13" s="83">
        <v>30620000000</v>
      </c>
      <c r="AJ13" s="61" t="e">
        <f t="shared" ca="1" si="6"/>
        <v>#NAME?</v>
      </c>
      <c r="AK13" s="65">
        <v>2500000000</v>
      </c>
      <c r="AL13" s="61" t="e">
        <f t="shared" ca="1" si="7"/>
        <v>#NAME?</v>
      </c>
      <c r="AM13" s="84">
        <v>5.2999999999999999E-2</v>
      </c>
      <c r="AN13" s="48"/>
      <c r="AO13" s="48"/>
      <c r="AP13" s="34" t="s">
        <v>39</v>
      </c>
      <c r="AQ13" s="34" t="s">
        <v>181</v>
      </c>
      <c r="AR13" s="34" t="s">
        <v>42</v>
      </c>
      <c r="AS13" s="34" t="s">
        <v>181</v>
      </c>
      <c r="AT13" s="34" t="s">
        <v>39</v>
      </c>
      <c r="AU13" s="34" t="s">
        <v>190</v>
      </c>
      <c r="AV13" s="34" t="s">
        <v>190</v>
      </c>
      <c r="AW13" s="34" t="s">
        <v>190</v>
      </c>
      <c r="AX13" s="34" t="s">
        <v>190</v>
      </c>
      <c r="AY13" s="65">
        <v>0</v>
      </c>
      <c r="AZ13" s="65"/>
      <c r="BA13" s="65">
        <v>0</v>
      </c>
      <c r="BB13" s="83">
        <v>0</v>
      </c>
      <c r="BC13" s="38"/>
      <c r="BD13" s="38">
        <f t="shared" si="8"/>
        <v>1</v>
      </c>
      <c r="BE13" s="34"/>
      <c r="BF13" s="34" t="s">
        <v>183</v>
      </c>
      <c r="BG13" s="36"/>
      <c r="BH13" s="34" t="s">
        <v>190</v>
      </c>
      <c r="BI13" s="48">
        <v>0</v>
      </c>
      <c r="BJ13" s="48">
        <v>1</v>
      </c>
      <c r="BK13" s="34" t="s">
        <v>190</v>
      </c>
      <c r="BL13" s="34" t="s">
        <v>227</v>
      </c>
      <c r="BM13" s="34" t="s">
        <v>190</v>
      </c>
      <c r="BN13" s="34" t="s">
        <v>190</v>
      </c>
      <c r="BO13" s="48">
        <v>1</v>
      </c>
      <c r="BP13" s="48">
        <v>1</v>
      </c>
      <c r="BQ13" s="48">
        <v>0</v>
      </c>
      <c r="BR13" s="48">
        <v>0</v>
      </c>
      <c r="BS13" s="34"/>
      <c r="BT13" s="48">
        <v>0</v>
      </c>
      <c r="BU13" s="48">
        <v>0</v>
      </c>
      <c r="BV13" s="48">
        <v>44</v>
      </c>
      <c r="BW13" s="34" t="s">
        <v>190</v>
      </c>
      <c r="BX13" s="34"/>
      <c r="BY13" s="50"/>
      <c r="BZ13" s="50"/>
      <c r="CA13" s="50"/>
      <c r="CB13" s="50"/>
      <c r="CC13" s="34"/>
      <c r="CD13" s="50"/>
      <c r="CE13" s="50"/>
      <c r="CF13" s="50"/>
      <c r="CG13" s="50"/>
      <c r="CH13" s="34"/>
      <c r="CI13" s="50"/>
      <c r="CJ13" s="50"/>
      <c r="CK13" s="50"/>
      <c r="CL13" s="50"/>
      <c r="CM13" s="34"/>
      <c r="CN13" s="50"/>
      <c r="CO13" s="50"/>
      <c r="CP13" s="50"/>
      <c r="CQ13" s="50"/>
      <c r="CR13" s="34"/>
      <c r="CS13" s="50"/>
      <c r="CT13" s="50"/>
      <c r="CU13" s="50"/>
      <c r="CV13" s="50"/>
      <c r="CW13" s="34"/>
      <c r="CX13" s="50"/>
      <c r="CY13" s="50"/>
      <c r="CZ13" s="50"/>
      <c r="DA13" s="50"/>
      <c r="DB13" s="34"/>
      <c r="DC13" s="50"/>
      <c r="DD13" s="50"/>
      <c r="DE13" s="50"/>
      <c r="DF13" s="50"/>
      <c r="DG13" s="34"/>
      <c r="DH13" s="50"/>
      <c r="DI13" s="50"/>
      <c r="DJ13" s="50"/>
      <c r="DK13" s="50"/>
      <c r="DL13" s="51"/>
      <c r="DM13" s="51"/>
      <c r="DN13" s="51"/>
    </row>
    <row r="14" spans="1:118" ht="15.75" customHeight="1">
      <c r="A14" s="57"/>
      <c r="B14" s="34" t="s">
        <v>409</v>
      </c>
      <c r="C14" s="48">
        <v>1807625</v>
      </c>
      <c r="D14" s="34" t="s">
        <v>423</v>
      </c>
      <c r="E14" s="85"/>
      <c r="F14" s="34" t="s">
        <v>160</v>
      </c>
      <c r="G14" s="81" t="s">
        <v>424</v>
      </c>
      <c r="H14" s="81" t="s">
        <v>425</v>
      </c>
      <c r="I14" s="82">
        <v>43915</v>
      </c>
      <c r="J14" s="34" t="s">
        <v>427</v>
      </c>
      <c r="K14" s="34" t="s">
        <v>423</v>
      </c>
      <c r="M14" s="34" t="s">
        <v>167</v>
      </c>
      <c r="N14" s="34" t="s">
        <v>168</v>
      </c>
      <c r="O14" s="34" t="s">
        <v>30</v>
      </c>
      <c r="P14" s="34" t="s">
        <v>31</v>
      </c>
      <c r="Q14" s="34" t="s">
        <v>35</v>
      </c>
      <c r="R14" s="36"/>
      <c r="S14" s="34" t="s">
        <v>257</v>
      </c>
      <c r="T14" s="86">
        <v>1.3</v>
      </c>
      <c r="U14" s="87"/>
      <c r="V14" s="39"/>
      <c r="W14" s="39"/>
      <c r="X14" s="40"/>
      <c r="Y14" s="39"/>
      <c r="Z14" s="41"/>
      <c r="AA14" s="41"/>
      <c r="AB14" s="34" t="s">
        <v>36</v>
      </c>
      <c r="AC14" s="34" t="s">
        <v>179</v>
      </c>
      <c r="AD14" s="34" t="s">
        <v>38</v>
      </c>
      <c r="AE14" s="34" t="s">
        <v>190</v>
      </c>
      <c r="AF14" s="34" t="s">
        <v>39</v>
      </c>
      <c r="AG14" s="34" t="s">
        <v>181</v>
      </c>
      <c r="AH14" s="34" t="s">
        <v>190</v>
      </c>
      <c r="AI14" s="83">
        <v>1100000000</v>
      </c>
      <c r="AJ14" s="61" t="e">
        <f t="shared" ca="1" si="6"/>
        <v>#NAME?</v>
      </c>
      <c r="AK14" s="65">
        <v>892600000</v>
      </c>
      <c r="AL14" s="61" t="e">
        <f t="shared" ca="1" si="7"/>
        <v>#NAME?</v>
      </c>
      <c r="AM14" s="84">
        <v>0.124</v>
      </c>
      <c r="AN14" s="48"/>
      <c r="AO14" s="48"/>
      <c r="AP14" s="34" t="s">
        <v>39</v>
      </c>
      <c r="AQ14" s="34" t="s">
        <v>181</v>
      </c>
      <c r="AR14" s="34" t="s">
        <v>42</v>
      </c>
      <c r="AS14" s="34" t="s">
        <v>181</v>
      </c>
      <c r="AT14" s="34" t="s">
        <v>39</v>
      </c>
      <c r="AU14" s="34" t="s">
        <v>190</v>
      </c>
      <c r="AV14" s="34" t="s">
        <v>190</v>
      </c>
      <c r="AW14" s="34" t="s">
        <v>190</v>
      </c>
      <c r="AX14" s="34" t="s">
        <v>190</v>
      </c>
      <c r="AY14" s="65">
        <v>0</v>
      </c>
      <c r="AZ14" s="65"/>
      <c r="BA14" s="65">
        <v>0</v>
      </c>
      <c r="BB14" s="83">
        <v>0</v>
      </c>
      <c r="BC14" s="38"/>
      <c r="BD14" s="38">
        <f t="shared" si="8"/>
        <v>1</v>
      </c>
      <c r="BE14" s="34"/>
      <c r="BF14" s="34" t="s">
        <v>183</v>
      </c>
      <c r="BG14" s="36"/>
      <c r="BH14" s="34" t="s">
        <v>190</v>
      </c>
      <c r="BI14" s="48">
        <v>0</v>
      </c>
      <c r="BJ14" s="48">
        <v>1</v>
      </c>
      <c r="BK14" s="34" t="s">
        <v>190</v>
      </c>
      <c r="BL14" s="34" t="s">
        <v>190</v>
      </c>
      <c r="BM14" s="34" t="s">
        <v>190</v>
      </c>
      <c r="BN14" s="34" t="s">
        <v>190</v>
      </c>
      <c r="BO14" s="48">
        <v>0</v>
      </c>
      <c r="BP14" s="48">
        <v>1</v>
      </c>
      <c r="BQ14" s="48">
        <v>0</v>
      </c>
      <c r="BR14" s="48">
        <v>0</v>
      </c>
      <c r="BS14" s="34"/>
      <c r="BT14" s="48">
        <v>15</v>
      </c>
      <c r="BU14" s="48">
        <v>0</v>
      </c>
      <c r="BV14" s="48">
        <v>42</v>
      </c>
      <c r="BW14" s="34" t="s">
        <v>190</v>
      </c>
      <c r="BX14" s="34"/>
      <c r="BY14" s="50"/>
      <c r="BZ14" s="50"/>
      <c r="CA14" s="50"/>
      <c r="CB14" s="50"/>
      <c r="CC14" s="34"/>
      <c r="CD14" s="50"/>
      <c r="CE14" s="50"/>
      <c r="CF14" s="50"/>
      <c r="CG14" s="50"/>
      <c r="CH14" s="34"/>
      <c r="CI14" s="50"/>
      <c r="CJ14" s="50"/>
      <c r="CK14" s="50"/>
      <c r="CL14" s="50"/>
      <c r="CM14" s="34"/>
      <c r="CN14" s="36"/>
      <c r="CO14" s="36"/>
      <c r="CP14" s="36"/>
      <c r="CQ14" s="50"/>
      <c r="CR14" s="34"/>
      <c r="CS14" s="36"/>
      <c r="CT14" s="36"/>
      <c r="CU14" s="36"/>
      <c r="CV14" s="50"/>
      <c r="CW14" s="34"/>
      <c r="CX14" s="36"/>
      <c r="CY14" s="36"/>
      <c r="CZ14" s="36"/>
      <c r="DA14" s="50"/>
      <c r="DB14" s="34"/>
      <c r="DC14" s="36"/>
      <c r="DD14" s="36"/>
      <c r="DE14" s="36"/>
      <c r="DF14" s="50"/>
      <c r="DG14" s="34"/>
      <c r="DH14" s="36"/>
      <c r="DI14" s="36"/>
      <c r="DJ14" s="36"/>
      <c r="DK14" s="50"/>
      <c r="DL14" s="51"/>
      <c r="DM14" s="51"/>
      <c r="DN14" s="51"/>
    </row>
    <row r="15" spans="1:118" ht="15.75" customHeight="1">
      <c r="A15" s="57"/>
      <c r="B15" s="34" t="s">
        <v>409</v>
      </c>
      <c r="C15" s="48">
        <v>1807638</v>
      </c>
      <c r="D15" s="34" t="s">
        <v>428</v>
      </c>
      <c r="E15" s="85"/>
      <c r="F15" s="34" t="s">
        <v>160</v>
      </c>
      <c r="G15" s="81" t="s">
        <v>429</v>
      </c>
      <c r="H15" s="81" t="s">
        <v>430</v>
      </c>
      <c r="I15" s="82">
        <v>43916</v>
      </c>
      <c r="J15" s="34" t="s">
        <v>431</v>
      </c>
      <c r="K15" s="34" t="s">
        <v>428</v>
      </c>
      <c r="M15" s="34" t="s">
        <v>432</v>
      </c>
      <c r="N15" s="34" t="s">
        <v>168</v>
      </c>
      <c r="O15" s="34" t="s">
        <v>30</v>
      </c>
      <c r="P15" s="34" t="s">
        <v>31</v>
      </c>
      <c r="Q15" s="34" t="s">
        <v>35</v>
      </c>
      <c r="R15" s="36"/>
      <c r="S15" s="34" t="s">
        <v>257</v>
      </c>
      <c r="T15" s="86">
        <v>1.7</v>
      </c>
      <c r="U15" s="87"/>
      <c r="V15" s="39"/>
      <c r="W15" s="39"/>
      <c r="X15" s="40"/>
      <c r="Y15" s="39"/>
      <c r="Z15" s="41"/>
      <c r="AA15" s="41"/>
      <c r="AB15" s="34" t="s">
        <v>36</v>
      </c>
      <c r="AC15" s="34" t="s">
        <v>179</v>
      </c>
      <c r="AD15" s="34" t="s">
        <v>38</v>
      </c>
      <c r="AE15" s="34" t="s">
        <v>190</v>
      </c>
      <c r="AF15" s="34" t="s">
        <v>181</v>
      </c>
      <c r="AG15" s="34" t="s">
        <v>39</v>
      </c>
      <c r="AH15" s="34" t="s">
        <v>190</v>
      </c>
      <c r="AI15" s="83">
        <v>87900000000</v>
      </c>
      <c r="AJ15" s="61" t="e">
        <f t="shared" ca="1" si="6"/>
        <v>#NAME?</v>
      </c>
      <c r="AK15" s="65">
        <v>3700000000</v>
      </c>
      <c r="AL15" s="61" t="e">
        <f t="shared" ca="1" si="7"/>
        <v>#NAME?</v>
      </c>
      <c r="AM15" s="84">
        <v>1.7999999999999999E-2</v>
      </c>
      <c r="AN15" s="48"/>
      <c r="AO15" s="48"/>
      <c r="AP15" s="34" t="s">
        <v>39</v>
      </c>
      <c r="AQ15" s="34" t="s">
        <v>181</v>
      </c>
      <c r="AR15" s="34" t="s">
        <v>42</v>
      </c>
      <c r="AS15" s="34" t="s">
        <v>181</v>
      </c>
      <c r="AT15" s="34" t="s">
        <v>39</v>
      </c>
      <c r="AU15" s="34" t="s">
        <v>190</v>
      </c>
      <c r="AV15" s="34" t="s">
        <v>190</v>
      </c>
      <c r="AW15" s="34" t="s">
        <v>190</v>
      </c>
      <c r="AX15" s="34" t="s">
        <v>190</v>
      </c>
      <c r="AY15" s="65">
        <v>0</v>
      </c>
      <c r="AZ15" s="65"/>
      <c r="BA15" s="65">
        <v>0</v>
      </c>
      <c r="BB15" s="83">
        <v>0</v>
      </c>
      <c r="BC15" s="38"/>
      <c r="BD15" s="38">
        <f t="shared" si="8"/>
        <v>1</v>
      </c>
      <c r="BE15" s="34"/>
      <c r="BF15" s="34" t="s">
        <v>183</v>
      </c>
      <c r="BG15" s="36"/>
      <c r="BH15" s="34" t="s">
        <v>190</v>
      </c>
      <c r="BI15" s="48">
        <v>0</v>
      </c>
      <c r="BJ15" s="48">
        <v>1</v>
      </c>
      <c r="BK15" s="34" t="s">
        <v>190</v>
      </c>
      <c r="BL15" s="34" t="s">
        <v>190</v>
      </c>
      <c r="BM15" s="34" t="s">
        <v>190</v>
      </c>
      <c r="BN15" s="34" t="s">
        <v>190</v>
      </c>
      <c r="BO15" s="48">
        <v>0</v>
      </c>
      <c r="BP15" s="48">
        <v>1</v>
      </c>
      <c r="BQ15" s="48">
        <v>0</v>
      </c>
      <c r="BR15" s="48">
        <v>0</v>
      </c>
      <c r="BS15" s="34"/>
      <c r="BT15" s="48">
        <v>20</v>
      </c>
      <c r="BU15" s="48">
        <v>0</v>
      </c>
      <c r="BV15" s="48">
        <v>42</v>
      </c>
      <c r="BW15" s="34" t="s">
        <v>190</v>
      </c>
      <c r="BX15" s="34"/>
      <c r="BY15" s="50"/>
      <c r="BZ15" s="50"/>
      <c r="CA15" s="50"/>
      <c r="CB15" s="50"/>
      <c r="CC15" s="34"/>
      <c r="CD15" s="50"/>
      <c r="CE15" s="50"/>
      <c r="CF15" s="50"/>
      <c r="CG15" s="50"/>
      <c r="CH15" s="34"/>
      <c r="CI15" s="50"/>
      <c r="CJ15" s="50"/>
      <c r="CK15" s="50"/>
      <c r="CL15" s="50"/>
      <c r="CM15" s="34"/>
      <c r="CN15" s="50"/>
      <c r="CO15" s="50"/>
      <c r="CP15" s="50"/>
      <c r="CQ15" s="50"/>
      <c r="CR15" s="34"/>
      <c r="CS15" s="50"/>
      <c r="CT15" s="50"/>
      <c r="CU15" s="50"/>
      <c r="CV15" s="50"/>
      <c r="CW15" s="34"/>
      <c r="CX15" s="50"/>
      <c r="CY15" s="50"/>
      <c r="CZ15" s="50"/>
      <c r="DA15" s="50"/>
      <c r="DB15" s="34"/>
      <c r="DC15" s="50"/>
      <c r="DD15" s="50"/>
      <c r="DE15" s="50"/>
      <c r="DF15" s="50"/>
      <c r="DG15" s="34"/>
      <c r="DH15" s="50"/>
      <c r="DI15" s="50"/>
      <c r="DJ15" s="50"/>
      <c r="DK15" s="50"/>
      <c r="DL15" s="51"/>
      <c r="DM15" s="51"/>
      <c r="DN15" s="51"/>
    </row>
    <row r="16" spans="1:118" ht="15.75" customHeight="1">
      <c r="A16" s="57"/>
      <c r="B16" s="88" t="s">
        <v>433</v>
      </c>
      <c r="C16" s="89">
        <v>1787344</v>
      </c>
      <c r="D16" s="34" t="s">
        <v>434</v>
      </c>
      <c r="E16" s="90">
        <v>43720.413194444445</v>
      </c>
      <c r="F16" s="88" t="s">
        <v>344</v>
      </c>
      <c r="G16" s="81" t="s">
        <v>435</v>
      </c>
      <c r="H16" s="81" t="s">
        <v>436</v>
      </c>
      <c r="I16" s="91">
        <v>43712</v>
      </c>
      <c r="J16" s="92" t="s">
        <v>437</v>
      </c>
      <c r="K16" s="92" t="s">
        <v>438</v>
      </c>
      <c r="M16" s="88" t="s">
        <v>439</v>
      </c>
      <c r="N16" s="88" t="s">
        <v>168</v>
      </c>
      <c r="O16" s="88" t="s">
        <v>30</v>
      </c>
      <c r="P16" s="88" t="s">
        <v>31</v>
      </c>
      <c r="Q16" s="88" t="s">
        <v>35</v>
      </c>
      <c r="R16" s="93"/>
      <c r="S16" s="88" t="s">
        <v>257</v>
      </c>
      <c r="T16" s="94">
        <v>2</v>
      </c>
      <c r="U16" s="87"/>
      <c r="V16" s="39"/>
      <c r="W16" s="39"/>
      <c r="X16" s="40"/>
      <c r="Y16" s="39"/>
      <c r="Z16" s="41"/>
      <c r="AA16" s="41"/>
      <c r="AB16" s="88" t="s">
        <v>36</v>
      </c>
      <c r="AC16" s="88" t="s">
        <v>218</v>
      </c>
      <c r="AD16" s="88" t="s">
        <v>38</v>
      </c>
      <c r="AE16" s="88" t="s">
        <v>190</v>
      </c>
      <c r="AF16" s="88" t="s">
        <v>181</v>
      </c>
      <c r="AG16" s="88" t="s">
        <v>39</v>
      </c>
      <c r="AH16" s="88" t="s">
        <v>190</v>
      </c>
      <c r="AI16" s="39">
        <v>707200000</v>
      </c>
      <c r="AJ16" s="61" t="e">
        <f t="shared" ca="1" si="6"/>
        <v>#NAME?</v>
      </c>
      <c r="AK16" s="39">
        <v>47146667</v>
      </c>
      <c r="AL16" s="61" t="e">
        <f t="shared" ca="1" si="7"/>
        <v>#NAME?</v>
      </c>
      <c r="AM16" s="95">
        <v>9.1999999999999998E-2</v>
      </c>
      <c r="AN16" s="89"/>
      <c r="AO16" s="89"/>
      <c r="AP16" s="88" t="s">
        <v>181</v>
      </c>
      <c r="AQ16" s="88" t="s">
        <v>181</v>
      </c>
      <c r="AR16" s="88" t="s">
        <v>42</v>
      </c>
      <c r="AS16" s="34" t="s">
        <v>181</v>
      </c>
      <c r="AT16" s="34" t="s">
        <v>39</v>
      </c>
      <c r="AU16" s="88" t="s">
        <v>227</v>
      </c>
      <c r="AV16" s="88" t="s">
        <v>190</v>
      </c>
      <c r="AW16" s="88" t="s">
        <v>190</v>
      </c>
      <c r="AX16" s="88" t="s">
        <v>190</v>
      </c>
      <c r="AY16" s="39">
        <v>0</v>
      </c>
      <c r="AZ16" s="39"/>
      <c r="BA16" s="39">
        <v>0</v>
      </c>
      <c r="BB16" s="39">
        <v>0</v>
      </c>
      <c r="BC16" s="38"/>
      <c r="BD16" s="38">
        <f t="shared" si="8"/>
        <v>1</v>
      </c>
      <c r="BE16" s="34"/>
      <c r="BF16" s="88" t="s">
        <v>43</v>
      </c>
      <c r="BG16" s="36"/>
      <c r="BH16" s="88" t="s">
        <v>190</v>
      </c>
      <c r="BI16" s="89">
        <v>0</v>
      </c>
      <c r="BJ16" s="89">
        <v>1</v>
      </c>
      <c r="BK16" s="51" t="s">
        <v>190</v>
      </c>
      <c r="BL16" s="88" t="s">
        <v>227</v>
      </c>
      <c r="BM16" s="88" t="s">
        <v>190</v>
      </c>
      <c r="BN16" s="88" t="s">
        <v>190</v>
      </c>
      <c r="BO16" s="89">
        <v>2</v>
      </c>
      <c r="BP16" s="89">
        <v>2</v>
      </c>
      <c r="BQ16" s="89">
        <v>0</v>
      </c>
      <c r="BR16" s="89">
        <v>0</v>
      </c>
      <c r="BS16" s="51"/>
      <c r="BT16" s="89">
        <v>4</v>
      </c>
      <c r="BU16" s="89">
        <v>0</v>
      </c>
      <c r="BV16" s="89">
        <v>31</v>
      </c>
      <c r="BW16" s="88" t="s">
        <v>190</v>
      </c>
      <c r="BX16" s="51"/>
      <c r="BY16" s="36"/>
      <c r="BZ16" s="36"/>
      <c r="CA16" s="36"/>
      <c r="CB16" s="36"/>
      <c r="CC16" s="51"/>
      <c r="CD16" s="36"/>
      <c r="CE16" s="36"/>
      <c r="CF16" s="36"/>
      <c r="CG16" s="36"/>
      <c r="CH16" s="51"/>
      <c r="CI16" s="36"/>
      <c r="CJ16" s="36"/>
      <c r="CK16" s="36"/>
      <c r="CL16" s="36"/>
      <c r="CM16" s="51"/>
      <c r="CN16" s="36"/>
      <c r="CO16" s="36"/>
      <c r="CP16" s="36"/>
      <c r="CQ16" s="36"/>
      <c r="CR16" s="51"/>
      <c r="CS16" s="36"/>
      <c r="CT16" s="36"/>
      <c r="CU16" s="36"/>
      <c r="CV16" s="36"/>
      <c r="CW16" s="51"/>
      <c r="CX16" s="36"/>
      <c r="CY16" s="36"/>
      <c r="CZ16" s="36"/>
      <c r="DA16" s="36"/>
      <c r="DB16" s="51"/>
      <c r="DC16" s="36"/>
      <c r="DD16" s="36"/>
      <c r="DE16" s="36"/>
      <c r="DF16" s="36"/>
      <c r="DG16" s="51"/>
      <c r="DH16" s="36"/>
      <c r="DI16" s="36"/>
      <c r="DJ16" s="36"/>
      <c r="DK16" s="36"/>
      <c r="DL16" s="51"/>
      <c r="DM16" s="51"/>
      <c r="DN16" s="51"/>
    </row>
    <row r="17" spans="1:118" ht="15.75" customHeight="1">
      <c r="A17" s="57"/>
      <c r="B17" s="88" t="s">
        <v>433</v>
      </c>
      <c r="C17" s="89">
        <v>1796230</v>
      </c>
      <c r="D17" s="34" t="s">
        <v>440</v>
      </c>
      <c r="E17" s="90">
        <v>43809.584722222222</v>
      </c>
      <c r="F17" s="88" t="s">
        <v>160</v>
      </c>
      <c r="G17" s="81" t="s">
        <v>441</v>
      </c>
      <c r="H17" s="81" t="s">
        <v>442</v>
      </c>
      <c r="I17" s="91">
        <v>43809</v>
      </c>
      <c r="J17" s="92" t="s">
        <v>443</v>
      </c>
      <c r="K17" s="34" t="s">
        <v>440</v>
      </c>
      <c r="M17" s="88" t="s">
        <v>167</v>
      </c>
      <c r="N17" s="88" t="s">
        <v>168</v>
      </c>
      <c r="O17" s="88" t="s">
        <v>30</v>
      </c>
      <c r="P17" s="88" t="s">
        <v>31</v>
      </c>
      <c r="Q17" s="88" t="s">
        <v>35</v>
      </c>
      <c r="R17" s="36"/>
      <c r="S17" s="88" t="s">
        <v>257</v>
      </c>
      <c r="T17" s="94">
        <v>1.5</v>
      </c>
      <c r="U17" s="87"/>
      <c r="V17" s="39"/>
      <c r="W17" s="39"/>
      <c r="X17" s="40"/>
      <c r="Y17" s="39"/>
      <c r="Z17" s="41"/>
      <c r="AA17" s="41"/>
      <c r="AB17" s="88" t="s">
        <v>36</v>
      </c>
      <c r="AC17" s="88" t="s">
        <v>218</v>
      </c>
      <c r="AD17" s="88" t="s">
        <v>38</v>
      </c>
      <c r="AE17" s="88" t="s">
        <v>190</v>
      </c>
      <c r="AF17" s="88" t="s">
        <v>181</v>
      </c>
      <c r="AG17" s="88" t="s">
        <v>39</v>
      </c>
      <c r="AH17" s="88" t="s">
        <v>190</v>
      </c>
      <c r="AI17" s="39">
        <v>63100000000</v>
      </c>
      <c r="AJ17" s="61" t="e">
        <f t="shared" ca="1" si="6"/>
        <v>#NAME?</v>
      </c>
      <c r="AK17" s="39">
        <v>4000000</v>
      </c>
      <c r="AL17" s="61" t="e">
        <f t="shared" ca="1" si="7"/>
        <v>#NAME?</v>
      </c>
      <c r="AM17" s="95">
        <v>3.3000000000000002E-2</v>
      </c>
      <c r="AN17" s="89"/>
      <c r="AO17" s="89"/>
      <c r="AP17" s="88" t="s">
        <v>181</v>
      </c>
      <c r="AQ17" s="88" t="s">
        <v>181</v>
      </c>
      <c r="AR17" s="88" t="s">
        <v>42</v>
      </c>
      <c r="AS17" s="34" t="s">
        <v>181</v>
      </c>
      <c r="AT17" s="34" t="s">
        <v>39</v>
      </c>
      <c r="AU17" s="88" t="s">
        <v>190</v>
      </c>
      <c r="AV17" s="88" t="s">
        <v>190</v>
      </c>
      <c r="AW17" s="88" t="s">
        <v>190</v>
      </c>
      <c r="AX17" s="88" t="s">
        <v>190</v>
      </c>
      <c r="AY17" s="39">
        <v>0</v>
      </c>
      <c r="AZ17" s="39"/>
      <c r="BA17" s="39">
        <v>0</v>
      </c>
      <c r="BB17" s="96">
        <v>0</v>
      </c>
      <c r="BC17" s="38"/>
      <c r="BD17" s="38">
        <f t="shared" si="8"/>
        <v>1</v>
      </c>
      <c r="BE17" s="34"/>
      <c r="BF17" s="88" t="s">
        <v>43</v>
      </c>
      <c r="BG17" s="36"/>
      <c r="BH17" s="88" t="s">
        <v>190</v>
      </c>
      <c r="BI17" s="89">
        <v>0</v>
      </c>
      <c r="BJ17" s="89">
        <v>2</v>
      </c>
      <c r="BK17" s="88" t="s">
        <v>190</v>
      </c>
      <c r="BL17" s="88" t="s">
        <v>227</v>
      </c>
      <c r="BM17" s="88" t="s">
        <v>227</v>
      </c>
      <c r="BN17" s="88" t="s">
        <v>190</v>
      </c>
      <c r="BO17" s="89">
        <v>0</v>
      </c>
      <c r="BP17" s="89">
        <v>2</v>
      </c>
      <c r="BQ17" s="89">
        <v>0</v>
      </c>
      <c r="BR17" s="89">
        <v>0</v>
      </c>
      <c r="BS17" s="51"/>
      <c r="BT17" s="89">
        <v>0</v>
      </c>
      <c r="BU17" s="89">
        <v>0</v>
      </c>
      <c r="BV17" s="89">
        <v>42</v>
      </c>
      <c r="BW17" s="88" t="s">
        <v>190</v>
      </c>
      <c r="BX17" s="51"/>
      <c r="BY17" s="97">
        <v>0</v>
      </c>
      <c r="BZ17" s="97">
        <v>0</v>
      </c>
      <c r="CA17" s="36"/>
      <c r="CB17" s="93" t="s">
        <v>190</v>
      </c>
      <c r="CC17" s="51"/>
      <c r="CD17" s="36"/>
      <c r="CE17" s="36"/>
      <c r="CF17" s="36"/>
      <c r="CG17" s="36"/>
      <c r="CH17" s="51"/>
      <c r="CI17" s="36"/>
      <c r="CJ17" s="36"/>
      <c r="CK17" s="36"/>
      <c r="CL17" s="36"/>
      <c r="CM17" s="51"/>
      <c r="CN17" s="36"/>
      <c r="CO17" s="36"/>
      <c r="CP17" s="36"/>
      <c r="CQ17" s="36"/>
      <c r="CR17" s="51"/>
      <c r="CS17" s="36"/>
      <c r="CT17" s="36"/>
      <c r="CU17" s="36"/>
      <c r="CV17" s="36"/>
      <c r="CW17" s="51"/>
      <c r="CX17" s="36"/>
      <c r="CY17" s="36"/>
      <c r="CZ17" s="36"/>
      <c r="DA17" s="36"/>
      <c r="DB17" s="51"/>
      <c r="DC17" s="36"/>
      <c r="DD17" s="36"/>
      <c r="DE17" s="36"/>
      <c r="DF17" s="36"/>
      <c r="DG17" s="51"/>
      <c r="DH17" s="36"/>
      <c r="DI17" s="36"/>
      <c r="DJ17" s="36"/>
      <c r="DK17" s="36"/>
      <c r="DL17" s="51"/>
      <c r="DM17" s="51"/>
      <c r="DN17" s="51"/>
    </row>
    <row r="18" spans="1:118" ht="15.75" customHeight="1">
      <c r="A18" s="57"/>
      <c r="B18" s="88" t="s">
        <v>433</v>
      </c>
      <c r="C18" s="89">
        <v>1802485</v>
      </c>
      <c r="D18" s="34" t="s">
        <v>444</v>
      </c>
      <c r="E18" s="90">
        <v>43885.482638888891</v>
      </c>
      <c r="F18" s="88" t="s">
        <v>289</v>
      </c>
      <c r="G18" s="81" t="s">
        <v>445</v>
      </c>
      <c r="H18" s="81" t="s">
        <v>446</v>
      </c>
      <c r="I18" s="91">
        <v>43880</v>
      </c>
      <c r="J18" s="34" t="s">
        <v>447</v>
      </c>
      <c r="K18" s="34" t="s">
        <v>448</v>
      </c>
      <c r="M18" s="88" t="s">
        <v>171</v>
      </c>
      <c r="N18" s="88" t="s">
        <v>168</v>
      </c>
      <c r="O18" s="88" t="s">
        <v>30</v>
      </c>
      <c r="P18" s="88" t="s">
        <v>174</v>
      </c>
      <c r="Q18" s="88" t="s">
        <v>35</v>
      </c>
      <c r="R18" s="36"/>
      <c r="S18" s="88" t="s">
        <v>170</v>
      </c>
      <c r="T18" s="59"/>
      <c r="U18" s="98">
        <v>0.125</v>
      </c>
      <c r="V18" s="39"/>
      <c r="W18" s="39"/>
      <c r="X18" s="40"/>
      <c r="Y18" s="39"/>
      <c r="Z18" s="41"/>
      <c r="AA18" s="41"/>
      <c r="AB18" s="88" t="s">
        <v>36</v>
      </c>
      <c r="AC18" s="88" t="s">
        <v>179</v>
      </c>
      <c r="AD18" s="88" t="s">
        <v>38</v>
      </c>
      <c r="AE18" s="88" t="s">
        <v>190</v>
      </c>
      <c r="AF18" s="88" t="s">
        <v>181</v>
      </c>
      <c r="AG18" s="88" t="s">
        <v>181</v>
      </c>
      <c r="AH18" s="88" t="s">
        <v>190</v>
      </c>
      <c r="AI18" s="96">
        <v>2500000000</v>
      </c>
      <c r="AJ18" s="61" t="e">
        <f t="shared" ca="1" si="6"/>
        <v>#NAME?</v>
      </c>
      <c r="AK18" s="96">
        <v>25000000</v>
      </c>
      <c r="AL18" s="61" t="e">
        <f t="shared" ca="1" si="7"/>
        <v>#NAME?</v>
      </c>
      <c r="AM18" s="95">
        <v>0.12</v>
      </c>
      <c r="AN18" s="89"/>
      <c r="AO18" s="89"/>
      <c r="AP18" s="88" t="s">
        <v>181</v>
      </c>
      <c r="AQ18" s="88" t="s">
        <v>181</v>
      </c>
      <c r="AR18" s="88" t="s">
        <v>42</v>
      </c>
      <c r="AS18" s="34" t="s">
        <v>181</v>
      </c>
      <c r="AT18" s="34" t="s">
        <v>39</v>
      </c>
      <c r="AU18" s="88" t="s">
        <v>190</v>
      </c>
      <c r="AV18" s="88" t="s">
        <v>190</v>
      </c>
      <c r="AW18" s="88" t="s">
        <v>227</v>
      </c>
      <c r="AX18" s="88" t="s">
        <v>227</v>
      </c>
      <c r="AY18" s="96">
        <v>42999</v>
      </c>
      <c r="AZ18" s="96"/>
      <c r="BA18" s="96">
        <v>1019</v>
      </c>
      <c r="BB18" s="96">
        <v>0</v>
      </c>
      <c r="BC18" s="38"/>
      <c r="BD18" s="38">
        <f t="shared" si="8"/>
        <v>1</v>
      </c>
      <c r="BE18" s="34"/>
      <c r="BF18" s="88" t="s">
        <v>202</v>
      </c>
      <c r="BG18" s="36"/>
      <c r="BH18" s="88" t="s">
        <v>190</v>
      </c>
      <c r="BI18" s="89">
        <v>0</v>
      </c>
      <c r="BJ18" s="89">
        <v>2</v>
      </c>
      <c r="BK18" s="88" t="s">
        <v>190</v>
      </c>
      <c r="BL18" s="88" t="s">
        <v>227</v>
      </c>
      <c r="BM18" s="88" t="s">
        <v>227</v>
      </c>
      <c r="BN18" s="88" t="s">
        <v>190</v>
      </c>
      <c r="BO18" s="89">
        <v>3</v>
      </c>
      <c r="BP18" s="89">
        <v>3</v>
      </c>
      <c r="BQ18" s="89">
        <v>0</v>
      </c>
      <c r="BR18" s="89">
        <v>0</v>
      </c>
      <c r="BS18" s="51"/>
      <c r="BT18" s="99">
        <v>1</v>
      </c>
      <c r="BU18" s="99">
        <v>0</v>
      </c>
      <c r="BV18" s="99">
        <v>51</v>
      </c>
      <c r="BW18" s="51" t="s">
        <v>190</v>
      </c>
      <c r="BX18" s="51"/>
      <c r="BY18" s="100">
        <v>1</v>
      </c>
      <c r="BZ18" s="100">
        <v>0</v>
      </c>
      <c r="CA18" s="36"/>
      <c r="CB18" s="36"/>
      <c r="CC18" s="51"/>
      <c r="CD18" s="36"/>
      <c r="CE18" s="36"/>
      <c r="CF18" s="36"/>
      <c r="CG18" s="36"/>
      <c r="CH18" s="51"/>
      <c r="CI18" s="36"/>
      <c r="CJ18" s="36"/>
      <c r="CK18" s="36"/>
      <c r="CL18" s="36"/>
      <c r="CM18" s="51"/>
      <c r="CN18" s="36"/>
      <c r="CO18" s="36"/>
      <c r="CP18" s="36"/>
      <c r="CQ18" s="36"/>
      <c r="CR18" s="51"/>
      <c r="CS18" s="36"/>
      <c r="CT18" s="36"/>
      <c r="CU18" s="36"/>
      <c r="CV18" s="36"/>
      <c r="CW18" s="51"/>
      <c r="CX18" s="36"/>
      <c r="CY18" s="36"/>
      <c r="CZ18" s="36"/>
      <c r="DA18" s="36"/>
      <c r="DB18" s="51"/>
      <c r="DC18" s="36"/>
      <c r="DD18" s="36"/>
      <c r="DE18" s="36"/>
      <c r="DF18" s="36"/>
      <c r="DG18" s="51"/>
      <c r="DH18" s="36"/>
      <c r="DI18" s="36"/>
      <c r="DJ18" s="36"/>
      <c r="DK18" s="36"/>
      <c r="DL18" s="51"/>
      <c r="DM18" s="51"/>
      <c r="DN18" s="51"/>
    </row>
    <row r="19" spans="1:118" ht="15.75" customHeight="1">
      <c r="A19" s="57"/>
      <c r="B19" s="88" t="s">
        <v>433</v>
      </c>
      <c r="C19" s="89">
        <v>1804109</v>
      </c>
      <c r="D19" s="34" t="s">
        <v>449</v>
      </c>
      <c r="E19" s="90">
        <v>43886.518055555556</v>
      </c>
      <c r="F19" s="88" t="s">
        <v>160</v>
      </c>
      <c r="G19" s="81" t="s">
        <v>450</v>
      </c>
      <c r="H19" s="81" t="s">
        <v>451</v>
      </c>
      <c r="I19" s="91">
        <v>43885</v>
      </c>
      <c r="J19" s="34" t="s">
        <v>452</v>
      </c>
      <c r="K19" s="34" t="s">
        <v>453</v>
      </c>
      <c r="M19" s="88" t="s">
        <v>454</v>
      </c>
      <c r="N19" s="88" t="s">
        <v>168</v>
      </c>
      <c r="O19" s="88" t="s">
        <v>30</v>
      </c>
      <c r="P19" s="88" t="s">
        <v>174</v>
      </c>
      <c r="Q19" s="88" t="s">
        <v>35</v>
      </c>
      <c r="R19" s="36"/>
      <c r="S19" s="88" t="s">
        <v>257</v>
      </c>
      <c r="T19" s="94">
        <v>1.8</v>
      </c>
      <c r="U19" s="87"/>
      <c r="V19" s="39"/>
      <c r="W19" s="39"/>
      <c r="X19" s="40"/>
      <c r="Y19" s="39"/>
      <c r="Z19" s="41"/>
      <c r="AA19" s="41"/>
      <c r="AB19" s="88" t="s">
        <v>36</v>
      </c>
      <c r="AC19" s="88" t="s">
        <v>218</v>
      </c>
      <c r="AD19" s="88" t="s">
        <v>38</v>
      </c>
      <c r="AE19" s="88" t="s">
        <v>190</v>
      </c>
      <c r="AF19" s="88" t="s">
        <v>39</v>
      </c>
      <c r="AG19" s="88" t="s">
        <v>39</v>
      </c>
      <c r="AH19" s="88" t="s">
        <v>190</v>
      </c>
      <c r="AI19" s="39">
        <v>72000000000</v>
      </c>
      <c r="AJ19" s="61" t="e">
        <f t="shared" ca="1" si="6"/>
        <v>#NAME?</v>
      </c>
      <c r="AK19" s="39">
        <v>72000000000</v>
      </c>
      <c r="AL19" s="61" t="e">
        <f t="shared" ca="1" si="7"/>
        <v>#NAME?</v>
      </c>
      <c r="AM19" s="95">
        <v>0.04</v>
      </c>
      <c r="AN19" s="89"/>
      <c r="AO19" s="89"/>
      <c r="AP19" s="88" t="s">
        <v>181</v>
      </c>
      <c r="AQ19" s="88" t="s">
        <v>181</v>
      </c>
      <c r="AR19" s="88" t="s">
        <v>42</v>
      </c>
      <c r="AS19" s="34" t="s">
        <v>181</v>
      </c>
      <c r="AT19" s="34" t="s">
        <v>39</v>
      </c>
      <c r="AU19" s="88" t="s">
        <v>190</v>
      </c>
      <c r="AV19" s="88" t="s">
        <v>190</v>
      </c>
      <c r="AW19" s="88" t="s">
        <v>227</v>
      </c>
      <c r="AX19" s="88" t="s">
        <v>227</v>
      </c>
      <c r="AY19" s="39">
        <v>0</v>
      </c>
      <c r="AZ19" s="39"/>
      <c r="BA19" s="39">
        <v>0</v>
      </c>
      <c r="BB19" s="39">
        <v>0</v>
      </c>
      <c r="BC19" s="38"/>
      <c r="BD19" s="38">
        <f t="shared" si="8"/>
        <v>1</v>
      </c>
      <c r="BE19" s="34"/>
      <c r="BF19" s="88" t="s">
        <v>202</v>
      </c>
      <c r="BG19" s="36"/>
      <c r="BH19" s="88" t="s">
        <v>190</v>
      </c>
      <c r="BI19" s="89">
        <v>0</v>
      </c>
      <c r="BJ19" s="89">
        <v>1</v>
      </c>
      <c r="BK19" s="51" t="s">
        <v>190</v>
      </c>
      <c r="BL19" s="88" t="s">
        <v>190</v>
      </c>
      <c r="BM19" s="88" t="s">
        <v>190</v>
      </c>
      <c r="BN19" s="88" t="s">
        <v>190</v>
      </c>
      <c r="BO19" s="89">
        <v>1</v>
      </c>
      <c r="BP19" s="89">
        <v>3</v>
      </c>
      <c r="BQ19" s="89">
        <v>0</v>
      </c>
      <c r="BR19" s="89">
        <v>0</v>
      </c>
      <c r="BS19" s="51"/>
      <c r="BT19" s="99">
        <v>2</v>
      </c>
      <c r="BU19" s="99">
        <v>0</v>
      </c>
      <c r="BV19" s="99">
        <v>50</v>
      </c>
      <c r="BW19" s="51" t="s">
        <v>190</v>
      </c>
      <c r="BX19" s="51"/>
      <c r="BY19" s="36"/>
      <c r="BZ19" s="36"/>
      <c r="CA19" s="36"/>
      <c r="CB19" s="36"/>
      <c r="CC19" s="51"/>
      <c r="CD19" s="36"/>
      <c r="CE19" s="36"/>
      <c r="CF19" s="36"/>
      <c r="CG19" s="36"/>
      <c r="CH19" s="51"/>
      <c r="CI19" s="36"/>
      <c r="CJ19" s="36"/>
      <c r="CK19" s="36"/>
      <c r="CL19" s="36"/>
      <c r="CM19" s="51"/>
      <c r="CN19" s="36"/>
      <c r="CO19" s="36"/>
      <c r="CP19" s="36"/>
      <c r="CQ19" s="36"/>
      <c r="CR19" s="51"/>
      <c r="CS19" s="36"/>
      <c r="CT19" s="36"/>
      <c r="CU19" s="36"/>
      <c r="CV19" s="36"/>
      <c r="CW19" s="51"/>
      <c r="CX19" s="36"/>
      <c r="CY19" s="36"/>
      <c r="CZ19" s="36"/>
      <c r="DA19" s="36"/>
      <c r="DB19" s="51"/>
      <c r="DC19" s="36"/>
      <c r="DD19" s="36"/>
      <c r="DE19" s="36"/>
      <c r="DF19" s="36"/>
      <c r="DG19" s="51"/>
      <c r="DH19" s="36"/>
      <c r="DI19" s="36"/>
      <c r="DJ19" s="36"/>
      <c r="DK19" s="36"/>
      <c r="DL19" s="51"/>
      <c r="DM19" s="51"/>
      <c r="DN19" s="51"/>
    </row>
    <row r="20" spans="1:118" ht="15.75" customHeight="1">
      <c r="A20" s="57"/>
      <c r="B20" s="88" t="s">
        <v>433</v>
      </c>
      <c r="C20" s="89">
        <v>1795322</v>
      </c>
      <c r="D20" s="34" t="s">
        <v>455</v>
      </c>
      <c r="E20" s="90">
        <v>43888.466666666667</v>
      </c>
      <c r="F20" s="88" t="s">
        <v>321</v>
      </c>
      <c r="G20" s="81" t="s">
        <v>456</v>
      </c>
      <c r="H20" s="81" t="s">
        <v>457</v>
      </c>
      <c r="I20" s="91">
        <v>43886</v>
      </c>
      <c r="J20" s="34" t="s">
        <v>458</v>
      </c>
      <c r="K20" s="34" t="s">
        <v>455</v>
      </c>
      <c r="M20" s="88" t="s">
        <v>459</v>
      </c>
      <c r="N20" s="88" t="s">
        <v>168</v>
      </c>
      <c r="O20" s="88" t="s">
        <v>173</v>
      </c>
      <c r="P20" s="88" t="s">
        <v>197</v>
      </c>
      <c r="Q20" s="88" t="s">
        <v>35</v>
      </c>
      <c r="R20" s="36"/>
      <c r="S20" s="88" t="s">
        <v>170</v>
      </c>
      <c r="T20" s="59"/>
      <c r="U20" s="98">
        <v>0.16</v>
      </c>
      <c r="V20" s="39"/>
      <c r="W20" s="96"/>
      <c r="X20" s="40"/>
      <c r="Y20" s="96"/>
      <c r="Z20" s="41"/>
      <c r="AA20" s="41"/>
      <c r="AB20" s="88" t="s">
        <v>36</v>
      </c>
      <c r="AC20" s="88" t="s">
        <v>218</v>
      </c>
      <c r="AD20" s="88" t="s">
        <v>38</v>
      </c>
      <c r="AE20" s="88" t="s">
        <v>190</v>
      </c>
      <c r="AF20" s="88" t="s">
        <v>181</v>
      </c>
      <c r="AG20" s="88" t="s">
        <v>39</v>
      </c>
      <c r="AH20" s="88" t="s">
        <v>190</v>
      </c>
      <c r="AI20" s="96">
        <v>1750000000</v>
      </c>
      <c r="AJ20" s="61" t="e">
        <f t="shared" ca="1" si="6"/>
        <v>#NAME?</v>
      </c>
      <c r="AK20" s="96">
        <v>1750000000</v>
      </c>
      <c r="AL20" s="61" t="e">
        <f t="shared" ca="1" si="7"/>
        <v>#NAME?</v>
      </c>
      <c r="AM20" s="95">
        <v>7.0000000000000007E-2</v>
      </c>
      <c r="AN20" s="89"/>
      <c r="AO20" s="89"/>
      <c r="AP20" s="88" t="s">
        <v>181</v>
      </c>
      <c r="AQ20" s="88" t="s">
        <v>181</v>
      </c>
      <c r="AR20" s="88" t="s">
        <v>42</v>
      </c>
      <c r="AS20" s="34" t="s">
        <v>181</v>
      </c>
      <c r="AT20" s="34" t="s">
        <v>39</v>
      </c>
      <c r="AU20" s="88" t="s">
        <v>190</v>
      </c>
      <c r="AV20" s="88" t="s">
        <v>190</v>
      </c>
      <c r="AW20" s="88" t="s">
        <v>190</v>
      </c>
      <c r="AX20" s="88" t="s">
        <v>190</v>
      </c>
      <c r="AY20" s="96">
        <v>0</v>
      </c>
      <c r="AZ20" s="96"/>
      <c r="BA20" s="96">
        <v>0</v>
      </c>
      <c r="BB20" s="96">
        <v>0</v>
      </c>
      <c r="BC20" s="38"/>
      <c r="BD20" s="38">
        <f t="shared" si="8"/>
        <v>1</v>
      </c>
      <c r="BE20" s="34"/>
      <c r="BF20" s="88" t="s">
        <v>43</v>
      </c>
      <c r="BG20" s="36"/>
      <c r="BH20" s="88" t="s">
        <v>190</v>
      </c>
      <c r="BI20" s="89">
        <v>0</v>
      </c>
      <c r="BJ20" s="89">
        <v>1</v>
      </c>
      <c r="BK20" s="51" t="s">
        <v>190</v>
      </c>
      <c r="BL20" s="88" t="s">
        <v>190</v>
      </c>
      <c r="BM20" s="88" t="s">
        <v>227</v>
      </c>
      <c r="BN20" s="88" t="s">
        <v>190</v>
      </c>
      <c r="BO20" s="89">
        <v>2</v>
      </c>
      <c r="BP20" s="89">
        <v>2</v>
      </c>
      <c r="BQ20" s="89">
        <v>0</v>
      </c>
      <c r="BR20" s="89">
        <v>0</v>
      </c>
      <c r="BS20" s="51"/>
      <c r="BT20" s="99">
        <v>7</v>
      </c>
      <c r="BU20" s="99">
        <v>0</v>
      </c>
      <c r="BV20" s="99">
        <v>36</v>
      </c>
      <c r="BW20" s="51" t="s">
        <v>190</v>
      </c>
      <c r="BX20" s="51"/>
      <c r="BY20" s="36"/>
      <c r="BZ20" s="36"/>
      <c r="CA20" s="36"/>
      <c r="CB20" s="36"/>
      <c r="CC20" s="51"/>
      <c r="CD20" s="36"/>
      <c r="CE20" s="36"/>
      <c r="CF20" s="36"/>
      <c r="CG20" s="36"/>
      <c r="CH20" s="51"/>
      <c r="CI20" s="36"/>
      <c r="CJ20" s="36"/>
      <c r="CK20" s="36"/>
      <c r="CL20" s="36"/>
      <c r="CM20" s="51"/>
      <c r="CN20" s="36"/>
      <c r="CO20" s="36"/>
      <c r="CP20" s="36"/>
      <c r="CQ20" s="36"/>
      <c r="CR20" s="51"/>
      <c r="CS20" s="36"/>
      <c r="CT20" s="36"/>
      <c r="CU20" s="36"/>
      <c r="CV20" s="36"/>
      <c r="CW20" s="51"/>
      <c r="CX20" s="36"/>
      <c r="CY20" s="36"/>
      <c r="CZ20" s="36"/>
      <c r="DA20" s="36"/>
      <c r="DB20" s="51"/>
      <c r="DC20" s="36"/>
      <c r="DD20" s="36"/>
      <c r="DE20" s="36"/>
      <c r="DF20" s="36"/>
      <c r="DG20" s="51"/>
      <c r="DH20" s="36"/>
      <c r="DI20" s="36"/>
      <c r="DJ20" s="36"/>
      <c r="DK20" s="36"/>
      <c r="DL20" s="51"/>
      <c r="DM20" s="51"/>
      <c r="DN20" s="51"/>
    </row>
    <row r="21" spans="1:118" ht="15.75" customHeight="1">
      <c r="A21" s="57"/>
      <c r="B21" s="88" t="s">
        <v>433</v>
      </c>
      <c r="C21" s="89">
        <v>1804411</v>
      </c>
      <c r="D21" s="34" t="s">
        <v>460</v>
      </c>
      <c r="E21" s="90">
        <v>43888.484722222223</v>
      </c>
      <c r="F21" s="88" t="s">
        <v>160</v>
      </c>
      <c r="G21" s="81" t="s">
        <v>461</v>
      </c>
      <c r="H21" s="81" t="s">
        <v>462</v>
      </c>
      <c r="I21" s="91">
        <v>43887</v>
      </c>
      <c r="J21" s="92" t="s">
        <v>463</v>
      </c>
      <c r="K21" s="34" t="s">
        <v>460</v>
      </c>
      <c r="M21" s="88" t="s">
        <v>167</v>
      </c>
      <c r="N21" s="88" t="s">
        <v>168</v>
      </c>
      <c r="O21" s="88" t="s">
        <v>30</v>
      </c>
      <c r="P21" s="88" t="s">
        <v>31</v>
      </c>
      <c r="Q21" s="88" t="s">
        <v>35</v>
      </c>
      <c r="R21" s="36"/>
      <c r="S21" s="88" t="s">
        <v>257</v>
      </c>
      <c r="T21" s="94">
        <v>1.5</v>
      </c>
      <c r="U21" s="87"/>
      <c r="V21" s="39"/>
      <c r="W21" s="39"/>
      <c r="X21" s="40"/>
      <c r="Y21" s="39"/>
      <c r="Z21" s="41"/>
      <c r="AA21" s="41"/>
      <c r="AB21" s="88" t="s">
        <v>36</v>
      </c>
      <c r="AC21" s="88" t="s">
        <v>179</v>
      </c>
      <c r="AD21" s="88" t="s">
        <v>38</v>
      </c>
      <c r="AE21" s="88" t="s">
        <v>190</v>
      </c>
      <c r="AF21" s="88" t="s">
        <v>181</v>
      </c>
      <c r="AG21" s="88" t="s">
        <v>181</v>
      </c>
      <c r="AH21" s="88" t="s">
        <v>190</v>
      </c>
      <c r="AI21" s="39">
        <v>678400000000</v>
      </c>
      <c r="AJ21" s="61" t="e">
        <f t="shared" ca="1" si="6"/>
        <v>#NAME?</v>
      </c>
      <c r="AK21" s="39">
        <v>678400000000</v>
      </c>
      <c r="AL21" s="61" t="e">
        <f t="shared" ca="1" si="7"/>
        <v>#NAME?</v>
      </c>
      <c r="AM21" s="95">
        <v>1.7999999999999999E-2</v>
      </c>
      <c r="AN21" s="89"/>
      <c r="AO21" s="89"/>
      <c r="AP21" s="88" t="s">
        <v>181</v>
      </c>
      <c r="AQ21" s="88" t="s">
        <v>181</v>
      </c>
      <c r="AR21" s="88" t="s">
        <v>42</v>
      </c>
      <c r="AS21" s="34" t="s">
        <v>181</v>
      </c>
      <c r="AT21" s="34" t="s">
        <v>39</v>
      </c>
      <c r="AU21" s="88" t="s">
        <v>190</v>
      </c>
      <c r="AV21" s="88" t="s">
        <v>190</v>
      </c>
      <c r="AW21" s="88" t="s">
        <v>190</v>
      </c>
      <c r="AX21" s="88" t="s">
        <v>190</v>
      </c>
      <c r="AY21" s="39">
        <v>0</v>
      </c>
      <c r="AZ21" s="39"/>
      <c r="BA21" s="39">
        <v>0</v>
      </c>
      <c r="BB21" s="39">
        <v>0</v>
      </c>
      <c r="BC21" s="38"/>
      <c r="BD21" s="38">
        <f t="shared" si="8"/>
        <v>1</v>
      </c>
      <c r="BE21" s="34"/>
      <c r="BF21" s="88" t="s">
        <v>43</v>
      </c>
      <c r="BG21" s="36"/>
      <c r="BH21" s="88" t="s">
        <v>190</v>
      </c>
      <c r="BI21" s="89">
        <v>0</v>
      </c>
      <c r="BJ21" s="89">
        <v>2</v>
      </c>
      <c r="BK21" s="88" t="s">
        <v>190</v>
      </c>
      <c r="BL21" s="88" t="s">
        <v>227</v>
      </c>
      <c r="BM21" s="88" t="s">
        <v>190</v>
      </c>
      <c r="BN21" s="88" t="s">
        <v>190</v>
      </c>
      <c r="BO21" s="89">
        <v>2</v>
      </c>
      <c r="BP21" s="89">
        <v>2</v>
      </c>
      <c r="BQ21" s="89">
        <v>0</v>
      </c>
      <c r="BR21" s="89">
        <v>0</v>
      </c>
      <c r="BS21" s="51"/>
      <c r="BT21" s="99">
        <v>0</v>
      </c>
      <c r="BU21" s="99">
        <v>0</v>
      </c>
      <c r="BV21" s="99">
        <v>34</v>
      </c>
      <c r="BW21" s="51" t="s">
        <v>190</v>
      </c>
      <c r="BX21" s="51"/>
      <c r="BY21" s="100">
        <v>0</v>
      </c>
      <c r="BZ21" s="100">
        <v>0</v>
      </c>
      <c r="CA21" s="100">
        <v>35</v>
      </c>
      <c r="CB21" s="36"/>
      <c r="CC21" s="51"/>
      <c r="CD21" s="36"/>
      <c r="CE21" s="36"/>
      <c r="CF21" s="36"/>
      <c r="CG21" s="36"/>
      <c r="CH21" s="51"/>
      <c r="CI21" s="36"/>
      <c r="CJ21" s="36"/>
      <c r="CK21" s="36"/>
      <c r="CL21" s="36"/>
      <c r="CM21" s="51"/>
      <c r="CN21" s="36"/>
      <c r="CO21" s="36"/>
      <c r="CP21" s="36"/>
      <c r="CQ21" s="36"/>
      <c r="CR21" s="51"/>
      <c r="CS21" s="36"/>
      <c r="CT21" s="36"/>
      <c r="CU21" s="36"/>
      <c r="CV21" s="36"/>
      <c r="CW21" s="51"/>
      <c r="CX21" s="36"/>
      <c r="CY21" s="36"/>
      <c r="CZ21" s="36"/>
      <c r="DA21" s="36"/>
      <c r="DB21" s="51"/>
      <c r="DC21" s="36"/>
      <c r="DD21" s="36"/>
      <c r="DE21" s="36"/>
      <c r="DF21" s="36"/>
      <c r="DG21" s="51"/>
      <c r="DH21" s="36"/>
      <c r="DI21" s="36"/>
      <c r="DJ21" s="36"/>
      <c r="DK21" s="36"/>
      <c r="DL21" s="51"/>
      <c r="DM21" s="51"/>
      <c r="DN21" s="51"/>
    </row>
    <row r="22" spans="1:118" ht="15.75" customHeight="1">
      <c r="A22" s="57"/>
      <c r="B22" s="88" t="s">
        <v>433</v>
      </c>
      <c r="C22" s="89">
        <v>1804466</v>
      </c>
      <c r="D22" s="34" t="s">
        <v>464</v>
      </c>
      <c r="E22" s="90">
        <v>43889.508333333331</v>
      </c>
      <c r="F22" s="88" t="s">
        <v>160</v>
      </c>
      <c r="G22" s="81" t="s">
        <v>465</v>
      </c>
      <c r="H22" s="81" t="s">
        <v>466</v>
      </c>
      <c r="I22" s="91">
        <v>43888</v>
      </c>
      <c r="J22" s="34" t="s">
        <v>467</v>
      </c>
      <c r="K22" s="34" t="s">
        <v>464</v>
      </c>
      <c r="M22" s="88" t="s">
        <v>167</v>
      </c>
      <c r="N22" s="88" t="s">
        <v>168</v>
      </c>
      <c r="O22" s="88" t="s">
        <v>30</v>
      </c>
      <c r="P22" s="88" t="s">
        <v>174</v>
      </c>
      <c r="Q22" s="88" t="s">
        <v>35</v>
      </c>
      <c r="R22" s="36"/>
      <c r="S22" s="88" t="s">
        <v>257</v>
      </c>
      <c r="T22" s="94">
        <v>1.5</v>
      </c>
      <c r="U22" s="87"/>
      <c r="V22" s="39"/>
      <c r="W22" s="96"/>
      <c r="X22" s="40"/>
      <c r="Y22" s="96"/>
      <c r="Z22" s="41"/>
      <c r="AA22" s="41"/>
      <c r="AB22" s="88" t="s">
        <v>178</v>
      </c>
      <c r="AC22" s="88" t="s">
        <v>37</v>
      </c>
      <c r="AD22" s="88" t="s">
        <v>38</v>
      </c>
      <c r="AE22" s="88" t="s">
        <v>190</v>
      </c>
      <c r="AF22" s="88" t="s">
        <v>181</v>
      </c>
      <c r="AG22" s="88" t="s">
        <v>181</v>
      </c>
      <c r="AH22" s="88" t="s">
        <v>190</v>
      </c>
      <c r="AI22" s="96">
        <v>26970000000</v>
      </c>
      <c r="AJ22" s="61" t="e">
        <f t="shared" ca="1" si="6"/>
        <v>#NAME?</v>
      </c>
      <c r="AK22" s="96">
        <v>26970000000</v>
      </c>
      <c r="AL22" s="61" t="e">
        <f t="shared" ca="1" si="7"/>
        <v>#NAME?</v>
      </c>
      <c r="AM22" s="95">
        <v>3.5000000000000003E-2</v>
      </c>
      <c r="AN22" s="89"/>
      <c r="AO22" s="89"/>
      <c r="AP22" s="88" t="s">
        <v>181</v>
      </c>
      <c r="AQ22" s="88" t="s">
        <v>181</v>
      </c>
      <c r="AR22" s="88" t="s">
        <v>42</v>
      </c>
      <c r="AS22" s="34" t="s">
        <v>181</v>
      </c>
      <c r="AT22" s="34" t="s">
        <v>181</v>
      </c>
      <c r="AU22" s="88" t="s">
        <v>190</v>
      </c>
      <c r="AV22" s="88" t="s">
        <v>190</v>
      </c>
      <c r="AW22" s="88" t="s">
        <v>227</v>
      </c>
      <c r="AX22" s="88" t="s">
        <v>227</v>
      </c>
      <c r="AY22" s="96">
        <v>0</v>
      </c>
      <c r="AZ22" s="96"/>
      <c r="BA22" s="96">
        <v>0</v>
      </c>
      <c r="BB22" s="96">
        <v>0</v>
      </c>
      <c r="BC22" s="38"/>
      <c r="BD22" s="38">
        <f t="shared" si="8"/>
        <v>1</v>
      </c>
      <c r="BE22" s="34"/>
      <c r="BF22" s="88" t="s">
        <v>202</v>
      </c>
      <c r="BG22" s="36"/>
      <c r="BH22" s="88" t="s">
        <v>227</v>
      </c>
      <c r="BI22" s="89">
        <v>1</v>
      </c>
      <c r="BJ22" s="89">
        <v>1</v>
      </c>
      <c r="BK22" s="51" t="s">
        <v>190</v>
      </c>
      <c r="BL22" s="88" t="s">
        <v>190</v>
      </c>
      <c r="BM22" s="88" t="s">
        <v>190</v>
      </c>
      <c r="BN22" s="88" t="s">
        <v>190</v>
      </c>
      <c r="BO22" s="89">
        <v>3</v>
      </c>
      <c r="BP22" s="89">
        <v>2</v>
      </c>
      <c r="BQ22" s="89">
        <v>0</v>
      </c>
      <c r="BR22" s="89">
        <v>0</v>
      </c>
      <c r="BS22" s="51"/>
      <c r="BT22" s="99">
        <v>2</v>
      </c>
      <c r="BU22" s="99">
        <v>0</v>
      </c>
      <c r="BV22" s="99">
        <v>44</v>
      </c>
      <c r="BW22" s="51" t="s">
        <v>190</v>
      </c>
      <c r="BX22" s="51"/>
      <c r="BY22" s="36"/>
      <c r="BZ22" s="36"/>
      <c r="CA22" s="36"/>
      <c r="CB22" s="36"/>
      <c r="CC22" s="51"/>
      <c r="CD22" s="36"/>
      <c r="CE22" s="36"/>
      <c r="CF22" s="36"/>
      <c r="CG22" s="36"/>
      <c r="CH22" s="51"/>
      <c r="CI22" s="36"/>
      <c r="CJ22" s="36"/>
      <c r="CK22" s="36"/>
      <c r="CL22" s="36"/>
      <c r="CM22" s="51"/>
      <c r="CN22" s="36"/>
      <c r="CO22" s="36"/>
      <c r="CP22" s="36"/>
      <c r="CQ22" s="36"/>
      <c r="CR22" s="51"/>
      <c r="CS22" s="36"/>
      <c r="CT22" s="36"/>
      <c r="CU22" s="36"/>
      <c r="CV22" s="36"/>
      <c r="CW22" s="51"/>
      <c r="CX22" s="36"/>
      <c r="CY22" s="36"/>
      <c r="CZ22" s="36"/>
      <c r="DA22" s="36"/>
      <c r="DB22" s="51"/>
      <c r="DC22" s="36"/>
      <c r="DD22" s="36"/>
      <c r="DE22" s="36"/>
      <c r="DF22" s="36"/>
      <c r="DG22" s="51"/>
      <c r="DH22" s="36"/>
      <c r="DI22" s="36"/>
      <c r="DJ22" s="36"/>
      <c r="DK22" s="36"/>
      <c r="DL22" s="51"/>
      <c r="DM22" s="51"/>
      <c r="DN22" s="51"/>
    </row>
    <row r="23" spans="1:118" ht="15.75" customHeight="1">
      <c r="A23" s="57"/>
      <c r="B23" s="88" t="s">
        <v>433</v>
      </c>
      <c r="C23" s="89">
        <v>1804876</v>
      </c>
      <c r="D23" s="34" t="s">
        <v>468</v>
      </c>
      <c r="E23" s="90">
        <v>43889.511111111111</v>
      </c>
      <c r="F23" s="88" t="s">
        <v>160</v>
      </c>
      <c r="G23" s="81" t="s">
        <v>469</v>
      </c>
      <c r="H23" s="81" t="s">
        <v>470</v>
      </c>
      <c r="I23" s="91">
        <v>43888</v>
      </c>
      <c r="J23" s="92" t="s">
        <v>471</v>
      </c>
      <c r="K23" s="34" t="s">
        <v>472</v>
      </c>
      <c r="M23" s="88" t="s">
        <v>473</v>
      </c>
      <c r="N23" s="88" t="s">
        <v>168</v>
      </c>
      <c r="O23" s="88" t="s">
        <v>30</v>
      </c>
      <c r="P23" s="88" t="s">
        <v>174</v>
      </c>
      <c r="Q23" s="88" t="s">
        <v>35</v>
      </c>
      <c r="R23" s="36"/>
      <c r="S23" s="88" t="s">
        <v>257</v>
      </c>
      <c r="T23" s="94">
        <v>1.5</v>
      </c>
      <c r="U23" s="87"/>
      <c r="V23" s="39"/>
      <c r="W23" s="96"/>
      <c r="X23" s="40"/>
      <c r="Y23" s="96"/>
      <c r="Z23" s="41"/>
      <c r="AA23" s="41"/>
      <c r="AB23" s="88" t="s">
        <v>36</v>
      </c>
      <c r="AC23" s="88" t="s">
        <v>179</v>
      </c>
      <c r="AD23" s="88" t="s">
        <v>38</v>
      </c>
      <c r="AE23" s="88" t="s">
        <v>190</v>
      </c>
      <c r="AF23" s="88" t="s">
        <v>181</v>
      </c>
      <c r="AG23" s="88" t="s">
        <v>181</v>
      </c>
      <c r="AH23" s="88" t="s">
        <v>190</v>
      </c>
      <c r="AI23" s="96">
        <v>49067500000</v>
      </c>
      <c r="AJ23" s="61" t="e">
        <f t="shared" ca="1" si="6"/>
        <v>#NAME?</v>
      </c>
      <c r="AK23" s="96">
        <v>49067500000</v>
      </c>
      <c r="AL23" s="61" t="e">
        <f t="shared" ca="1" si="7"/>
        <v>#NAME?</v>
      </c>
      <c r="AM23" s="95">
        <v>3.3000000000000002E-2</v>
      </c>
      <c r="AN23" s="89"/>
      <c r="AO23" s="89"/>
      <c r="AP23" s="88" t="s">
        <v>181</v>
      </c>
      <c r="AQ23" s="88" t="s">
        <v>181</v>
      </c>
      <c r="AR23" s="88" t="s">
        <v>42</v>
      </c>
      <c r="AS23" s="34" t="s">
        <v>181</v>
      </c>
      <c r="AT23" s="34" t="s">
        <v>39</v>
      </c>
      <c r="AU23" s="88" t="s">
        <v>190</v>
      </c>
      <c r="AV23" s="88" t="s">
        <v>190</v>
      </c>
      <c r="AW23" s="88" t="s">
        <v>227</v>
      </c>
      <c r="AX23" s="88" t="s">
        <v>227</v>
      </c>
      <c r="AY23" s="96">
        <v>0</v>
      </c>
      <c r="AZ23" s="96"/>
      <c r="BA23" s="96">
        <v>0</v>
      </c>
      <c r="BB23" s="96">
        <v>0</v>
      </c>
      <c r="BC23" s="38"/>
      <c r="BD23" s="38">
        <f t="shared" si="8"/>
        <v>1</v>
      </c>
      <c r="BE23" s="34"/>
      <c r="BF23" s="88" t="s">
        <v>202</v>
      </c>
      <c r="BG23" s="36"/>
      <c r="BH23" s="88" t="s">
        <v>190</v>
      </c>
      <c r="BI23" s="89">
        <v>0</v>
      </c>
      <c r="BJ23" s="89">
        <v>1</v>
      </c>
      <c r="BK23" s="51" t="s">
        <v>190</v>
      </c>
      <c r="BL23" s="88" t="s">
        <v>190</v>
      </c>
      <c r="BM23" s="88" t="s">
        <v>190</v>
      </c>
      <c r="BN23" s="88" t="s">
        <v>190</v>
      </c>
      <c r="BO23" s="89">
        <v>1</v>
      </c>
      <c r="BP23" s="89">
        <v>2</v>
      </c>
      <c r="BQ23" s="89">
        <v>0</v>
      </c>
      <c r="BR23" s="89">
        <v>0</v>
      </c>
      <c r="BS23" s="51"/>
      <c r="BT23" s="99">
        <v>2</v>
      </c>
      <c r="BU23" s="99">
        <v>0</v>
      </c>
      <c r="BV23" s="89">
        <v>42</v>
      </c>
      <c r="BW23" s="51" t="s">
        <v>190</v>
      </c>
      <c r="BX23" s="51"/>
      <c r="BY23" s="36"/>
      <c r="BZ23" s="36"/>
      <c r="CA23" s="36"/>
      <c r="CB23" s="36"/>
      <c r="CC23" s="51"/>
      <c r="CD23" s="36"/>
      <c r="CE23" s="36"/>
      <c r="CF23" s="36"/>
      <c r="CG23" s="36"/>
      <c r="CH23" s="51"/>
      <c r="CI23" s="36"/>
      <c r="CJ23" s="36"/>
      <c r="CK23" s="36"/>
      <c r="CL23" s="36"/>
      <c r="CM23" s="51"/>
      <c r="CN23" s="36"/>
      <c r="CO23" s="36"/>
      <c r="CP23" s="36"/>
      <c r="CQ23" s="36"/>
      <c r="CR23" s="51"/>
      <c r="CS23" s="36"/>
      <c r="CT23" s="36"/>
      <c r="CU23" s="36"/>
      <c r="CV23" s="36"/>
      <c r="CW23" s="51"/>
      <c r="CX23" s="36"/>
      <c r="CY23" s="36"/>
      <c r="CZ23" s="36"/>
      <c r="DA23" s="36"/>
      <c r="DB23" s="51"/>
      <c r="DC23" s="36"/>
      <c r="DD23" s="36"/>
      <c r="DE23" s="36"/>
      <c r="DF23" s="36"/>
      <c r="DG23" s="51"/>
      <c r="DH23" s="36"/>
      <c r="DI23" s="36"/>
      <c r="DJ23" s="36"/>
      <c r="DK23" s="36"/>
      <c r="DL23" s="51"/>
      <c r="DM23" s="51"/>
      <c r="DN23" s="51"/>
    </row>
    <row r="24" spans="1:118" ht="15.75" customHeight="1">
      <c r="A24" s="57"/>
      <c r="B24" s="88" t="s">
        <v>433</v>
      </c>
      <c r="C24" s="89">
        <v>1804624</v>
      </c>
      <c r="D24" s="34" t="s">
        <v>474</v>
      </c>
      <c r="E24" s="90">
        <v>43889.51458333333</v>
      </c>
      <c r="F24" s="88" t="s">
        <v>160</v>
      </c>
      <c r="G24" s="81" t="s">
        <v>475</v>
      </c>
      <c r="H24" s="81" t="s">
        <v>476</v>
      </c>
      <c r="I24" s="91">
        <v>43888</v>
      </c>
      <c r="J24" s="34" t="s">
        <v>477</v>
      </c>
      <c r="K24" s="34" t="s">
        <v>478</v>
      </c>
      <c r="M24" s="88" t="s">
        <v>167</v>
      </c>
      <c r="N24" s="88" t="s">
        <v>168</v>
      </c>
      <c r="O24" s="88" t="s">
        <v>30</v>
      </c>
      <c r="P24" s="88" t="s">
        <v>174</v>
      </c>
      <c r="Q24" s="88" t="s">
        <v>35</v>
      </c>
      <c r="R24" s="36"/>
      <c r="S24" s="88" t="s">
        <v>257</v>
      </c>
      <c r="T24" s="94">
        <v>1.6</v>
      </c>
      <c r="U24" s="87"/>
      <c r="V24" s="39"/>
      <c r="W24" s="39"/>
      <c r="X24" s="40"/>
      <c r="Y24" s="39"/>
      <c r="Z24" s="41"/>
      <c r="AA24" s="41"/>
      <c r="AB24" s="88" t="s">
        <v>36</v>
      </c>
      <c r="AC24" s="88" t="s">
        <v>218</v>
      </c>
      <c r="AD24" s="88" t="s">
        <v>38</v>
      </c>
      <c r="AE24" s="88" t="s">
        <v>190</v>
      </c>
      <c r="AF24" s="88" t="s">
        <v>181</v>
      </c>
      <c r="AG24" s="88" t="s">
        <v>39</v>
      </c>
      <c r="AH24" s="88" t="s">
        <v>190</v>
      </c>
      <c r="AI24" s="39">
        <v>114200000000</v>
      </c>
      <c r="AJ24" s="61" t="e">
        <f t="shared" ca="1" si="6"/>
        <v>#NAME?</v>
      </c>
      <c r="AK24" s="39">
        <v>27600000000</v>
      </c>
      <c r="AL24" s="61" t="e">
        <f t="shared" ca="1" si="7"/>
        <v>#NAME?</v>
      </c>
      <c r="AM24" s="95">
        <v>7.0000000000000007E-2</v>
      </c>
      <c r="AN24" s="89"/>
      <c r="AO24" s="89"/>
      <c r="AP24" s="88" t="s">
        <v>181</v>
      </c>
      <c r="AQ24" s="88" t="s">
        <v>181</v>
      </c>
      <c r="AR24" s="88" t="s">
        <v>42</v>
      </c>
      <c r="AS24" s="34" t="s">
        <v>181</v>
      </c>
      <c r="AT24" s="34" t="s">
        <v>39</v>
      </c>
      <c r="AU24" s="88" t="s">
        <v>190</v>
      </c>
      <c r="AV24" s="88" t="s">
        <v>190</v>
      </c>
      <c r="AW24" s="88" t="s">
        <v>227</v>
      </c>
      <c r="AX24" s="88" t="s">
        <v>227</v>
      </c>
      <c r="AY24" s="39">
        <v>0</v>
      </c>
      <c r="AZ24" s="39"/>
      <c r="BA24" s="39">
        <v>0</v>
      </c>
      <c r="BB24" s="96">
        <v>0</v>
      </c>
      <c r="BC24" s="38"/>
      <c r="BD24" s="38">
        <f t="shared" si="8"/>
        <v>1</v>
      </c>
      <c r="BE24" s="34"/>
      <c r="BF24" s="88" t="s">
        <v>202</v>
      </c>
      <c r="BG24" s="36"/>
      <c r="BH24" s="88" t="s">
        <v>190</v>
      </c>
      <c r="BI24" s="89">
        <v>0</v>
      </c>
      <c r="BJ24" s="89">
        <v>2</v>
      </c>
      <c r="BK24" s="88" t="s">
        <v>190</v>
      </c>
      <c r="BL24" s="88" t="s">
        <v>190</v>
      </c>
      <c r="BM24" s="88" t="s">
        <v>190</v>
      </c>
      <c r="BN24" s="88" t="s">
        <v>190</v>
      </c>
      <c r="BO24" s="89">
        <v>5</v>
      </c>
      <c r="BP24" s="89">
        <v>7</v>
      </c>
      <c r="BQ24" s="89">
        <v>0</v>
      </c>
      <c r="BR24" s="89">
        <v>0</v>
      </c>
      <c r="BS24" s="51"/>
      <c r="BT24" s="99">
        <v>18</v>
      </c>
      <c r="BU24" s="99">
        <v>0</v>
      </c>
      <c r="BV24" s="99">
        <v>64</v>
      </c>
      <c r="BW24" s="51" t="s">
        <v>190</v>
      </c>
      <c r="BX24" s="51"/>
      <c r="BY24" s="100">
        <v>9</v>
      </c>
      <c r="BZ24" s="100">
        <v>0</v>
      </c>
      <c r="CA24" s="100">
        <v>36</v>
      </c>
      <c r="CB24" s="36" t="s">
        <v>227</v>
      </c>
      <c r="CC24" s="51"/>
      <c r="CD24" s="36"/>
      <c r="CE24" s="36"/>
      <c r="CF24" s="36"/>
      <c r="CG24" s="36"/>
      <c r="CH24" s="51"/>
      <c r="CI24" s="36"/>
      <c r="CJ24" s="36"/>
      <c r="CK24" s="36"/>
      <c r="CL24" s="36"/>
      <c r="CM24" s="51"/>
      <c r="CN24" s="36"/>
      <c r="CO24" s="36"/>
      <c r="CP24" s="36"/>
      <c r="CQ24" s="36"/>
      <c r="CR24" s="51"/>
      <c r="CS24" s="36"/>
      <c r="CT24" s="36"/>
      <c r="CU24" s="36"/>
      <c r="CV24" s="36"/>
      <c r="CW24" s="51"/>
      <c r="CX24" s="36"/>
      <c r="CY24" s="36"/>
      <c r="CZ24" s="36"/>
      <c r="DA24" s="36"/>
      <c r="DB24" s="51"/>
      <c r="DC24" s="36"/>
      <c r="DD24" s="36"/>
      <c r="DE24" s="36"/>
      <c r="DF24" s="36"/>
      <c r="DG24" s="51"/>
      <c r="DH24" s="36"/>
      <c r="DI24" s="36"/>
      <c r="DJ24" s="36"/>
      <c r="DK24" s="36"/>
      <c r="DL24" s="51"/>
      <c r="DM24" s="51"/>
      <c r="DN24" s="51"/>
    </row>
    <row r="25" spans="1:118" ht="15.75" customHeight="1">
      <c r="A25" s="57"/>
      <c r="B25" s="51" t="s">
        <v>355</v>
      </c>
      <c r="C25" s="99">
        <v>1796091</v>
      </c>
      <c r="D25" s="101" t="s">
        <v>479</v>
      </c>
      <c r="E25" s="102">
        <v>43836.489583333336</v>
      </c>
      <c r="F25" s="51" t="s">
        <v>344</v>
      </c>
      <c r="G25" s="103" t="s">
        <v>480</v>
      </c>
      <c r="H25" s="103" t="s">
        <v>481</v>
      </c>
      <c r="I25" s="104">
        <v>43812</v>
      </c>
      <c r="J25" s="101" t="s">
        <v>482</v>
      </c>
      <c r="K25" s="101" t="s">
        <v>479</v>
      </c>
      <c r="M25" s="51" t="s">
        <v>483</v>
      </c>
      <c r="N25" s="51" t="s">
        <v>168</v>
      </c>
      <c r="O25" s="51" t="s">
        <v>30</v>
      </c>
      <c r="P25" s="51" t="s">
        <v>31</v>
      </c>
      <c r="Q25" s="51" t="s">
        <v>35</v>
      </c>
      <c r="R25" s="36"/>
      <c r="S25" s="51" t="s">
        <v>257</v>
      </c>
      <c r="T25" s="105">
        <v>1.2</v>
      </c>
      <c r="U25" s="87"/>
      <c r="V25" s="39"/>
      <c r="W25" s="39"/>
      <c r="X25" s="40"/>
      <c r="Y25" s="39"/>
      <c r="Z25" s="41"/>
      <c r="AA25" s="41"/>
      <c r="AB25" s="51" t="s">
        <v>36</v>
      </c>
      <c r="AC25" s="51" t="s">
        <v>218</v>
      </c>
      <c r="AD25" s="51" t="s">
        <v>38</v>
      </c>
      <c r="AE25" s="51" t="s">
        <v>190</v>
      </c>
      <c r="AF25" s="51" t="s">
        <v>181</v>
      </c>
      <c r="AG25" s="51" t="s">
        <v>181</v>
      </c>
      <c r="AH25" s="51" t="s">
        <v>190</v>
      </c>
      <c r="AI25" s="106">
        <v>50000000000</v>
      </c>
      <c r="AJ25" s="61" t="e">
        <f t="shared" ca="1" si="6"/>
        <v>#NAME?</v>
      </c>
      <c r="AK25" s="106">
        <v>100000000</v>
      </c>
      <c r="AL25" s="61" t="e">
        <f t="shared" ca="1" si="7"/>
        <v>#NAME?</v>
      </c>
      <c r="AM25" s="107">
        <v>0.02</v>
      </c>
      <c r="AN25" s="99"/>
      <c r="AO25" s="99"/>
      <c r="AP25" s="51" t="s">
        <v>181</v>
      </c>
      <c r="AQ25" s="51" t="s">
        <v>181</v>
      </c>
      <c r="AR25" s="51" t="s">
        <v>42</v>
      </c>
      <c r="AS25" s="101" t="s">
        <v>181</v>
      </c>
      <c r="AT25" s="101" t="s">
        <v>39</v>
      </c>
      <c r="AU25" s="51" t="s">
        <v>190</v>
      </c>
      <c r="AV25" s="51" t="s">
        <v>190</v>
      </c>
      <c r="AW25" s="51" t="s">
        <v>190</v>
      </c>
      <c r="AX25" s="51" t="s">
        <v>190</v>
      </c>
      <c r="AY25" s="106">
        <v>0</v>
      </c>
      <c r="AZ25" s="106"/>
      <c r="BA25" s="106">
        <v>594</v>
      </c>
      <c r="BB25" s="106">
        <v>10600</v>
      </c>
      <c r="BC25" s="38"/>
      <c r="BD25" s="38">
        <f t="shared" si="8"/>
        <v>5.6037735849056601E-2</v>
      </c>
      <c r="BE25" s="34"/>
      <c r="BF25" s="51" t="s">
        <v>43</v>
      </c>
      <c r="BG25" s="36"/>
      <c r="BH25" s="51" t="s">
        <v>190</v>
      </c>
      <c r="BI25" s="99">
        <v>0</v>
      </c>
      <c r="BJ25" s="99">
        <v>1</v>
      </c>
      <c r="BK25" s="51" t="s">
        <v>190</v>
      </c>
      <c r="BL25" s="51" t="s">
        <v>190</v>
      </c>
      <c r="BM25" s="51" t="s">
        <v>190</v>
      </c>
      <c r="BN25" s="51" t="s">
        <v>190</v>
      </c>
      <c r="BO25" s="99">
        <v>1</v>
      </c>
      <c r="BP25" s="99">
        <v>1</v>
      </c>
      <c r="BQ25" s="99">
        <v>0</v>
      </c>
      <c r="BR25" s="99">
        <v>0</v>
      </c>
      <c r="BS25" s="51"/>
      <c r="BT25" s="99">
        <v>10</v>
      </c>
      <c r="BU25" s="99">
        <v>0</v>
      </c>
      <c r="BV25" s="99">
        <v>37</v>
      </c>
      <c r="BW25" s="51" t="s">
        <v>190</v>
      </c>
      <c r="BX25" s="51"/>
      <c r="BY25" s="36"/>
      <c r="BZ25" s="36"/>
      <c r="CA25" s="36"/>
      <c r="CB25" s="36"/>
      <c r="CC25" s="51"/>
      <c r="CD25" s="36"/>
      <c r="CE25" s="36"/>
      <c r="CF25" s="36"/>
      <c r="CG25" s="36"/>
      <c r="CH25" s="51"/>
      <c r="CI25" s="36"/>
      <c r="CJ25" s="36"/>
      <c r="CK25" s="36"/>
      <c r="CL25" s="36"/>
      <c r="CM25" s="51"/>
      <c r="CN25" s="36"/>
      <c r="CO25" s="36"/>
      <c r="CP25" s="36"/>
      <c r="CQ25" s="36"/>
      <c r="CR25" s="51"/>
      <c r="CS25" s="36"/>
      <c r="CT25" s="36"/>
      <c r="CU25" s="36"/>
      <c r="CV25" s="36"/>
      <c r="CW25" s="51"/>
      <c r="CX25" s="36"/>
      <c r="CY25" s="36"/>
      <c r="CZ25" s="36"/>
      <c r="DA25" s="36"/>
      <c r="DB25" s="51"/>
      <c r="DC25" s="36"/>
      <c r="DD25" s="36"/>
      <c r="DE25" s="36"/>
      <c r="DF25" s="36"/>
      <c r="DG25" s="51"/>
      <c r="DH25" s="36"/>
      <c r="DI25" s="36"/>
      <c r="DJ25" s="36"/>
      <c r="DK25" s="36"/>
      <c r="DL25" s="51"/>
      <c r="DM25" s="51"/>
      <c r="DN25" s="51"/>
    </row>
    <row r="26" spans="1:118" ht="15.75" customHeight="1">
      <c r="A26" s="57"/>
      <c r="B26" s="51" t="s">
        <v>355</v>
      </c>
      <c r="C26" s="99">
        <v>1803385</v>
      </c>
      <c r="D26" s="101" t="s">
        <v>484</v>
      </c>
      <c r="E26" s="102">
        <v>43875.520833333336</v>
      </c>
      <c r="F26" s="51" t="s">
        <v>160</v>
      </c>
      <c r="G26" s="103" t="s">
        <v>485</v>
      </c>
      <c r="H26" s="103" t="s">
        <v>486</v>
      </c>
      <c r="I26" s="104">
        <v>43888</v>
      </c>
      <c r="J26" s="101" t="s">
        <v>487</v>
      </c>
      <c r="K26" s="101" t="s">
        <v>484</v>
      </c>
      <c r="M26" s="51" t="s">
        <v>414</v>
      </c>
      <c r="N26" s="51" t="s">
        <v>168</v>
      </c>
      <c r="O26" s="51" t="s">
        <v>30</v>
      </c>
      <c r="P26" s="51" t="s">
        <v>31</v>
      </c>
      <c r="Q26" s="51" t="s">
        <v>35</v>
      </c>
      <c r="R26" s="36"/>
      <c r="S26" s="51" t="s">
        <v>257</v>
      </c>
      <c r="T26" s="105">
        <v>1.6</v>
      </c>
      <c r="U26" s="87"/>
      <c r="V26" s="39"/>
      <c r="W26" s="39"/>
      <c r="X26" s="40"/>
      <c r="Y26" s="39"/>
      <c r="Z26" s="41"/>
      <c r="AA26" s="41"/>
      <c r="AB26" s="51" t="s">
        <v>36</v>
      </c>
      <c r="AC26" s="51" t="s">
        <v>179</v>
      </c>
      <c r="AD26" s="51" t="s">
        <v>38</v>
      </c>
      <c r="AE26" s="51" t="s">
        <v>190</v>
      </c>
      <c r="AF26" s="51" t="s">
        <v>181</v>
      </c>
      <c r="AG26" s="51" t="s">
        <v>39</v>
      </c>
      <c r="AH26" s="51" t="s">
        <v>190</v>
      </c>
      <c r="AI26" s="106">
        <v>9000000000</v>
      </c>
      <c r="AJ26" s="61" t="e">
        <f t="shared" ca="1" si="6"/>
        <v>#NAME?</v>
      </c>
      <c r="AK26" s="106">
        <v>100000000</v>
      </c>
      <c r="AL26" s="61" t="e">
        <f t="shared" ca="1" si="7"/>
        <v>#NAME?</v>
      </c>
      <c r="AM26" s="107">
        <v>0.1</v>
      </c>
      <c r="AN26" s="99"/>
      <c r="AO26" s="99"/>
      <c r="AP26" s="51" t="s">
        <v>39</v>
      </c>
      <c r="AQ26" s="51" t="s">
        <v>181</v>
      </c>
      <c r="AR26" s="51" t="s">
        <v>182</v>
      </c>
      <c r="AS26" s="101" t="s">
        <v>181</v>
      </c>
      <c r="AT26" s="101" t="s">
        <v>39</v>
      </c>
      <c r="AU26" s="51" t="s">
        <v>190</v>
      </c>
      <c r="AV26" s="51" t="s">
        <v>190</v>
      </c>
      <c r="AW26" s="51" t="s">
        <v>190</v>
      </c>
      <c r="AX26" s="51" t="s">
        <v>190</v>
      </c>
      <c r="AY26" s="106">
        <v>0</v>
      </c>
      <c r="AZ26" s="106"/>
      <c r="BA26" s="106">
        <v>0</v>
      </c>
      <c r="BB26" s="106">
        <v>0</v>
      </c>
      <c r="BC26" s="38"/>
      <c r="BD26" s="38">
        <f t="shared" si="8"/>
        <v>1</v>
      </c>
      <c r="BE26" s="34"/>
      <c r="BF26" s="51" t="s">
        <v>43</v>
      </c>
      <c r="BG26" s="36"/>
      <c r="BH26" s="51" t="s">
        <v>190</v>
      </c>
      <c r="BI26" s="99">
        <v>0</v>
      </c>
      <c r="BJ26" s="99">
        <v>1</v>
      </c>
      <c r="BK26" s="51" t="s">
        <v>190</v>
      </c>
      <c r="BL26" s="51" t="s">
        <v>190</v>
      </c>
      <c r="BM26" s="51" t="s">
        <v>190</v>
      </c>
      <c r="BN26" s="51" t="s">
        <v>190</v>
      </c>
      <c r="BO26" s="99">
        <v>1</v>
      </c>
      <c r="BP26" s="99">
        <v>3</v>
      </c>
      <c r="BQ26" s="99">
        <v>0</v>
      </c>
      <c r="BR26" s="99">
        <v>0</v>
      </c>
      <c r="BS26" s="51"/>
      <c r="BT26" s="99">
        <v>10</v>
      </c>
      <c r="BU26" s="99">
        <v>0</v>
      </c>
      <c r="BV26" s="99">
        <v>49</v>
      </c>
      <c r="BW26" s="51" t="s">
        <v>190</v>
      </c>
      <c r="BX26" s="51"/>
      <c r="BY26" s="36"/>
      <c r="BZ26" s="36"/>
      <c r="CA26" s="36"/>
      <c r="CB26" s="36"/>
      <c r="CC26" s="51"/>
      <c r="CD26" s="36"/>
      <c r="CE26" s="36"/>
      <c r="CF26" s="36"/>
      <c r="CG26" s="36"/>
      <c r="CH26" s="51"/>
      <c r="CI26" s="36"/>
      <c r="CJ26" s="36"/>
      <c r="CK26" s="36"/>
      <c r="CL26" s="36"/>
      <c r="CM26" s="51"/>
      <c r="CN26" s="36"/>
      <c r="CO26" s="36"/>
      <c r="CP26" s="36"/>
      <c r="CQ26" s="36"/>
      <c r="CR26" s="51"/>
      <c r="CS26" s="36"/>
      <c r="CT26" s="36"/>
      <c r="CU26" s="36"/>
      <c r="CV26" s="36"/>
      <c r="CW26" s="51"/>
      <c r="CX26" s="36"/>
      <c r="CY26" s="36"/>
      <c r="CZ26" s="36"/>
      <c r="DA26" s="36"/>
      <c r="DB26" s="51"/>
      <c r="DC26" s="36"/>
      <c r="DD26" s="36"/>
      <c r="DE26" s="36"/>
      <c r="DF26" s="36"/>
      <c r="DG26" s="51"/>
      <c r="DH26" s="36"/>
      <c r="DI26" s="36"/>
      <c r="DJ26" s="36"/>
      <c r="DK26" s="36"/>
      <c r="DL26" s="51"/>
      <c r="DM26" s="51"/>
      <c r="DN26" s="51"/>
    </row>
    <row r="27" spans="1:118" ht="15.75" customHeight="1">
      <c r="A27" s="57"/>
      <c r="B27" s="51" t="s">
        <v>355</v>
      </c>
      <c r="C27" s="99">
        <v>1803205</v>
      </c>
      <c r="D27" s="101" t="s">
        <v>488</v>
      </c>
      <c r="E27" s="102">
        <v>43875.524305555555</v>
      </c>
      <c r="F27" s="51" t="s">
        <v>160</v>
      </c>
      <c r="G27" s="103" t="s">
        <v>489</v>
      </c>
      <c r="H27" s="103" t="s">
        <v>490</v>
      </c>
      <c r="I27" s="104">
        <v>43874</v>
      </c>
      <c r="J27" s="101" t="s">
        <v>491</v>
      </c>
      <c r="K27" s="101" t="s">
        <v>488</v>
      </c>
      <c r="M27" s="51" t="s">
        <v>473</v>
      </c>
      <c r="N27" s="51" t="s">
        <v>168</v>
      </c>
      <c r="O27" s="51" t="s">
        <v>30</v>
      </c>
      <c r="P27" s="51" t="s">
        <v>31</v>
      </c>
      <c r="Q27" s="51" t="s">
        <v>35</v>
      </c>
      <c r="R27" s="36"/>
      <c r="S27" s="51" t="s">
        <v>257</v>
      </c>
      <c r="T27" s="105">
        <v>1.75</v>
      </c>
      <c r="U27" s="87"/>
      <c r="V27" s="39"/>
      <c r="W27" s="39"/>
      <c r="X27" s="40"/>
      <c r="Y27" s="39"/>
      <c r="Z27" s="41"/>
      <c r="AA27" s="41"/>
      <c r="AB27" s="51" t="s">
        <v>36</v>
      </c>
      <c r="AC27" s="51" t="s">
        <v>179</v>
      </c>
      <c r="AD27" s="51" t="s">
        <v>38</v>
      </c>
      <c r="AE27" s="51" t="s">
        <v>190</v>
      </c>
      <c r="AF27" s="51" t="s">
        <v>181</v>
      </c>
      <c r="AG27" s="51" t="s">
        <v>39</v>
      </c>
      <c r="AH27" s="51" t="s">
        <v>190</v>
      </c>
      <c r="AI27" s="106">
        <v>100000000000</v>
      </c>
      <c r="AJ27" s="61" t="e">
        <f t="shared" ca="1" si="6"/>
        <v>#NAME?</v>
      </c>
      <c r="AK27" s="106">
        <v>10000000</v>
      </c>
      <c r="AL27" s="61" t="e">
        <f t="shared" ca="1" si="7"/>
        <v>#NAME?</v>
      </c>
      <c r="AM27" s="107">
        <v>0.08</v>
      </c>
      <c r="AN27" s="99"/>
      <c r="AO27" s="99"/>
      <c r="AP27" s="51" t="s">
        <v>181</v>
      </c>
      <c r="AQ27" s="51" t="s">
        <v>181</v>
      </c>
      <c r="AR27" s="51" t="s">
        <v>42</v>
      </c>
      <c r="AS27" s="101" t="s">
        <v>181</v>
      </c>
      <c r="AT27" s="101" t="s">
        <v>39</v>
      </c>
      <c r="AU27" s="51" t="s">
        <v>190</v>
      </c>
      <c r="AV27" s="51" t="s">
        <v>190</v>
      </c>
      <c r="AW27" s="51" t="s">
        <v>190</v>
      </c>
      <c r="AX27" s="51" t="s">
        <v>190</v>
      </c>
      <c r="AY27" s="106">
        <v>0</v>
      </c>
      <c r="AZ27" s="106"/>
      <c r="BA27" s="106">
        <v>0</v>
      </c>
      <c r="BB27" s="106">
        <v>0</v>
      </c>
      <c r="BC27" s="38"/>
      <c r="BD27" s="38">
        <f t="shared" si="8"/>
        <v>1</v>
      </c>
      <c r="BE27" s="34"/>
      <c r="BF27" s="51" t="s">
        <v>43</v>
      </c>
      <c r="BG27" s="36"/>
      <c r="BH27" s="51" t="s">
        <v>190</v>
      </c>
      <c r="BI27" s="99">
        <v>0</v>
      </c>
      <c r="BJ27" s="99">
        <v>1</v>
      </c>
      <c r="BK27" s="51" t="s">
        <v>190</v>
      </c>
      <c r="BL27" s="51" t="s">
        <v>190</v>
      </c>
      <c r="BM27" s="51" t="s">
        <v>190</v>
      </c>
      <c r="BN27" s="51" t="s">
        <v>190</v>
      </c>
      <c r="BO27" s="99">
        <v>1</v>
      </c>
      <c r="BP27" s="99">
        <v>1</v>
      </c>
      <c r="BQ27" s="99">
        <v>0</v>
      </c>
      <c r="BR27" s="99">
        <v>0</v>
      </c>
      <c r="BS27" s="51"/>
      <c r="BT27" s="99">
        <v>5</v>
      </c>
      <c r="BU27" s="99">
        <v>0</v>
      </c>
      <c r="BV27" s="99">
        <v>42</v>
      </c>
      <c r="BW27" s="51" t="s">
        <v>190</v>
      </c>
      <c r="BX27" s="51"/>
      <c r="BY27" s="36"/>
      <c r="BZ27" s="36"/>
      <c r="CA27" s="36"/>
      <c r="CB27" s="36"/>
      <c r="CC27" s="51"/>
      <c r="CD27" s="36"/>
      <c r="CE27" s="36"/>
      <c r="CF27" s="36"/>
      <c r="CG27" s="36"/>
      <c r="CH27" s="51"/>
      <c r="CI27" s="36"/>
      <c r="CJ27" s="36"/>
      <c r="CK27" s="36"/>
      <c r="CL27" s="36"/>
      <c r="CM27" s="51"/>
      <c r="CN27" s="36"/>
      <c r="CO27" s="36"/>
      <c r="CP27" s="36"/>
      <c r="CQ27" s="36"/>
      <c r="CR27" s="51"/>
      <c r="CS27" s="36"/>
      <c r="CT27" s="36"/>
      <c r="CU27" s="36"/>
      <c r="CV27" s="36"/>
      <c r="CW27" s="51"/>
      <c r="CX27" s="36"/>
      <c r="CY27" s="36"/>
      <c r="CZ27" s="36"/>
      <c r="DA27" s="36"/>
      <c r="DB27" s="51"/>
      <c r="DC27" s="36"/>
      <c r="DD27" s="36"/>
      <c r="DE27" s="36"/>
      <c r="DF27" s="36"/>
      <c r="DG27" s="51"/>
      <c r="DH27" s="36"/>
      <c r="DI27" s="36"/>
      <c r="DJ27" s="36"/>
      <c r="DK27" s="36"/>
      <c r="DL27" s="51"/>
      <c r="DM27" s="51"/>
      <c r="DN27" s="51"/>
    </row>
    <row r="28" spans="1:118" ht="15.75" customHeight="1">
      <c r="A28" s="57"/>
      <c r="B28" s="51" t="s">
        <v>355</v>
      </c>
      <c r="C28" s="99">
        <v>1790424</v>
      </c>
      <c r="D28" s="101" t="s">
        <v>492</v>
      </c>
      <c r="E28" s="102">
        <v>43879.463194444441</v>
      </c>
      <c r="F28" s="51" t="s">
        <v>270</v>
      </c>
      <c r="G28" s="103" t="s">
        <v>493</v>
      </c>
      <c r="H28" s="103" t="s">
        <v>494</v>
      </c>
      <c r="I28" s="104">
        <v>43893</v>
      </c>
      <c r="J28" s="101" t="s">
        <v>495</v>
      </c>
      <c r="K28" s="101" t="s">
        <v>495</v>
      </c>
      <c r="M28" s="51" t="s">
        <v>496</v>
      </c>
      <c r="N28" s="51" t="s">
        <v>168</v>
      </c>
      <c r="O28" s="51" t="s">
        <v>30</v>
      </c>
      <c r="P28" s="51" t="s">
        <v>174</v>
      </c>
      <c r="Q28" s="51" t="s">
        <v>35</v>
      </c>
      <c r="R28" s="36"/>
      <c r="S28" s="51" t="s">
        <v>257</v>
      </c>
      <c r="T28" s="105">
        <v>3</v>
      </c>
      <c r="U28" s="87"/>
      <c r="V28" s="39"/>
      <c r="W28" s="39"/>
      <c r="X28" s="40"/>
      <c r="Y28" s="39"/>
      <c r="Z28" s="41"/>
      <c r="AA28" s="41"/>
      <c r="AB28" s="51" t="s">
        <v>36</v>
      </c>
      <c r="AC28" s="51" t="s">
        <v>37</v>
      </c>
      <c r="AD28" s="51" t="s">
        <v>38</v>
      </c>
      <c r="AE28" s="51" t="s">
        <v>227</v>
      </c>
      <c r="AF28" s="51" t="s">
        <v>181</v>
      </c>
      <c r="AG28" s="51" t="s">
        <v>181</v>
      </c>
      <c r="AH28" s="51" t="s">
        <v>190</v>
      </c>
      <c r="AI28" s="106">
        <v>4000000000</v>
      </c>
      <c r="AJ28" s="61" t="e">
        <f t="shared" ca="1" si="6"/>
        <v>#NAME?</v>
      </c>
      <c r="AK28" s="106">
        <v>50000000</v>
      </c>
      <c r="AL28" s="61" t="e">
        <f t="shared" ca="1" si="7"/>
        <v>#NAME?</v>
      </c>
      <c r="AM28" s="107">
        <v>0.5</v>
      </c>
      <c r="AN28" s="99"/>
      <c r="AO28" s="99"/>
      <c r="AP28" s="51" t="s">
        <v>181</v>
      </c>
      <c r="AQ28" s="51" t="s">
        <v>181</v>
      </c>
      <c r="AR28" s="51" t="s">
        <v>42</v>
      </c>
      <c r="AS28" s="101" t="s">
        <v>181</v>
      </c>
      <c r="AT28" s="101" t="s">
        <v>39</v>
      </c>
      <c r="AU28" s="51" t="s">
        <v>190</v>
      </c>
      <c r="AV28" s="51" t="s">
        <v>190</v>
      </c>
      <c r="AW28" s="51" t="s">
        <v>227</v>
      </c>
      <c r="AX28" s="51" t="s">
        <v>227</v>
      </c>
      <c r="AY28" s="106">
        <v>121205</v>
      </c>
      <c r="AZ28" s="106"/>
      <c r="BA28" s="106">
        <v>0</v>
      </c>
      <c r="BB28" s="106">
        <v>0</v>
      </c>
      <c r="BC28" s="38"/>
      <c r="BD28" s="38">
        <f t="shared" si="8"/>
        <v>1</v>
      </c>
      <c r="BE28" s="34"/>
      <c r="BF28" s="51" t="s">
        <v>219</v>
      </c>
      <c r="BG28" s="36"/>
      <c r="BH28" s="51" t="s">
        <v>190</v>
      </c>
      <c r="BI28" s="99">
        <v>0</v>
      </c>
      <c r="BJ28" s="99">
        <v>3</v>
      </c>
      <c r="BK28" s="51" t="s">
        <v>190</v>
      </c>
      <c r="BL28" s="51" t="s">
        <v>190</v>
      </c>
      <c r="BM28" s="51" t="s">
        <v>190</v>
      </c>
      <c r="BN28" s="51" t="s">
        <v>190</v>
      </c>
      <c r="BO28" s="99">
        <v>1</v>
      </c>
      <c r="BP28" s="99">
        <v>1</v>
      </c>
      <c r="BQ28" s="99">
        <v>0</v>
      </c>
      <c r="BR28" s="99">
        <v>0</v>
      </c>
      <c r="BS28" s="51"/>
      <c r="BT28" s="99">
        <v>5</v>
      </c>
      <c r="BU28" s="99">
        <v>0</v>
      </c>
      <c r="BV28" s="89">
        <v>50</v>
      </c>
      <c r="BW28" s="88" t="s">
        <v>190</v>
      </c>
      <c r="BX28" s="51"/>
      <c r="BY28" s="36"/>
      <c r="BZ28" s="36"/>
      <c r="CA28" s="36"/>
      <c r="CB28" s="36"/>
      <c r="CC28" s="51"/>
      <c r="CD28" s="36"/>
      <c r="CE28" s="36"/>
      <c r="CF28" s="36"/>
      <c r="CG28" s="36"/>
      <c r="CH28" s="51"/>
      <c r="CI28" s="36"/>
      <c r="CJ28" s="36"/>
      <c r="CK28" s="36"/>
      <c r="CL28" s="36"/>
      <c r="CM28" s="51"/>
      <c r="CN28" s="36"/>
      <c r="CO28" s="36"/>
      <c r="CP28" s="36"/>
      <c r="CQ28" s="36"/>
      <c r="CR28" s="51"/>
      <c r="CS28" s="36"/>
      <c r="CT28" s="36"/>
      <c r="CU28" s="36"/>
      <c r="CV28" s="36"/>
      <c r="CW28" s="51"/>
      <c r="CX28" s="36"/>
      <c r="CY28" s="36"/>
      <c r="CZ28" s="36"/>
      <c r="DA28" s="36"/>
      <c r="DB28" s="51"/>
      <c r="DC28" s="36"/>
      <c r="DD28" s="36"/>
      <c r="DE28" s="36"/>
      <c r="DF28" s="36"/>
      <c r="DG28" s="51"/>
      <c r="DH28" s="36"/>
      <c r="DI28" s="36"/>
      <c r="DJ28" s="36"/>
      <c r="DK28" s="36"/>
      <c r="DL28" s="51"/>
      <c r="DM28" s="51"/>
      <c r="DN28" s="51"/>
    </row>
    <row r="29" spans="1:118" ht="15.75" customHeight="1">
      <c r="A29" s="57"/>
      <c r="B29" s="51" t="s">
        <v>355</v>
      </c>
      <c r="C29" s="99">
        <v>1802932</v>
      </c>
      <c r="D29" s="101" t="s">
        <v>497</v>
      </c>
      <c r="E29" s="102">
        <v>43879.491666666669</v>
      </c>
      <c r="F29" s="51" t="s">
        <v>160</v>
      </c>
      <c r="G29" s="103" t="s">
        <v>498</v>
      </c>
      <c r="H29" s="103" t="s">
        <v>499</v>
      </c>
      <c r="I29" s="104">
        <v>43873</v>
      </c>
      <c r="J29" s="101" t="s">
        <v>500</v>
      </c>
      <c r="K29" s="101" t="s">
        <v>497</v>
      </c>
      <c r="M29" s="51" t="s">
        <v>473</v>
      </c>
      <c r="N29" s="51" t="s">
        <v>168</v>
      </c>
      <c r="O29" s="51" t="s">
        <v>30</v>
      </c>
      <c r="P29" s="51" t="s">
        <v>31</v>
      </c>
      <c r="Q29" s="51" t="s">
        <v>35</v>
      </c>
      <c r="R29" s="36"/>
      <c r="S29" s="51" t="s">
        <v>257</v>
      </c>
      <c r="T29" s="105">
        <v>1.5</v>
      </c>
      <c r="U29" s="87"/>
      <c r="V29" s="39"/>
      <c r="W29" s="39"/>
      <c r="X29" s="40"/>
      <c r="Y29" s="39"/>
      <c r="Z29" s="41"/>
      <c r="AA29" s="41"/>
      <c r="AB29" s="51" t="s">
        <v>36</v>
      </c>
      <c r="AC29" s="51" t="s">
        <v>179</v>
      </c>
      <c r="AD29" s="51" t="s">
        <v>38</v>
      </c>
      <c r="AE29" s="51" t="s">
        <v>190</v>
      </c>
      <c r="AF29" s="51" t="s">
        <v>181</v>
      </c>
      <c r="AG29" s="51" t="s">
        <v>39</v>
      </c>
      <c r="AH29" s="51" t="s">
        <v>190</v>
      </c>
      <c r="AI29" s="106">
        <v>55000000000</v>
      </c>
      <c r="AJ29" s="61" t="e">
        <f t="shared" ca="1" si="6"/>
        <v>#NAME?</v>
      </c>
      <c r="AK29" s="106">
        <v>50000000</v>
      </c>
      <c r="AL29" s="61" t="e">
        <f t="shared" ca="1" si="7"/>
        <v>#NAME?</v>
      </c>
      <c r="AM29" s="107">
        <v>0.08</v>
      </c>
      <c r="AN29" s="99"/>
      <c r="AO29" s="99"/>
      <c r="AP29" s="51" t="s">
        <v>181</v>
      </c>
      <c r="AQ29" s="51" t="s">
        <v>181</v>
      </c>
      <c r="AR29" s="51" t="s">
        <v>42</v>
      </c>
      <c r="AS29" s="101" t="s">
        <v>181</v>
      </c>
      <c r="AT29" s="101" t="s">
        <v>39</v>
      </c>
      <c r="AU29" s="51" t="s">
        <v>190</v>
      </c>
      <c r="AV29" s="51" t="s">
        <v>190</v>
      </c>
      <c r="AW29" s="51" t="s">
        <v>190</v>
      </c>
      <c r="AX29" s="51" t="s">
        <v>190</v>
      </c>
      <c r="AY29" s="106">
        <v>0</v>
      </c>
      <c r="AZ29" s="106"/>
      <c r="BA29" s="106">
        <v>0</v>
      </c>
      <c r="BB29" s="106">
        <v>0</v>
      </c>
      <c r="BC29" s="38"/>
      <c r="BD29" s="38">
        <f t="shared" si="8"/>
        <v>1</v>
      </c>
      <c r="BE29" s="34"/>
      <c r="BF29" s="51" t="s">
        <v>43</v>
      </c>
      <c r="BG29" s="36"/>
      <c r="BH29" s="51" t="s">
        <v>190</v>
      </c>
      <c r="BI29" s="99">
        <v>0</v>
      </c>
      <c r="BJ29" s="99">
        <v>1</v>
      </c>
      <c r="BK29" s="51" t="s">
        <v>190</v>
      </c>
      <c r="BL29" s="51" t="s">
        <v>227</v>
      </c>
      <c r="BM29" s="51" t="s">
        <v>190</v>
      </c>
      <c r="BN29" s="51" t="s">
        <v>190</v>
      </c>
      <c r="BO29" s="99">
        <v>2</v>
      </c>
      <c r="BP29" s="99">
        <v>2</v>
      </c>
      <c r="BQ29" s="99">
        <v>0</v>
      </c>
      <c r="BR29" s="99">
        <v>0</v>
      </c>
      <c r="BS29" s="51"/>
      <c r="BT29" s="99">
        <v>5</v>
      </c>
      <c r="BU29" s="99">
        <v>0</v>
      </c>
      <c r="BV29" s="89">
        <v>36</v>
      </c>
      <c r="BW29" s="88" t="s">
        <v>190</v>
      </c>
      <c r="BX29" s="51"/>
      <c r="BY29" s="36"/>
      <c r="BZ29" s="36"/>
      <c r="CA29" s="36"/>
      <c r="CB29" s="36"/>
      <c r="CC29" s="51"/>
      <c r="CD29" s="36"/>
      <c r="CE29" s="36"/>
      <c r="CF29" s="36"/>
      <c r="CG29" s="36"/>
      <c r="CH29" s="51"/>
      <c r="CI29" s="36"/>
      <c r="CJ29" s="36"/>
      <c r="CK29" s="36"/>
      <c r="CL29" s="36"/>
      <c r="CM29" s="51"/>
      <c r="CN29" s="36"/>
      <c r="CO29" s="36"/>
      <c r="CP29" s="36"/>
      <c r="CQ29" s="36"/>
      <c r="CR29" s="51"/>
      <c r="CS29" s="36"/>
      <c r="CT29" s="36"/>
      <c r="CU29" s="36"/>
      <c r="CV29" s="36"/>
      <c r="CW29" s="51"/>
      <c r="CX29" s="36"/>
      <c r="CY29" s="36"/>
      <c r="CZ29" s="36"/>
      <c r="DA29" s="36"/>
      <c r="DB29" s="51"/>
      <c r="DC29" s="36"/>
      <c r="DD29" s="36"/>
      <c r="DE29" s="36"/>
      <c r="DF29" s="36"/>
      <c r="DG29" s="51"/>
      <c r="DH29" s="36"/>
      <c r="DI29" s="36"/>
      <c r="DJ29" s="36"/>
      <c r="DK29" s="36"/>
      <c r="DL29" s="51"/>
      <c r="DM29" s="51"/>
      <c r="DN29" s="51"/>
    </row>
    <row r="30" spans="1:118" ht="15.75" customHeight="1">
      <c r="A30" s="57"/>
      <c r="B30" s="51" t="s">
        <v>501</v>
      </c>
      <c r="C30" s="99">
        <v>1788674</v>
      </c>
      <c r="D30" s="101" t="s">
        <v>502</v>
      </c>
      <c r="E30" s="102">
        <v>43770.496527777781</v>
      </c>
      <c r="F30" s="51" t="s">
        <v>344</v>
      </c>
      <c r="G30" s="103" t="s">
        <v>503</v>
      </c>
      <c r="H30" s="103" t="s">
        <v>504</v>
      </c>
      <c r="I30" s="104">
        <v>43836</v>
      </c>
      <c r="J30" s="101" t="s">
        <v>502</v>
      </c>
      <c r="K30" s="101" t="s">
        <v>505</v>
      </c>
      <c r="M30" s="51" t="s">
        <v>454</v>
      </c>
      <c r="N30" s="51" t="s">
        <v>168</v>
      </c>
      <c r="O30" s="51" t="s">
        <v>30</v>
      </c>
      <c r="P30" s="51" t="s">
        <v>174</v>
      </c>
      <c r="Q30" s="51" t="s">
        <v>35</v>
      </c>
      <c r="R30" s="36"/>
      <c r="S30" s="51" t="s">
        <v>257</v>
      </c>
      <c r="T30" s="105">
        <v>2.25</v>
      </c>
      <c r="U30" s="87"/>
      <c r="V30" s="39"/>
      <c r="W30" s="39"/>
      <c r="X30" s="40"/>
      <c r="Y30" s="39"/>
      <c r="Z30" s="41"/>
      <c r="AA30" s="41"/>
      <c r="AB30" s="51" t="s">
        <v>36</v>
      </c>
      <c r="AC30" s="51" t="s">
        <v>179</v>
      </c>
      <c r="AD30" s="51" t="s">
        <v>38</v>
      </c>
      <c r="AE30" s="51" t="s">
        <v>227</v>
      </c>
      <c r="AF30" s="51" t="s">
        <v>181</v>
      </c>
      <c r="AG30" s="51" t="s">
        <v>181</v>
      </c>
      <c r="AH30" s="51" t="s">
        <v>190</v>
      </c>
      <c r="AI30" s="106">
        <v>114200000000</v>
      </c>
      <c r="AJ30" s="61" t="e">
        <f t="shared" ca="1" si="6"/>
        <v>#NAME?</v>
      </c>
      <c r="AK30" s="106">
        <v>27600000000</v>
      </c>
      <c r="AL30" s="61" t="e">
        <f t="shared" ca="1" si="7"/>
        <v>#NAME?</v>
      </c>
      <c r="AM30" s="107">
        <v>0.04</v>
      </c>
      <c r="AN30" s="99"/>
      <c r="AO30" s="99"/>
      <c r="AP30" s="51" t="s">
        <v>181</v>
      </c>
      <c r="AQ30" s="51" t="s">
        <v>181</v>
      </c>
      <c r="AR30" s="51" t="s">
        <v>42</v>
      </c>
      <c r="AS30" s="101"/>
      <c r="AT30" s="101"/>
      <c r="AU30" s="51" t="s">
        <v>190</v>
      </c>
      <c r="AV30" s="51" t="s">
        <v>190</v>
      </c>
      <c r="AW30" s="51" t="s">
        <v>227</v>
      </c>
      <c r="AX30" s="51" t="s">
        <v>227</v>
      </c>
      <c r="AY30" s="106">
        <v>36792</v>
      </c>
      <c r="AZ30" s="106"/>
      <c r="BA30" s="106">
        <v>5302</v>
      </c>
      <c r="BB30" s="106">
        <v>484471</v>
      </c>
      <c r="BC30" s="38"/>
      <c r="BD30" s="38">
        <f t="shared" si="8"/>
        <v>1.0943895506645393E-2</v>
      </c>
      <c r="BE30" s="34"/>
      <c r="BF30" s="51" t="s">
        <v>202</v>
      </c>
      <c r="BG30" s="36"/>
      <c r="BH30" s="51" t="s">
        <v>190</v>
      </c>
      <c r="BI30" s="99">
        <v>0</v>
      </c>
      <c r="BJ30" s="99">
        <v>1</v>
      </c>
      <c r="BK30" s="51" t="s">
        <v>227</v>
      </c>
      <c r="BL30" s="51" t="s">
        <v>190</v>
      </c>
      <c r="BM30" s="51" t="s">
        <v>190</v>
      </c>
      <c r="BN30" s="51" t="s">
        <v>190</v>
      </c>
      <c r="BO30" s="99">
        <v>1</v>
      </c>
      <c r="BP30" s="99">
        <v>3</v>
      </c>
      <c r="BQ30" s="99">
        <v>0</v>
      </c>
      <c r="BR30" s="99">
        <v>0</v>
      </c>
      <c r="BS30" s="51"/>
      <c r="BT30" s="99">
        <v>3</v>
      </c>
      <c r="BU30" s="99">
        <v>0</v>
      </c>
      <c r="BV30" s="99">
        <v>37</v>
      </c>
      <c r="BW30" s="51" t="s">
        <v>190</v>
      </c>
      <c r="BX30" s="51"/>
      <c r="BY30" s="36"/>
      <c r="BZ30" s="36"/>
      <c r="CA30" s="36"/>
      <c r="CB30" s="36"/>
      <c r="CC30" s="51"/>
      <c r="CD30" s="36"/>
      <c r="CE30" s="36"/>
      <c r="CF30" s="36"/>
      <c r="CG30" s="36"/>
      <c r="CH30" s="51"/>
      <c r="CI30" s="36"/>
      <c r="CJ30" s="36"/>
      <c r="CK30" s="36"/>
      <c r="CL30" s="36"/>
      <c r="CM30" s="51"/>
      <c r="CN30" s="36"/>
      <c r="CO30" s="36"/>
      <c r="CP30" s="36"/>
      <c r="CQ30" s="36"/>
      <c r="CR30" s="51"/>
      <c r="CS30" s="36"/>
      <c r="CT30" s="36"/>
      <c r="CU30" s="36"/>
      <c r="CV30" s="36"/>
      <c r="CW30" s="51"/>
      <c r="CX30" s="36"/>
      <c r="CY30" s="36"/>
      <c r="CZ30" s="36"/>
      <c r="DA30" s="36"/>
      <c r="DB30" s="51"/>
      <c r="DC30" s="36"/>
      <c r="DD30" s="36"/>
      <c r="DE30" s="36"/>
      <c r="DF30" s="36"/>
      <c r="DG30" s="51"/>
      <c r="DH30" s="36"/>
      <c r="DI30" s="36"/>
      <c r="DJ30" s="36"/>
      <c r="DK30" s="36"/>
      <c r="DL30" s="51"/>
      <c r="DM30" s="51"/>
      <c r="DN30" s="51"/>
    </row>
    <row r="31" spans="1:118" ht="15.75" customHeight="1">
      <c r="A31" s="57"/>
      <c r="B31" s="51" t="s">
        <v>501</v>
      </c>
      <c r="C31" s="99">
        <v>1794037</v>
      </c>
      <c r="D31" s="101" t="s">
        <v>506</v>
      </c>
      <c r="E31" s="102">
        <v>43788.461805555555</v>
      </c>
      <c r="F31" s="51" t="s">
        <v>281</v>
      </c>
      <c r="G31" s="103" t="s">
        <v>507</v>
      </c>
      <c r="H31" s="103" t="s">
        <v>508</v>
      </c>
      <c r="I31" s="104">
        <v>43796</v>
      </c>
      <c r="J31" s="101" t="s">
        <v>509</v>
      </c>
      <c r="K31" s="101" t="s">
        <v>510</v>
      </c>
      <c r="M31" s="51" t="s">
        <v>496</v>
      </c>
      <c r="N31" s="51" t="s">
        <v>168</v>
      </c>
      <c r="O31" s="51" t="s">
        <v>30</v>
      </c>
      <c r="P31" s="51" t="s">
        <v>31</v>
      </c>
      <c r="Q31" s="51" t="s">
        <v>35</v>
      </c>
      <c r="R31" s="36"/>
      <c r="S31" s="51" t="s">
        <v>257</v>
      </c>
      <c r="T31" s="105">
        <v>1.75</v>
      </c>
      <c r="U31" s="87"/>
      <c r="V31" s="39"/>
      <c r="W31" s="39"/>
      <c r="X31" s="40"/>
      <c r="Y31" s="39"/>
      <c r="Z31" s="41"/>
      <c r="AA31" s="41"/>
      <c r="AB31" s="51" t="s">
        <v>36</v>
      </c>
      <c r="AC31" s="51" t="s">
        <v>218</v>
      </c>
      <c r="AD31" s="51" t="s">
        <v>38</v>
      </c>
      <c r="AE31" s="51" t="s">
        <v>227</v>
      </c>
      <c r="AF31" s="51" t="s">
        <v>181</v>
      </c>
      <c r="AG31" s="51" t="s">
        <v>181</v>
      </c>
      <c r="AH31" s="51" t="s">
        <v>190</v>
      </c>
      <c r="AI31" s="106">
        <v>200000000000</v>
      </c>
      <c r="AJ31" s="61" t="e">
        <f t="shared" ca="1" si="6"/>
        <v>#NAME?</v>
      </c>
      <c r="AK31" s="106">
        <v>10200000000</v>
      </c>
      <c r="AL31" s="61" t="e">
        <f t="shared" ca="1" si="7"/>
        <v>#NAME?</v>
      </c>
      <c r="AM31" s="107">
        <v>0.19</v>
      </c>
      <c r="AN31" s="99"/>
      <c r="AO31" s="99"/>
      <c r="AP31" s="51" t="s">
        <v>181</v>
      </c>
      <c r="AQ31" s="51" t="s">
        <v>181</v>
      </c>
      <c r="AR31" s="51" t="s">
        <v>42</v>
      </c>
      <c r="AS31" s="101"/>
      <c r="AT31" s="101"/>
      <c r="AU31" s="51" t="s">
        <v>190</v>
      </c>
      <c r="AV31" s="51" t="s">
        <v>190</v>
      </c>
      <c r="AW31" s="51" t="s">
        <v>227</v>
      </c>
      <c r="AX31" s="51" t="s">
        <v>227</v>
      </c>
      <c r="AY31" s="106">
        <v>3138</v>
      </c>
      <c r="AZ31" s="106"/>
      <c r="BA31" s="106">
        <v>1387</v>
      </c>
      <c r="BB31" s="106">
        <v>0</v>
      </c>
      <c r="BC31" s="38"/>
      <c r="BD31" s="38">
        <f t="shared" si="8"/>
        <v>1</v>
      </c>
      <c r="BE31" s="34"/>
      <c r="BF31" s="51" t="s">
        <v>202</v>
      </c>
      <c r="BG31" s="36"/>
      <c r="BH31" s="51" t="s">
        <v>190</v>
      </c>
      <c r="BI31" s="99">
        <v>0</v>
      </c>
      <c r="BJ31" s="99">
        <v>3</v>
      </c>
      <c r="BK31" s="51" t="s">
        <v>227</v>
      </c>
      <c r="BL31" s="51" t="s">
        <v>190</v>
      </c>
      <c r="BM31" s="51" t="s">
        <v>190</v>
      </c>
      <c r="BN31" s="51" t="s">
        <v>190</v>
      </c>
      <c r="BO31" s="99">
        <v>0</v>
      </c>
      <c r="BP31" s="99">
        <v>3</v>
      </c>
      <c r="BQ31" s="99">
        <v>0</v>
      </c>
      <c r="BR31" s="99">
        <v>0</v>
      </c>
      <c r="BS31" s="51"/>
      <c r="BT31" s="99">
        <v>11</v>
      </c>
      <c r="BU31" s="99">
        <v>0</v>
      </c>
      <c r="BV31" s="99">
        <v>42</v>
      </c>
      <c r="BW31" s="51" t="s">
        <v>190</v>
      </c>
      <c r="BX31" s="51"/>
      <c r="BY31" s="100">
        <v>0</v>
      </c>
      <c r="BZ31" s="36"/>
      <c r="CA31" s="36"/>
      <c r="CB31" s="36"/>
      <c r="CC31" s="51"/>
      <c r="CD31" s="100">
        <v>0</v>
      </c>
      <c r="CE31" s="36"/>
      <c r="CF31" s="36"/>
      <c r="CG31" s="36"/>
      <c r="CH31" s="51"/>
      <c r="CI31" s="36"/>
      <c r="CJ31" s="36"/>
      <c r="CK31" s="36"/>
      <c r="CL31" s="36"/>
      <c r="CM31" s="51"/>
      <c r="CN31" s="36"/>
      <c r="CO31" s="36"/>
      <c r="CP31" s="36"/>
      <c r="CQ31" s="36"/>
      <c r="CR31" s="51"/>
      <c r="CS31" s="36"/>
      <c r="CT31" s="36"/>
      <c r="CU31" s="36"/>
      <c r="CV31" s="36"/>
      <c r="CW31" s="51"/>
      <c r="CX31" s="36"/>
      <c r="CY31" s="36"/>
      <c r="CZ31" s="36"/>
      <c r="DA31" s="36"/>
      <c r="DB31" s="51"/>
      <c r="DC31" s="36"/>
      <c r="DD31" s="36"/>
      <c r="DE31" s="36"/>
      <c r="DF31" s="36"/>
      <c r="DG31" s="51"/>
      <c r="DH31" s="36"/>
      <c r="DI31" s="36"/>
      <c r="DJ31" s="36"/>
      <c r="DK31" s="36"/>
      <c r="DL31" s="51"/>
      <c r="DM31" s="51"/>
      <c r="DN31" s="51"/>
    </row>
    <row r="32" spans="1:118" ht="15.75" customHeight="1">
      <c r="A32" s="57"/>
      <c r="B32" s="51" t="s">
        <v>501</v>
      </c>
      <c r="C32" s="99">
        <v>1794407</v>
      </c>
      <c r="D32" s="101" t="s">
        <v>511</v>
      </c>
      <c r="E32" s="102">
        <v>43790.573611111111</v>
      </c>
      <c r="F32" s="51" t="s">
        <v>160</v>
      </c>
      <c r="G32" s="103" t="s">
        <v>512</v>
      </c>
      <c r="H32" s="103" t="s">
        <v>513</v>
      </c>
      <c r="I32" s="104">
        <v>43893</v>
      </c>
      <c r="J32" s="101" t="s">
        <v>514</v>
      </c>
      <c r="K32" s="101" t="s">
        <v>511</v>
      </c>
      <c r="M32" s="51" t="s">
        <v>459</v>
      </c>
      <c r="N32" s="51" t="s">
        <v>168</v>
      </c>
      <c r="O32" s="51" t="s">
        <v>30</v>
      </c>
      <c r="P32" s="51" t="s">
        <v>174</v>
      </c>
      <c r="Q32" s="51" t="s">
        <v>35</v>
      </c>
      <c r="R32" s="36"/>
      <c r="S32" s="51" t="s">
        <v>257</v>
      </c>
      <c r="T32" s="105">
        <v>1.8</v>
      </c>
      <c r="U32" s="87"/>
      <c r="V32" s="39"/>
      <c r="W32" s="39"/>
      <c r="X32" s="40"/>
      <c r="Y32" s="39"/>
      <c r="Z32" s="41"/>
      <c r="AA32" s="41"/>
      <c r="AB32" s="51" t="s">
        <v>36</v>
      </c>
      <c r="AC32" s="51" t="s">
        <v>179</v>
      </c>
      <c r="AD32" s="51" t="s">
        <v>38</v>
      </c>
      <c r="AE32" s="51" t="s">
        <v>227</v>
      </c>
      <c r="AF32" s="51" t="s">
        <v>181</v>
      </c>
      <c r="AG32" s="51" t="s">
        <v>181</v>
      </c>
      <c r="AH32" s="51" t="s">
        <v>190</v>
      </c>
      <c r="AI32" s="106">
        <v>20645000000</v>
      </c>
      <c r="AJ32" s="61" t="e">
        <f t="shared" ca="1" si="6"/>
        <v>#NAME?</v>
      </c>
      <c r="AK32" s="106">
        <v>20645000000</v>
      </c>
      <c r="AL32" s="61" t="e">
        <f t="shared" ca="1" si="7"/>
        <v>#NAME?</v>
      </c>
      <c r="AM32" s="107">
        <v>0.04</v>
      </c>
      <c r="AN32" s="99"/>
      <c r="AO32" s="99"/>
      <c r="AP32" s="51" t="s">
        <v>181</v>
      </c>
      <c r="AQ32" s="51" t="s">
        <v>181</v>
      </c>
      <c r="AR32" s="51" t="s">
        <v>42</v>
      </c>
      <c r="AS32" s="101"/>
      <c r="AT32" s="101"/>
      <c r="AU32" s="51" t="s">
        <v>190</v>
      </c>
      <c r="AV32" s="51" t="s">
        <v>190</v>
      </c>
      <c r="AW32" s="51" t="s">
        <v>227</v>
      </c>
      <c r="AX32" s="51" t="s">
        <v>227</v>
      </c>
      <c r="AY32" s="106">
        <v>0</v>
      </c>
      <c r="AZ32" s="106"/>
      <c r="BA32" s="106">
        <v>0</v>
      </c>
      <c r="BB32" s="106">
        <v>0</v>
      </c>
      <c r="BC32" s="38"/>
      <c r="BD32" s="38">
        <f t="shared" si="8"/>
        <v>1</v>
      </c>
      <c r="BE32" s="34"/>
      <c r="BF32" s="51" t="s">
        <v>183</v>
      </c>
      <c r="BG32" s="36"/>
      <c r="BH32" s="51" t="s">
        <v>190</v>
      </c>
      <c r="BI32" s="99">
        <v>0</v>
      </c>
      <c r="BJ32" s="99">
        <v>1</v>
      </c>
      <c r="BK32" s="51" t="s">
        <v>227</v>
      </c>
      <c r="BL32" s="51" t="s">
        <v>190</v>
      </c>
      <c r="BM32" s="51" t="s">
        <v>190</v>
      </c>
      <c r="BN32" s="51" t="s">
        <v>190</v>
      </c>
      <c r="BO32" s="99">
        <v>1</v>
      </c>
      <c r="BP32" s="99">
        <v>2</v>
      </c>
      <c r="BQ32" s="99">
        <v>0</v>
      </c>
      <c r="BR32" s="99">
        <v>0</v>
      </c>
      <c r="BS32" s="51"/>
      <c r="BT32" s="99">
        <v>20</v>
      </c>
      <c r="BU32" s="99">
        <v>0</v>
      </c>
      <c r="BV32" s="99">
        <v>58</v>
      </c>
      <c r="BW32" s="51" t="s">
        <v>190</v>
      </c>
      <c r="BX32" s="51"/>
      <c r="BY32" s="36"/>
      <c r="BZ32" s="36"/>
      <c r="CA32" s="36"/>
      <c r="CB32" s="36"/>
      <c r="CC32" s="51"/>
      <c r="CD32" s="36"/>
      <c r="CE32" s="36"/>
      <c r="CF32" s="36"/>
      <c r="CG32" s="36"/>
      <c r="CH32" s="51"/>
      <c r="CI32" s="36"/>
      <c r="CJ32" s="36"/>
      <c r="CK32" s="36"/>
      <c r="CL32" s="36"/>
      <c r="CM32" s="51"/>
      <c r="CN32" s="36"/>
      <c r="CO32" s="36"/>
      <c r="CP32" s="36"/>
      <c r="CQ32" s="36"/>
      <c r="CR32" s="51"/>
      <c r="CS32" s="36"/>
      <c r="CT32" s="36"/>
      <c r="CU32" s="36"/>
      <c r="CV32" s="36"/>
      <c r="CW32" s="51"/>
      <c r="CX32" s="36"/>
      <c r="CY32" s="36"/>
      <c r="CZ32" s="36"/>
      <c r="DA32" s="36"/>
      <c r="DB32" s="51"/>
      <c r="DC32" s="36"/>
      <c r="DD32" s="36"/>
      <c r="DE32" s="36"/>
      <c r="DF32" s="36"/>
      <c r="DG32" s="51"/>
      <c r="DH32" s="36"/>
      <c r="DI32" s="36"/>
      <c r="DJ32" s="36"/>
      <c r="DK32" s="36"/>
      <c r="DL32" s="51"/>
      <c r="DM32" s="51"/>
      <c r="DN32" s="51"/>
    </row>
    <row r="33" spans="1:118" ht="15.75" customHeight="1">
      <c r="A33" s="57"/>
      <c r="B33" s="51" t="s">
        <v>501</v>
      </c>
      <c r="C33" s="99">
        <v>1788198</v>
      </c>
      <c r="D33" s="101" t="s">
        <v>515</v>
      </c>
      <c r="E33" s="102">
        <v>43819.511111111111</v>
      </c>
      <c r="F33" s="51" t="s">
        <v>344</v>
      </c>
      <c r="G33" s="103" t="s">
        <v>516</v>
      </c>
      <c r="H33" s="103" t="s">
        <v>517</v>
      </c>
      <c r="I33" s="104">
        <v>43760</v>
      </c>
      <c r="J33" s="101" t="s">
        <v>518</v>
      </c>
      <c r="K33" s="101" t="s">
        <v>519</v>
      </c>
      <c r="M33" s="51" t="s">
        <v>483</v>
      </c>
      <c r="N33" s="51" t="s">
        <v>168</v>
      </c>
      <c r="O33" s="51" t="s">
        <v>30</v>
      </c>
      <c r="P33" s="51" t="s">
        <v>174</v>
      </c>
      <c r="Q33" s="51" t="s">
        <v>35</v>
      </c>
      <c r="R33" s="36"/>
      <c r="S33" s="51" t="s">
        <v>246</v>
      </c>
      <c r="T33" s="105">
        <v>2</v>
      </c>
      <c r="U33" s="87"/>
      <c r="V33" s="39"/>
      <c r="W33" s="39"/>
      <c r="X33" s="40"/>
      <c r="Y33" s="39"/>
      <c r="Z33" s="41"/>
      <c r="AA33" s="41"/>
      <c r="AB33" s="51" t="s">
        <v>36</v>
      </c>
      <c r="AC33" s="51" t="s">
        <v>218</v>
      </c>
      <c r="AD33" s="51" t="s">
        <v>38</v>
      </c>
      <c r="AE33" s="51" t="s">
        <v>190</v>
      </c>
      <c r="AF33" s="51" t="s">
        <v>39</v>
      </c>
      <c r="AG33" s="51" t="s">
        <v>39</v>
      </c>
      <c r="AH33" s="51" t="s">
        <v>190</v>
      </c>
      <c r="AI33" s="106">
        <v>11321000000</v>
      </c>
      <c r="AJ33" s="61" t="e">
        <f t="shared" ca="1" si="6"/>
        <v>#NAME?</v>
      </c>
      <c r="AK33" s="106">
        <v>1245310000</v>
      </c>
      <c r="AL33" s="61" t="e">
        <f t="shared" ca="1" si="7"/>
        <v>#NAME?</v>
      </c>
      <c r="AM33" s="107">
        <v>0</v>
      </c>
      <c r="AN33" s="99"/>
      <c r="AO33" s="99"/>
      <c r="AP33" s="51" t="s">
        <v>181</v>
      </c>
      <c r="AQ33" s="51" t="s">
        <v>181</v>
      </c>
      <c r="AR33" s="51" t="s">
        <v>42</v>
      </c>
      <c r="AS33" s="101"/>
      <c r="AT33" s="101"/>
      <c r="AU33" s="51" t="s">
        <v>190</v>
      </c>
      <c r="AV33" s="51" t="s">
        <v>190</v>
      </c>
      <c r="AW33" s="51" t="s">
        <v>190</v>
      </c>
      <c r="AX33" s="51" t="s">
        <v>190</v>
      </c>
      <c r="AY33" s="106">
        <v>0</v>
      </c>
      <c r="AZ33" s="106"/>
      <c r="BA33" s="106">
        <v>528</v>
      </c>
      <c r="BB33" s="106">
        <v>152764</v>
      </c>
      <c r="BC33" s="38"/>
      <c r="BD33" s="38">
        <f t="shared" si="8"/>
        <v>3.4563116964729909E-3</v>
      </c>
      <c r="BE33" s="34"/>
      <c r="BF33" s="51" t="s">
        <v>43</v>
      </c>
      <c r="BG33" s="36"/>
      <c r="BH33" s="51" t="s">
        <v>190</v>
      </c>
      <c r="BI33" s="99">
        <v>0</v>
      </c>
      <c r="BJ33" s="99">
        <v>1</v>
      </c>
      <c r="BK33" s="51" t="s">
        <v>227</v>
      </c>
      <c r="BL33" s="51" t="s">
        <v>190</v>
      </c>
      <c r="BM33" s="51" t="s">
        <v>190</v>
      </c>
      <c r="BN33" s="51" t="s">
        <v>190</v>
      </c>
      <c r="BO33" s="99">
        <v>1</v>
      </c>
      <c r="BP33" s="99">
        <v>1</v>
      </c>
      <c r="BQ33" s="99">
        <v>0</v>
      </c>
      <c r="BR33" s="99">
        <v>0</v>
      </c>
      <c r="BS33" s="51"/>
      <c r="BT33" s="99">
        <v>24</v>
      </c>
      <c r="BU33" s="99">
        <v>0</v>
      </c>
      <c r="BV33" s="99">
        <v>38</v>
      </c>
      <c r="BW33" s="51" t="s">
        <v>190</v>
      </c>
      <c r="BX33" s="51"/>
      <c r="BY33" s="36"/>
      <c r="BZ33" s="36"/>
      <c r="CA33" s="36"/>
      <c r="CB33" s="36"/>
      <c r="CC33" s="51"/>
      <c r="CD33" s="36"/>
      <c r="CE33" s="36"/>
      <c r="CF33" s="36"/>
      <c r="CG33" s="36"/>
      <c r="CH33" s="51"/>
      <c r="CI33" s="36"/>
      <c r="CJ33" s="36"/>
      <c r="CK33" s="36"/>
      <c r="CL33" s="36"/>
      <c r="CM33" s="51"/>
      <c r="CN33" s="36"/>
      <c r="CO33" s="36"/>
      <c r="CP33" s="36"/>
      <c r="CQ33" s="36"/>
      <c r="CR33" s="51"/>
      <c r="CS33" s="36"/>
      <c r="CT33" s="36"/>
      <c r="CU33" s="36"/>
      <c r="CV33" s="36"/>
      <c r="CW33" s="51"/>
      <c r="CX33" s="36"/>
      <c r="CY33" s="36"/>
      <c r="CZ33" s="36"/>
      <c r="DA33" s="36"/>
      <c r="DB33" s="51"/>
      <c r="DC33" s="36"/>
      <c r="DD33" s="36"/>
      <c r="DE33" s="36"/>
      <c r="DF33" s="36"/>
      <c r="DG33" s="51"/>
      <c r="DH33" s="36"/>
      <c r="DI33" s="36"/>
      <c r="DJ33" s="36"/>
      <c r="DK33" s="36"/>
      <c r="DL33" s="51"/>
      <c r="DM33" s="51"/>
      <c r="DN33" s="51"/>
    </row>
    <row r="34" spans="1:118" ht="15.75" customHeight="1">
      <c r="A34" s="57"/>
      <c r="B34" s="51" t="s">
        <v>501</v>
      </c>
      <c r="C34" s="99">
        <v>1783625</v>
      </c>
      <c r="D34" s="101" t="s">
        <v>520</v>
      </c>
      <c r="E34" s="102">
        <v>43832.547222222223</v>
      </c>
      <c r="F34" s="51" t="s">
        <v>160</v>
      </c>
      <c r="G34" s="103" t="s">
        <v>521</v>
      </c>
      <c r="H34" s="103" t="s">
        <v>522</v>
      </c>
      <c r="I34" s="104">
        <v>43872</v>
      </c>
      <c r="J34" s="101" t="s">
        <v>523</v>
      </c>
      <c r="K34" s="101" t="s">
        <v>520</v>
      </c>
      <c r="M34" s="51" t="s">
        <v>524</v>
      </c>
      <c r="N34" s="51" t="s">
        <v>168</v>
      </c>
      <c r="O34" s="51" t="s">
        <v>30</v>
      </c>
      <c r="P34" s="51" t="s">
        <v>31</v>
      </c>
      <c r="Q34" s="51" t="s">
        <v>35</v>
      </c>
      <c r="R34" s="36"/>
      <c r="S34" s="51" t="s">
        <v>257</v>
      </c>
      <c r="T34" s="105">
        <v>1.35</v>
      </c>
      <c r="U34" s="87"/>
      <c r="V34" s="39"/>
      <c r="W34" s="39"/>
      <c r="X34" s="40"/>
      <c r="Y34" s="39"/>
      <c r="Z34" s="41"/>
      <c r="AA34" s="41"/>
      <c r="AB34" s="51" t="s">
        <v>36</v>
      </c>
      <c r="AC34" s="51" t="s">
        <v>179</v>
      </c>
      <c r="AD34" s="51" t="s">
        <v>38</v>
      </c>
      <c r="AE34" s="51" t="s">
        <v>227</v>
      </c>
      <c r="AF34" s="51" t="s">
        <v>181</v>
      </c>
      <c r="AG34" s="51" t="s">
        <v>39</v>
      </c>
      <c r="AH34" s="51" t="s">
        <v>190</v>
      </c>
      <c r="AI34" s="106">
        <v>114200000000</v>
      </c>
      <c r="AJ34" s="61" t="e">
        <f t="shared" ca="1" si="6"/>
        <v>#NAME?</v>
      </c>
      <c r="AK34" s="106">
        <v>27600000000</v>
      </c>
      <c r="AL34" s="61" t="e">
        <f t="shared" ca="1" si="7"/>
        <v>#NAME?</v>
      </c>
      <c r="AM34" s="107">
        <v>0.04</v>
      </c>
      <c r="AN34" s="99"/>
      <c r="AO34" s="99"/>
      <c r="AP34" s="51" t="s">
        <v>181</v>
      </c>
      <c r="AQ34" s="51" t="s">
        <v>181</v>
      </c>
      <c r="AR34" s="51" t="s">
        <v>42</v>
      </c>
      <c r="AS34" s="101"/>
      <c r="AT34" s="101"/>
      <c r="AU34" s="51" t="s">
        <v>190</v>
      </c>
      <c r="AV34" s="51" t="s">
        <v>190</v>
      </c>
      <c r="AW34" s="51" t="s">
        <v>190</v>
      </c>
      <c r="AX34" s="51" t="s">
        <v>190</v>
      </c>
      <c r="AY34" s="106">
        <v>0</v>
      </c>
      <c r="AZ34" s="106"/>
      <c r="BA34" s="106">
        <v>0</v>
      </c>
      <c r="BB34" s="106">
        <v>0</v>
      </c>
      <c r="BC34" s="38"/>
      <c r="BD34" s="38">
        <f t="shared" si="8"/>
        <v>1</v>
      </c>
      <c r="BE34" s="34"/>
      <c r="BF34" s="51" t="s">
        <v>43</v>
      </c>
      <c r="BG34" s="36"/>
      <c r="BH34" s="51" t="s">
        <v>190</v>
      </c>
      <c r="BI34" s="99">
        <v>0</v>
      </c>
      <c r="BJ34" s="99">
        <v>1</v>
      </c>
      <c r="BK34" s="51" t="s">
        <v>190</v>
      </c>
      <c r="BL34" s="51" t="s">
        <v>227</v>
      </c>
      <c r="BM34" s="51" t="s">
        <v>190</v>
      </c>
      <c r="BN34" s="51" t="s">
        <v>190</v>
      </c>
      <c r="BO34" s="99">
        <v>2</v>
      </c>
      <c r="BP34" s="99">
        <v>1</v>
      </c>
      <c r="BQ34" s="99">
        <v>0</v>
      </c>
      <c r="BR34" s="99">
        <v>0</v>
      </c>
      <c r="BS34" s="51"/>
      <c r="BT34" s="99">
        <v>0</v>
      </c>
      <c r="BU34" s="99">
        <v>0</v>
      </c>
      <c r="BV34" s="99">
        <v>38</v>
      </c>
      <c r="BW34" s="51" t="s">
        <v>227</v>
      </c>
      <c r="BX34" s="51"/>
      <c r="BY34" s="36"/>
      <c r="BZ34" s="36"/>
      <c r="CA34" s="36"/>
      <c r="CB34" s="36"/>
      <c r="CC34" s="51"/>
      <c r="CD34" s="36"/>
      <c r="CE34" s="36"/>
      <c r="CF34" s="36"/>
      <c r="CG34" s="36"/>
      <c r="CH34" s="51"/>
      <c r="CI34" s="36"/>
      <c r="CJ34" s="36"/>
      <c r="CK34" s="36"/>
      <c r="CL34" s="36"/>
      <c r="CM34" s="51"/>
      <c r="CN34" s="36"/>
      <c r="CO34" s="36"/>
      <c r="CP34" s="36"/>
      <c r="CQ34" s="36"/>
      <c r="CR34" s="51"/>
      <c r="CS34" s="36"/>
      <c r="CT34" s="36"/>
      <c r="CU34" s="36"/>
      <c r="CV34" s="36"/>
      <c r="CW34" s="51"/>
      <c r="CX34" s="36"/>
      <c r="CY34" s="36"/>
      <c r="CZ34" s="36"/>
      <c r="DA34" s="36"/>
      <c r="DB34" s="51"/>
      <c r="DC34" s="36"/>
      <c r="DD34" s="36"/>
      <c r="DE34" s="36"/>
      <c r="DF34" s="36"/>
      <c r="DG34" s="51"/>
      <c r="DH34" s="36"/>
      <c r="DI34" s="36"/>
      <c r="DJ34" s="36"/>
      <c r="DK34" s="36"/>
      <c r="DL34" s="51"/>
      <c r="DM34" s="51"/>
      <c r="DN34" s="51"/>
    </row>
    <row r="35" spans="1:118" ht="15.75" customHeight="1">
      <c r="A35" s="57"/>
      <c r="B35" s="51" t="s">
        <v>501</v>
      </c>
      <c r="C35" s="99">
        <v>1793868</v>
      </c>
      <c r="D35" s="101" t="s">
        <v>528</v>
      </c>
      <c r="E35" s="102">
        <v>43852.359722222223</v>
      </c>
      <c r="F35" s="51" t="s">
        <v>289</v>
      </c>
      <c r="G35" s="103" t="s">
        <v>529</v>
      </c>
      <c r="H35" s="103" t="s">
        <v>530</v>
      </c>
      <c r="I35" s="104">
        <v>43910</v>
      </c>
      <c r="J35" s="101" t="s">
        <v>532</v>
      </c>
      <c r="K35" s="101" t="s">
        <v>533</v>
      </c>
      <c r="M35" s="51" t="s">
        <v>473</v>
      </c>
      <c r="N35" s="51" t="s">
        <v>168</v>
      </c>
      <c r="O35" s="51" t="s">
        <v>173</v>
      </c>
      <c r="P35" s="51" t="s">
        <v>174</v>
      </c>
      <c r="Q35" s="51" t="s">
        <v>35</v>
      </c>
      <c r="R35" s="36"/>
      <c r="S35" s="51" t="s">
        <v>170</v>
      </c>
      <c r="T35" s="59"/>
      <c r="U35" s="112">
        <v>0.105</v>
      </c>
      <c r="V35" s="39"/>
      <c r="W35" s="39"/>
      <c r="X35" s="40"/>
      <c r="Y35" s="39"/>
      <c r="Z35" s="41"/>
      <c r="AA35" s="41"/>
      <c r="AB35" s="51" t="s">
        <v>36</v>
      </c>
      <c r="AC35" s="51" t="s">
        <v>179</v>
      </c>
      <c r="AD35" s="51" t="s">
        <v>38</v>
      </c>
      <c r="AE35" s="51" t="s">
        <v>227</v>
      </c>
      <c r="AF35" s="51" t="s">
        <v>181</v>
      </c>
      <c r="AG35" s="51" t="s">
        <v>181</v>
      </c>
      <c r="AH35" s="51" t="s">
        <v>190</v>
      </c>
      <c r="AI35" s="106">
        <v>3015000000000</v>
      </c>
      <c r="AJ35" s="61" t="e">
        <f t="shared" ca="1" si="6"/>
        <v>#NAME?</v>
      </c>
      <c r="AK35" s="106">
        <v>3015000000000</v>
      </c>
      <c r="AL35" s="61" t="e">
        <f t="shared" ca="1" si="7"/>
        <v>#NAME?</v>
      </c>
      <c r="AM35" s="107">
        <v>0.04</v>
      </c>
      <c r="AN35" s="99"/>
      <c r="AO35" s="99"/>
      <c r="AP35" s="51" t="s">
        <v>181</v>
      </c>
      <c r="AQ35" s="51" t="s">
        <v>181</v>
      </c>
      <c r="AR35" s="51" t="s">
        <v>42</v>
      </c>
      <c r="AS35" s="101"/>
      <c r="AT35" s="101"/>
      <c r="AU35" s="51" t="s">
        <v>190</v>
      </c>
      <c r="AV35" s="51" t="s">
        <v>190</v>
      </c>
      <c r="AW35" s="51" t="s">
        <v>227</v>
      </c>
      <c r="AX35" s="51" t="s">
        <v>227</v>
      </c>
      <c r="AY35" s="106">
        <v>345352</v>
      </c>
      <c r="AZ35" s="106"/>
      <c r="BA35" s="106">
        <v>2529</v>
      </c>
      <c r="BB35" s="106">
        <v>120634</v>
      </c>
      <c r="BC35" s="38"/>
      <c r="BD35" s="38">
        <f t="shared" si="8"/>
        <v>2.0964238937612945E-2</v>
      </c>
      <c r="BE35" s="34"/>
      <c r="BF35" s="51" t="s">
        <v>219</v>
      </c>
      <c r="BG35" s="36"/>
      <c r="BH35" s="51" t="s">
        <v>190</v>
      </c>
      <c r="BI35" s="99">
        <v>0</v>
      </c>
      <c r="BJ35" s="99">
        <v>2</v>
      </c>
      <c r="BK35" s="51" t="s">
        <v>227</v>
      </c>
      <c r="BL35" s="51" t="s">
        <v>190</v>
      </c>
      <c r="BM35" s="51" t="s">
        <v>190</v>
      </c>
      <c r="BN35" s="51" t="s">
        <v>190</v>
      </c>
      <c r="BO35" s="99">
        <v>0</v>
      </c>
      <c r="BP35" s="99">
        <v>11</v>
      </c>
      <c r="BQ35" s="99">
        <v>0</v>
      </c>
      <c r="BR35" s="99">
        <v>0</v>
      </c>
      <c r="BS35" s="51"/>
      <c r="BT35" s="99">
        <v>2</v>
      </c>
      <c r="BU35" s="99">
        <v>0</v>
      </c>
      <c r="BV35" s="99">
        <v>42</v>
      </c>
      <c r="BW35" s="51" t="s">
        <v>190</v>
      </c>
      <c r="BX35" s="51"/>
      <c r="BY35" s="100">
        <v>2</v>
      </c>
      <c r="BZ35" s="36"/>
      <c r="CA35" s="36"/>
      <c r="CB35" s="36"/>
      <c r="CC35" s="51"/>
      <c r="CD35" s="36"/>
      <c r="CE35" s="36"/>
      <c r="CF35" s="36"/>
      <c r="CG35" s="36"/>
      <c r="CH35" s="51"/>
      <c r="CI35" s="36"/>
      <c r="CJ35" s="36"/>
      <c r="CK35" s="36"/>
      <c r="CL35" s="36"/>
      <c r="CM35" s="51"/>
      <c r="CN35" s="36"/>
      <c r="CO35" s="36"/>
      <c r="CP35" s="36"/>
      <c r="CQ35" s="36"/>
      <c r="CR35" s="51"/>
      <c r="CS35" s="36"/>
      <c r="CT35" s="36"/>
      <c r="CU35" s="36"/>
      <c r="CV35" s="36"/>
      <c r="CW35" s="51"/>
      <c r="CX35" s="36"/>
      <c r="CY35" s="36"/>
      <c r="CZ35" s="36"/>
      <c r="DA35" s="36"/>
      <c r="DB35" s="51"/>
      <c r="DC35" s="36"/>
      <c r="DD35" s="36"/>
      <c r="DE35" s="36"/>
      <c r="DF35" s="36"/>
      <c r="DG35" s="51"/>
      <c r="DH35" s="36"/>
      <c r="DI35" s="36"/>
      <c r="DJ35" s="36"/>
      <c r="DK35" s="36"/>
      <c r="DL35" s="51"/>
      <c r="DM35" s="51"/>
      <c r="DN35" s="51"/>
    </row>
    <row r="36" spans="1:118" ht="15.75" customHeight="1">
      <c r="A36" s="57"/>
      <c r="B36" s="51" t="s">
        <v>501</v>
      </c>
      <c r="C36" s="99">
        <v>1800155</v>
      </c>
      <c r="D36" s="101" t="s">
        <v>548</v>
      </c>
      <c r="E36" s="102">
        <v>43857.681944444441</v>
      </c>
      <c r="F36" s="51" t="s">
        <v>289</v>
      </c>
      <c r="G36" s="103" t="s">
        <v>551</v>
      </c>
      <c r="H36" s="103" t="s">
        <v>555</v>
      </c>
      <c r="I36" s="104">
        <v>43846</v>
      </c>
      <c r="J36" s="101" t="s">
        <v>557</v>
      </c>
      <c r="K36" s="101" t="s">
        <v>558</v>
      </c>
      <c r="M36" s="51" t="s">
        <v>432</v>
      </c>
      <c r="N36" s="51" t="s">
        <v>168</v>
      </c>
      <c r="O36" s="51" t="s">
        <v>173</v>
      </c>
      <c r="P36" s="51" t="s">
        <v>174</v>
      </c>
      <c r="Q36" s="51" t="s">
        <v>35</v>
      </c>
      <c r="R36" s="36"/>
      <c r="S36" s="51" t="s">
        <v>170</v>
      </c>
      <c r="T36" s="59"/>
      <c r="U36" s="112">
        <v>0.13250000000000001</v>
      </c>
      <c r="V36" s="39"/>
      <c r="W36" s="39"/>
      <c r="X36" s="40"/>
      <c r="Y36" s="39"/>
      <c r="Z36" s="41"/>
      <c r="AA36" s="41"/>
      <c r="AB36" s="51" t="s">
        <v>36</v>
      </c>
      <c r="AC36" s="51" t="s">
        <v>179</v>
      </c>
      <c r="AD36" s="51" t="s">
        <v>38</v>
      </c>
      <c r="AE36" s="51" t="s">
        <v>227</v>
      </c>
      <c r="AF36" s="51" t="s">
        <v>181</v>
      </c>
      <c r="AG36" s="51" t="s">
        <v>181</v>
      </c>
      <c r="AH36" s="51" t="s">
        <v>190</v>
      </c>
      <c r="AI36" s="106">
        <v>26280000000</v>
      </c>
      <c r="AJ36" s="61" t="e">
        <f t="shared" ca="1" si="6"/>
        <v>#NAME?</v>
      </c>
      <c r="AK36" s="106">
        <v>18920000000</v>
      </c>
      <c r="AL36" s="61" t="e">
        <f t="shared" ca="1" si="7"/>
        <v>#NAME?</v>
      </c>
      <c r="AM36" s="107">
        <v>0.09</v>
      </c>
      <c r="AN36" s="99"/>
      <c r="AO36" s="99"/>
      <c r="AP36" s="51" t="s">
        <v>181</v>
      </c>
      <c r="AQ36" s="51" t="s">
        <v>181</v>
      </c>
      <c r="AR36" s="51" t="s">
        <v>42</v>
      </c>
      <c r="AS36" s="101"/>
      <c r="AT36" s="101"/>
      <c r="AU36" s="51" t="s">
        <v>227</v>
      </c>
      <c r="AV36" s="51" t="s">
        <v>190</v>
      </c>
      <c r="AW36" s="51" t="s">
        <v>227</v>
      </c>
      <c r="AX36" s="51" t="s">
        <v>227</v>
      </c>
      <c r="AY36" s="106">
        <v>141874</v>
      </c>
      <c r="AZ36" s="106"/>
      <c r="BA36" s="106">
        <v>578</v>
      </c>
      <c r="BB36" s="106">
        <v>0</v>
      </c>
      <c r="BC36" s="38"/>
      <c r="BD36" s="38">
        <f t="shared" si="8"/>
        <v>1</v>
      </c>
      <c r="BE36" s="34"/>
      <c r="BF36" s="51" t="s">
        <v>219</v>
      </c>
      <c r="BG36" s="36"/>
      <c r="BH36" s="51" t="s">
        <v>190</v>
      </c>
      <c r="BI36" s="99">
        <v>0</v>
      </c>
      <c r="BJ36" s="99">
        <v>2</v>
      </c>
      <c r="BK36" s="51" t="s">
        <v>227</v>
      </c>
      <c r="BL36" s="51" t="s">
        <v>227</v>
      </c>
      <c r="BM36" s="51" t="s">
        <v>190</v>
      </c>
      <c r="BN36" s="51" t="s">
        <v>190</v>
      </c>
      <c r="BO36" s="99">
        <v>1</v>
      </c>
      <c r="BP36" s="99">
        <v>9</v>
      </c>
      <c r="BQ36" s="99">
        <v>0</v>
      </c>
      <c r="BR36" s="99">
        <v>0</v>
      </c>
      <c r="BS36" s="51"/>
      <c r="BT36" s="99">
        <v>5</v>
      </c>
      <c r="BU36" s="99">
        <v>0</v>
      </c>
      <c r="BV36" s="99">
        <v>37</v>
      </c>
      <c r="BW36" s="51" t="s">
        <v>190</v>
      </c>
      <c r="BX36" s="51"/>
      <c r="BY36" s="36"/>
      <c r="BZ36" s="36"/>
      <c r="CA36" s="36"/>
      <c r="CB36" s="36"/>
      <c r="CC36" s="51"/>
      <c r="CD36" s="36"/>
      <c r="CE36" s="36"/>
      <c r="CF36" s="36"/>
      <c r="CG36" s="36"/>
      <c r="CH36" s="51"/>
      <c r="CI36" s="36"/>
      <c r="CJ36" s="36"/>
      <c r="CK36" s="36"/>
      <c r="CL36" s="36"/>
      <c r="CM36" s="51"/>
      <c r="CN36" s="36"/>
      <c r="CO36" s="36"/>
      <c r="CP36" s="36"/>
      <c r="CQ36" s="36"/>
      <c r="CR36" s="51"/>
      <c r="CS36" s="36"/>
      <c r="CT36" s="36"/>
      <c r="CU36" s="36"/>
      <c r="CV36" s="36"/>
      <c r="CW36" s="51"/>
      <c r="CX36" s="36"/>
      <c r="CY36" s="36"/>
      <c r="CZ36" s="36"/>
      <c r="DA36" s="36"/>
      <c r="DB36" s="51"/>
      <c r="DC36" s="36"/>
      <c r="DD36" s="36"/>
      <c r="DE36" s="36"/>
      <c r="DF36" s="36"/>
      <c r="DG36" s="51"/>
      <c r="DH36" s="36"/>
      <c r="DI36" s="36"/>
      <c r="DJ36" s="36"/>
      <c r="DK36" s="36"/>
      <c r="DL36" s="51"/>
      <c r="DM36" s="51"/>
      <c r="DN36" s="51"/>
    </row>
    <row r="37" spans="1:118" ht="15.75" customHeight="1">
      <c r="A37" s="57"/>
      <c r="B37" s="51" t="s">
        <v>501</v>
      </c>
      <c r="C37" s="99">
        <v>1801405</v>
      </c>
      <c r="D37" s="101" t="s">
        <v>579</v>
      </c>
      <c r="E37" s="102">
        <v>43859.718055555553</v>
      </c>
      <c r="F37" s="51" t="s">
        <v>337</v>
      </c>
      <c r="G37" s="103" t="s">
        <v>580</v>
      </c>
      <c r="H37" s="103" t="s">
        <v>583</v>
      </c>
      <c r="I37" s="104">
        <v>43858</v>
      </c>
      <c r="J37" s="101" t="s">
        <v>585</v>
      </c>
      <c r="K37" s="101" t="s">
        <v>579</v>
      </c>
      <c r="M37" s="51" t="s">
        <v>483</v>
      </c>
      <c r="N37" s="51" t="s">
        <v>168</v>
      </c>
      <c r="O37" s="51" t="s">
        <v>30</v>
      </c>
      <c r="P37" s="51" t="s">
        <v>31</v>
      </c>
      <c r="Q37" s="51" t="s">
        <v>35</v>
      </c>
      <c r="R37" s="36"/>
      <c r="S37" s="51" t="s">
        <v>246</v>
      </c>
      <c r="T37" s="105">
        <v>1.1499999999999999</v>
      </c>
      <c r="U37" s="87"/>
      <c r="V37" s="39"/>
      <c r="W37" s="39"/>
      <c r="X37" s="40"/>
      <c r="Y37" s="39"/>
      <c r="Z37" s="41"/>
      <c r="AA37" s="41"/>
      <c r="AB37" s="51" t="s">
        <v>36</v>
      </c>
      <c r="AC37" s="51" t="s">
        <v>218</v>
      </c>
      <c r="AD37" s="51" t="s">
        <v>38</v>
      </c>
      <c r="AE37" s="51" t="s">
        <v>190</v>
      </c>
      <c r="AF37" s="51" t="s">
        <v>39</v>
      </c>
      <c r="AG37" s="51" t="s">
        <v>39</v>
      </c>
      <c r="AH37" s="51" t="s">
        <v>190</v>
      </c>
      <c r="AI37" s="106">
        <v>11321000000</v>
      </c>
      <c r="AJ37" s="61" t="e">
        <f t="shared" ca="1" si="6"/>
        <v>#NAME?</v>
      </c>
      <c r="AK37" s="106">
        <v>1245310000</v>
      </c>
      <c r="AL37" s="61" t="e">
        <f t="shared" ca="1" si="7"/>
        <v>#NAME?</v>
      </c>
      <c r="AM37" s="107">
        <v>0</v>
      </c>
      <c r="AN37" s="99"/>
      <c r="AO37" s="99"/>
      <c r="AP37" s="51" t="s">
        <v>181</v>
      </c>
      <c r="AQ37" s="51" t="s">
        <v>181</v>
      </c>
      <c r="AR37" s="51" t="s">
        <v>42</v>
      </c>
      <c r="AS37" s="101"/>
      <c r="AT37" s="101"/>
      <c r="AU37" s="51" t="s">
        <v>190</v>
      </c>
      <c r="AV37" s="51" t="s">
        <v>190</v>
      </c>
      <c r="AW37" s="51" t="s">
        <v>190</v>
      </c>
      <c r="AX37" s="51" t="s">
        <v>190</v>
      </c>
      <c r="AY37" s="106">
        <v>0</v>
      </c>
      <c r="AZ37" s="106"/>
      <c r="BA37" s="106">
        <v>302</v>
      </c>
      <c r="BB37" s="106">
        <v>15000</v>
      </c>
      <c r="BC37" s="38"/>
      <c r="BD37" s="38">
        <f t="shared" si="8"/>
        <v>2.0133333333333333E-2</v>
      </c>
      <c r="BE37" s="34"/>
      <c r="BF37" s="51" t="s">
        <v>43</v>
      </c>
      <c r="BG37" s="36"/>
      <c r="BH37" s="51" t="s">
        <v>190</v>
      </c>
      <c r="BI37" s="99">
        <v>0</v>
      </c>
      <c r="BJ37" s="99">
        <v>1</v>
      </c>
      <c r="BK37" s="51" t="s">
        <v>227</v>
      </c>
      <c r="BL37" s="51" t="s">
        <v>190</v>
      </c>
      <c r="BM37" s="51" t="s">
        <v>190</v>
      </c>
      <c r="BN37" s="51" t="s">
        <v>190</v>
      </c>
      <c r="BO37" s="99">
        <v>1</v>
      </c>
      <c r="BP37" s="99">
        <v>1</v>
      </c>
      <c r="BQ37" s="99">
        <v>0</v>
      </c>
      <c r="BR37" s="99">
        <v>0</v>
      </c>
      <c r="BS37" s="51"/>
      <c r="BT37" s="99">
        <v>16</v>
      </c>
      <c r="BU37" s="99">
        <v>0</v>
      </c>
      <c r="BV37" s="99">
        <v>38</v>
      </c>
      <c r="BW37" s="51" t="s">
        <v>190</v>
      </c>
      <c r="BX37" s="51"/>
      <c r="BY37" s="36"/>
      <c r="BZ37" s="36"/>
      <c r="CA37" s="36"/>
      <c r="CB37" s="36"/>
      <c r="CC37" s="51"/>
      <c r="CD37" s="36"/>
      <c r="CE37" s="36"/>
      <c r="CF37" s="36"/>
      <c r="CG37" s="36"/>
      <c r="CH37" s="51"/>
      <c r="CI37" s="36"/>
      <c r="CJ37" s="36"/>
      <c r="CK37" s="36"/>
      <c r="CL37" s="36"/>
      <c r="CM37" s="51"/>
      <c r="CN37" s="36"/>
      <c r="CO37" s="36"/>
      <c r="CP37" s="36"/>
      <c r="CQ37" s="36"/>
      <c r="CR37" s="51"/>
      <c r="CS37" s="36"/>
      <c r="CT37" s="36"/>
      <c r="CU37" s="36"/>
      <c r="CV37" s="36"/>
      <c r="CW37" s="51"/>
      <c r="CX37" s="36"/>
      <c r="CY37" s="36"/>
      <c r="CZ37" s="36"/>
      <c r="DA37" s="36"/>
      <c r="DB37" s="51"/>
      <c r="DC37" s="36"/>
      <c r="DD37" s="36"/>
      <c r="DE37" s="36"/>
      <c r="DF37" s="36"/>
      <c r="DG37" s="51"/>
      <c r="DH37" s="36"/>
      <c r="DI37" s="36"/>
      <c r="DJ37" s="36"/>
      <c r="DK37" s="36"/>
      <c r="DL37" s="51"/>
      <c r="DM37" s="51"/>
      <c r="DN37" s="51"/>
    </row>
    <row r="38" spans="1:118" ht="15.75" customHeight="1">
      <c r="A38" s="57"/>
      <c r="B38" s="51" t="s">
        <v>501</v>
      </c>
      <c r="C38" s="99">
        <v>1801534</v>
      </c>
      <c r="D38" s="101" t="s">
        <v>591</v>
      </c>
      <c r="E38" s="102">
        <v>43866.706250000003</v>
      </c>
      <c r="F38" s="51" t="s">
        <v>160</v>
      </c>
      <c r="G38" s="103" t="s">
        <v>593</v>
      </c>
      <c r="H38" s="103" t="s">
        <v>594</v>
      </c>
      <c r="I38" s="104">
        <v>43866</v>
      </c>
      <c r="J38" s="101" t="s">
        <v>595</v>
      </c>
      <c r="K38" s="101" t="s">
        <v>591</v>
      </c>
      <c r="M38" s="51" t="s">
        <v>167</v>
      </c>
      <c r="N38" s="51" t="s">
        <v>168</v>
      </c>
      <c r="O38" s="51" t="s">
        <v>30</v>
      </c>
      <c r="P38" s="51" t="s">
        <v>174</v>
      </c>
      <c r="Q38" s="51" t="s">
        <v>35</v>
      </c>
      <c r="R38" s="36"/>
      <c r="S38" s="51" t="s">
        <v>257</v>
      </c>
      <c r="T38" s="105">
        <v>1.25</v>
      </c>
      <c r="U38" s="87"/>
      <c r="V38" s="39"/>
      <c r="W38" s="39"/>
      <c r="X38" s="40"/>
      <c r="Y38" s="39"/>
      <c r="Z38" s="41"/>
      <c r="AA38" s="41"/>
      <c r="AB38" s="51" t="s">
        <v>36</v>
      </c>
      <c r="AC38" s="51" t="s">
        <v>218</v>
      </c>
      <c r="AD38" s="51" t="s">
        <v>38</v>
      </c>
      <c r="AE38" s="51" t="s">
        <v>227</v>
      </c>
      <c r="AF38" s="51" t="s">
        <v>181</v>
      </c>
      <c r="AG38" s="51" t="s">
        <v>181</v>
      </c>
      <c r="AH38" s="51" t="s">
        <v>190</v>
      </c>
      <c r="AI38" s="106">
        <v>139500000000</v>
      </c>
      <c r="AJ38" s="61" t="e">
        <f t="shared" ca="1" si="6"/>
        <v>#NAME?</v>
      </c>
      <c r="AK38" s="106">
        <v>139500000000</v>
      </c>
      <c r="AL38" s="61" t="e">
        <f t="shared" ca="1" si="7"/>
        <v>#NAME?</v>
      </c>
      <c r="AM38" s="107">
        <v>0.05</v>
      </c>
      <c r="AN38" s="99"/>
      <c r="AO38" s="99"/>
      <c r="AP38" s="51" t="s">
        <v>181</v>
      </c>
      <c r="AQ38" s="51" t="s">
        <v>181</v>
      </c>
      <c r="AR38" s="51" t="s">
        <v>42</v>
      </c>
      <c r="AS38" s="101"/>
      <c r="AT38" s="101"/>
      <c r="AU38" s="51" t="s">
        <v>190</v>
      </c>
      <c r="AV38" s="51" t="s">
        <v>190</v>
      </c>
      <c r="AW38" s="51" t="s">
        <v>227</v>
      </c>
      <c r="AX38" s="51" t="s">
        <v>227</v>
      </c>
      <c r="AY38" s="106">
        <v>84226</v>
      </c>
      <c r="AZ38" s="106"/>
      <c r="BA38" s="106">
        <v>35</v>
      </c>
      <c r="BB38" s="106">
        <v>0</v>
      </c>
      <c r="BC38" s="38"/>
      <c r="BD38" s="38">
        <f t="shared" si="8"/>
        <v>1</v>
      </c>
      <c r="BE38" s="34"/>
      <c r="BF38" s="51" t="s">
        <v>202</v>
      </c>
      <c r="BG38" s="36"/>
      <c r="BH38" s="51" t="s">
        <v>190</v>
      </c>
      <c r="BI38" s="99">
        <v>0</v>
      </c>
      <c r="BJ38" s="99">
        <v>1</v>
      </c>
      <c r="BK38" s="51" t="s">
        <v>227</v>
      </c>
      <c r="BL38" s="51" t="s">
        <v>190</v>
      </c>
      <c r="BM38" s="51" t="s">
        <v>190</v>
      </c>
      <c r="BN38" s="51" t="s">
        <v>190</v>
      </c>
      <c r="BO38" s="99">
        <v>0</v>
      </c>
      <c r="BP38" s="99">
        <v>1</v>
      </c>
      <c r="BQ38" s="99">
        <v>0</v>
      </c>
      <c r="BR38" s="99">
        <v>0</v>
      </c>
      <c r="BS38" s="51"/>
      <c r="BT38" s="99">
        <v>8</v>
      </c>
      <c r="BU38" s="99">
        <v>0</v>
      </c>
      <c r="BV38" s="99">
        <v>42</v>
      </c>
      <c r="BW38" s="51" t="s">
        <v>190</v>
      </c>
      <c r="BX38" s="51"/>
      <c r="BY38" s="36"/>
      <c r="BZ38" s="36"/>
      <c r="CA38" s="36"/>
      <c r="CB38" s="36"/>
      <c r="CC38" s="51"/>
      <c r="CD38" s="36"/>
      <c r="CE38" s="36"/>
      <c r="CF38" s="36"/>
      <c r="CG38" s="36"/>
      <c r="CH38" s="51"/>
      <c r="CI38" s="36"/>
      <c r="CJ38" s="36"/>
      <c r="CK38" s="36"/>
      <c r="CL38" s="36"/>
      <c r="CM38" s="51"/>
      <c r="CN38" s="36"/>
      <c r="CO38" s="36"/>
      <c r="CP38" s="36"/>
      <c r="CQ38" s="36"/>
      <c r="CR38" s="51"/>
      <c r="CS38" s="36"/>
      <c r="CT38" s="36"/>
      <c r="CU38" s="36"/>
      <c r="CV38" s="36"/>
      <c r="CW38" s="51"/>
      <c r="CX38" s="36"/>
      <c r="CY38" s="36"/>
      <c r="CZ38" s="36"/>
      <c r="DA38" s="36"/>
      <c r="DB38" s="51"/>
      <c r="DC38" s="36"/>
      <c r="DD38" s="36"/>
      <c r="DE38" s="36"/>
      <c r="DF38" s="36"/>
      <c r="DG38" s="51"/>
      <c r="DH38" s="36"/>
      <c r="DI38" s="36"/>
      <c r="DJ38" s="36"/>
      <c r="DK38" s="36"/>
      <c r="DL38" s="51"/>
      <c r="DM38" s="51"/>
      <c r="DN38" s="51"/>
    </row>
    <row r="39" spans="1:118" ht="15.75" customHeight="1">
      <c r="A39" s="57"/>
      <c r="B39" s="51" t="s">
        <v>501</v>
      </c>
      <c r="C39" s="99">
        <v>1799484</v>
      </c>
      <c r="D39" s="101" t="s">
        <v>596</v>
      </c>
      <c r="E39" s="102">
        <v>43874.504861111112</v>
      </c>
      <c r="F39" s="51" t="s">
        <v>160</v>
      </c>
      <c r="G39" s="103" t="s">
        <v>597</v>
      </c>
      <c r="H39" s="103" t="s">
        <v>598</v>
      </c>
      <c r="I39" s="104">
        <v>43874</v>
      </c>
      <c r="J39" s="101" t="s">
        <v>599</v>
      </c>
      <c r="K39" s="101" t="s">
        <v>600</v>
      </c>
      <c r="M39" s="51" t="s">
        <v>473</v>
      </c>
      <c r="N39" s="51" t="s">
        <v>168</v>
      </c>
      <c r="O39" s="51" t="s">
        <v>173</v>
      </c>
      <c r="P39" s="51" t="s">
        <v>197</v>
      </c>
      <c r="Q39" s="51" t="s">
        <v>35</v>
      </c>
      <c r="R39" s="36"/>
      <c r="S39" s="51" t="s">
        <v>257</v>
      </c>
      <c r="T39" s="105">
        <v>1.3</v>
      </c>
      <c r="U39" s="87"/>
      <c r="V39" s="39"/>
      <c r="W39" s="39"/>
      <c r="X39" s="40"/>
      <c r="Y39" s="39"/>
      <c r="Z39" s="41"/>
      <c r="AA39" s="41"/>
      <c r="AB39" s="51" t="s">
        <v>36</v>
      </c>
      <c r="AC39" s="51" t="s">
        <v>179</v>
      </c>
      <c r="AD39" s="51" t="s">
        <v>38</v>
      </c>
      <c r="AE39" s="51" t="s">
        <v>227</v>
      </c>
      <c r="AF39" s="51" t="s">
        <v>181</v>
      </c>
      <c r="AG39" s="51" t="s">
        <v>181</v>
      </c>
      <c r="AH39" s="51" t="s">
        <v>190</v>
      </c>
      <c r="AI39" s="106">
        <v>12000000000</v>
      </c>
      <c r="AJ39" s="61" t="e">
        <f t="shared" ca="1" si="6"/>
        <v>#NAME?</v>
      </c>
      <c r="AK39" s="106">
        <v>12000000000</v>
      </c>
      <c r="AL39" s="61" t="e">
        <f t="shared" ca="1" si="7"/>
        <v>#NAME?</v>
      </c>
      <c r="AM39" s="107">
        <v>0.08</v>
      </c>
      <c r="AN39" s="99"/>
      <c r="AO39" s="99"/>
      <c r="AP39" s="51" t="s">
        <v>181</v>
      </c>
      <c r="AQ39" s="51" t="s">
        <v>181</v>
      </c>
      <c r="AR39" s="51" t="s">
        <v>42</v>
      </c>
      <c r="AS39" s="101"/>
      <c r="AT39" s="101"/>
      <c r="AU39" s="51" t="s">
        <v>190</v>
      </c>
      <c r="AV39" s="51" t="s">
        <v>190</v>
      </c>
      <c r="AW39" s="51" t="s">
        <v>227</v>
      </c>
      <c r="AX39" s="51" t="s">
        <v>227</v>
      </c>
      <c r="AY39" s="106">
        <v>1445022</v>
      </c>
      <c r="AZ39" s="106"/>
      <c r="BA39" s="106">
        <v>2843</v>
      </c>
      <c r="BB39" s="106">
        <v>0</v>
      </c>
      <c r="BC39" s="38"/>
      <c r="BD39" s="38">
        <f t="shared" si="8"/>
        <v>1</v>
      </c>
      <c r="BE39" s="34"/>
      <c r="BF39" s="51" t="s">
        <v>219</v>
      </c>
      <c r="BG39" s="36"/>
      <c r="BH39" s="51" t="s">
        <v>227</v>
      </c>
      <c r="BI39" s="99">
        <v>0</v>
      </c>
      <c r="BJ39" s="99">
        <v>1</v>
      </c>
      <c r="BK39" s="51" t="s">
        <v>227</v>
      </c>
      <c r="BL39" s="51" t="s">
        <v>190</v>
      </c>
      <c r="BM39" s="51" t="s">
        <v>190</v>
      </c>
      <c r="BN39" s="51" t="s">
        <v>190</v>
      </c>
      <c r="BO39" s="99">
        <v>1</v>
      </c>
      <c r="BP39" s="99">
        <v>40</v>
      </c>
      <c r="BQ39" s="99">
        <v>0</v>
      </c>
      <c r="BR39" s="99">
        <v>0</v>
      </c>
      <c r="BS39" s="51"/>
      <c r="BT39" s="99">
        <v>7</v>
      </c>
      <c r="BU39" s="99">
        <v>0</v>
      </c>
      <c r="BV39" s="99">
        <v>52</v>
      </c>
      <c r="BW39" s="51" t="s">
        <v>190</v>
      </c>
      <c r="BX39" s="51"/>
      <c r="BY39" s="36"/>
      <c r="BZ39" s="36"/>
      <c r="CA39" s="36"/>
      <c r="CB39" s="36"/>
      <c r="CC39" s="51"/>
      <c r="CD39" s="36"/>
      <c r="CE39" s="36"/>
      <c r="CF39" s="36"/>
      <c r="CG39" s="36"/>
      <c r="CH39" s="51"/>
      <c r="CI39" s="36"/>
      <c r="CJ39" s="36"/>
      <c r="CK39" s="36"/>
      <c r="CL39" s="36"/>
      <c r="CM39" s="51"/>
      <c r="CN39" s="36"/>
      <c r="CO39" s="36"/>
      <c r="CP39" s="36"/>
      <c r="CQ39" s="36"/>
      <c r="CR39" s="51"/>
      <c r="CS39" s="36"/>
      <c r="CT39" s="36"/>
      <c r="CU39" s="36"/>
      <c r="CV39" s="36"/>
      <c r="CW39" s="51"/>
      <c r="CX39" s="36"/>
      <c r="CY39" s="36"/>
      <c r="CZ39" s="36"/>
      <c r="DA39" s="36"/>
      <c r="DB39" s="51"/>
      <c r="DC39" s="36"/>
      <c r="DD39" s="36"/>
      <c r="DE39" s="36"/>
      <c r="DF39" s="36"/>
      <c r="DG39" s="51"/>
      <c r="DH39" s="36"/>
      <c r="DI39" s="36"/>
      <c r="DJ39" s="36"/>
      <c r="DK39" s="36"/>
      <c r="DL39" s="51"/>
      <c r="DM39" s="51"/>
      <c r="DN39" s="51"/>
    </row>
    <row r="40" spans="1:118" ht="15.75" customHeight="1">
      <c r="A40" s="57"/>
      <c r="B40" s="51" t="s">
        <v>501</v>
      </c>
      <c r="C40" s="99">
        <v>1800828</v>
      </c>
      <c r="D40" s="101" t="s">
        <v>601</v>
      </c>
      <c r="E40" s="102">
        <v>43892.484027777777</v>
      </c>
      <c r="F40" s="51" t="s">
        <v>344</v>
      </c>
      <c r="G40" s="103" t="s">
        <v>602</v>
      </c>
      <c r="H40" s="103" t="s">
        <v>604</v>
      </c>
      <c r="I40" s="104">
        <v>43860</v>
      </c>
      <c r="J40" s="101" t="s">
        <v>605</v>
      </c>
      <c r="K40" s="101" t="s">
        <v>601</v>
      </c>
      <c r="M40" s="51" t="s">
        <v>483</v>
      </c>
      <c r="N40" s="51" t="s">
        <v>168</v>
      </c>
      <c r="O40" s="51" t="s">
        <v>30</v>
      </c>
      <c r="P40" s="51" t="s">
        <v>31</v>
      </c>
      <c r="Q40" s="51" t="s">
        <v>35</v>
      </c>
      <c r="R40" s="36"/>
      <c r="S40" s="51" t="s">
        <v>257</v>
      </c>
      <c r="T40" s="105">
        <v>1.25</v>
      </c>
      <c r="U40" s="87"/>
      <c r="V40" s="39"/>
      <c r="W40" s="39"/>
      <c r="X40" s="40"/>
      <c r="Y40" s="39"/>
      <c r="Z40" s="41"/>
      <c r="AA40" s="41"/>
      <c r="AB40" s="51" t="s">
        <v>36</v>
      </c>
      <c r="AC40" s="51" t="s">
        <v>218</v>
      </c>
      <c r="AD40" s="51" t="s">
        <v>38</v>
      </c>
      <c r="AE40" s="51" t="s">
        <v>190</v>
      </c>
      <c r="AF40" s="51" t="s">
        <v>39</v>
      </c>
      <c r="AG40" s="51" t="s">
        <v>39</v>
      </c>
      <c r="AH40" s="51" t="s">
        <v>190</v>
      </c>
      <c r="AI40" s="106">
        <v>11321000000</v>
      </c>
      <c r="AJ40" s="61" t="e">
        <f t="shared" ca="1" si="6"/>
        <v>#NAME?</v>
      </c>
      <c r="AK40" s="106">
        <v>1245310000</v>
      </c>
      <c r="AL40" s="61" t="e">
        <f t="shared" ca="1" si="7"/>
        <v>#NAME?</v>
      </c>
      <c r="AM40" s="107">
        <v>0</v>
      </c>
      <c r="AN40" s="99"/>
      <c r="AO40" s="99"/>
      <c r="AP40" s="51" t="s">
        <v>181</v>
      </c>
      <c r="AQ40" s="51" t="s">
        <v>181</v>
      </c>
      <c r="AR40" s="51" t="s">
        <v>42</v>
      </c>
      <c r="AS40" s="101"/>
      <c r="AT40" s="101"/>
      <c r="AU40" s="51" t="s">
        <v>190</v>
      </c>
      <c r="AV40" s="51" t="s">
        <v>190</v>
      </c>
      <c r="AW40" s="51" t="s">
        <v>190</v>
      </c>
      <c r="AX40" s="51" t="s">
        <v>190</v>
      </c>
      <c r="AY40" s="106">
        <v>0</v>
      </c>
      <c r="AZ40" s="106"/>
      <c r="BA40" s="106">
        <v>741</v>
      </c>
      <c r="BB40" s="106">
        <v>0</v>
      </c>
      <c r="BC40" s="38"/>
      <c r="BD40" s="38">
        <f t="shared" si="8"/>
        <v>1</v>
      </c>
      <c r="BE40" s="34"/>
      <c r="BF40" s="51" t="s">
        <v>43</v>
      </c>
      <c r="BG40" s="36"/>
      <c r="BH40" s="51" t="s">
        <v>190</v>
      </c>
      <c r="BI40" s="99">
        <v>0</v>
      </c>
      <c r="BJ40" s="99">
        <v>1</v>
      </c>
      <c r="BK40" s="51" t="s">
        <v>227</v>
      </c>
      <c r="BL40" s="51" t="s">
        <v>190</v>
      </c>
      <c r="BM40" s="51" t="s">
        <v>190</v>
      </c>
      <c r="BN40" s="51" t="s">
        <v>190</v>
      </c>
      <c r="BO40" s="99">
        <v>0</v>
      </c>
      <c r="BP40" s="99">
        <v>1</v>
      </c>
      <c r="BQ40" s="99">
        <v>0</v>
      </c>
      <c r="BR40" s="99">
        <v>0</v>
      </c>
      <c r="BS40" s="51"/>
      <c r="BT40" s="99">
        <v>11</v>
      </c>
      <c r="BU40" s="99">
        <v>0</v>
      </c>
      <c r="BV40" s="99">
        <v>31</v>
      </c>
      <c r="BW40" s="51" t="s">
        <v>190</v>
      </c>
      <c r="BX40" s="51"/>
      <c r="BY40" s="36"/>
      <c r="BZ40" s="36"/>
      <c r="CA40" s="36"/>
      <c r="CB40" s="36"/>
      <c r="CC40" s="51"/>
      <c r="CD40" s="36"/>
      <c r="CE40" s="36"/>
      <c r="CF40" s="36"/>
      <c r="CG40" s="36"/>
      <c r="CH40" s="51"/>
      <c r="CI40" s="36"/>
      <c r="CJ40" s="36"/>
      <c r="CK40" s="36"/>
      <c r="CL40" s="36"/>
      <c r="CM40" s="51"/>
      <c r="CN40" s="36"/>
      <c r="CO40" s="36"/>
      <c r="CP40" s="36"/>
      <c r="CQ40" s="36"/>
      <c r="CR40" s="51"/>
      <c r="CS40" s="36"/>
      <c r="CT40" s="36"/>
      <c r="CU40" s="36"/>
      <c r="CV40" s="36"/>
      <c r="CW40" s="51"/>
      <c r="CX40" s="36"/>
      <c r="CY40" s="36"/>
      <c r="CZ40" s="36"/>
      <c r="DA40" s="36"/>
      <c r="DB40" s="51"/>
      <c r="DC40" s="36"/>
      <c r="DD40" s="36"/>
      <c r="DE40" s="36"/>
      <c r="DF40" s="36"/>
      <c r="DG40" s="51"/>
      <c r="DH40" s="36"/>
      <c r="DI40" s="36"/>
      <c r="DJ40" s="36"/>
      <c r="DK40" s="36"/>
      <c r="DL40" s="51"/>
      <c r="DM40" s="51"/>
      <c r="DN40" s="51"/>
    </row>
    <row r="41" spans="1:118" ht="15.75" customHeight="1">
      <c r="A41" s="29"/>
      <c r="B41" s="51" t="s">
        <v>501</v>
      </c>
      <c r="C41" s="99">
        <v>1803497</v>
      </c>
      <c r="D41" s="101" t="s">
        <v>606</v>
      </c>
      <c r="E41" s="102">
        <v>43893.487500000003</v>
      </c>
      <c r="F41" s="51" t="s">
        <v>289</v>
      </c>
      <c r="G41" s="103" t="s">
        <v>607</v>
      </c>
      <c r="H41" s="103" t="s">
        <v>608</v>
      </c>
      <c r="I41" s="104">
        <v>43889</v>
      </c>
      <c r="J41" s="101" t="s">
        <v>609</v>
      </c>
      <c r="K41" s="101" t="s">
        <v>606</v>
      </c>
      <c r="M41" s="51" t="s">
        <v>459</v>
      </c>
      <c r="N41" s="51" t="s">
        <v>168</v>
      </c>
      <c r="O41" s="51" t="s">
        <v>173</v>
      </c>
      <c r="P41" s="51" t="s">
        <v>197</v>
      </c>
      <c r="Q41" s="51" t="s">
        <v>35</v>
      </c>
      <c r="R41" s="36"/>
      <c r="S41" s="51" t="s">
        <v>170</v>
      </c>
      <c r="T41" s="59"/>
      <c r="U41" s="112">
        <v>0.105</v>
      </c>
      <c r="V41" s="39"/>
      <c r="W41" s="39"/>
      <c r="X41" s="40"/>
      <c r="Y41" s="39"/>
      <c r="Z41" s="41"/>
      <c r="AA41" s="41"/>
      <c r="AB41" s="51" t="s">
        <v>36</v>
      </c>
      <c r="AC41" s="51" t="s">
        <v>218</v>
      </c>
      <c r="AD41" s="51" t="s">
        <v>38</v>
      </c>
      <c r="AE41" s="51" t="s">
        <v>190</v>
      </c>
      <c r="AF41" s="51" t="s">
        <v>39</v>
      </c>
      <c r="AG41" s="51" t="s">
        <v>181</v>
      </c>
      <c r="AH41" s="51" t="s">
        <v>190</v>
      </c>
      <c r="AI41" s="106">
        <v>1338300000000</v>
      </c>
      <c r="AJ41" s="61" t="e">
        <f t="shared" ca="1" si="6"/>
        <v>#NAME?</v>
      </c>
      <c r="AK41" s="106">
        <v>1338300000000</v>
      </c>
      <c r="AL41" s="61" t="e">
        <f t="shared" ca="1" si="7"/>
        <v>#NAME?</v>
      </c>
      <c r="AM41" s="107">
        <v>0.1</v>
      </c>
      <c r="AN41" s="99"/>
      <c r="AO41" s="99"/>
      <c r="AP41" s="51" t="s">
        <v>181</v>
      </c>
      <c r="AQ41" s="51" t="s">
        <v>181</v>
      </c>
      <c r="AR41" s="51" t="s">
        <v>42</v>
      </c>
      <c r="AS41" s="101"/>
      <c r="AT41" s="101"/>
      <c r="AU41" s="51" t="s">
        <v>190</v>
      </c>
      <c r="AV41" s="51" t="s">
        <v>190</v>
      </c>
      <c r="AW41" s="51" t="s">
        <v>227</v>
      </c>
      <c r="AX41" s="51" t="s">
        <v>227</v>
      </c>
      <c r="AY41" s="106">
        <v>160539</v>
      </c>
      <c r="AZ41" s="106"/>
      <c r="BA41" s="106">
        <v>4315</v>
      </c>
      <c r="BB41" s="106">
        <v>0</v>
      </c>
      <c r="BC41" s="38"/>
      <c r="BD41" s="38">
        <f t="shared" si="8"/>
        <v>1</v>
      </c>
      <c r="BE41" s="34"/>
      <c r="BF41" s="51" t="s">
        <v>219</v>
      </c>
      <c r="BG41" s="36"/>
      <c r="BH41" s="51" t="s">
        <v>190</v>
      </c>
      <c r="BI41" s="99">
        <v>0</v>
      </c>
      <c r="BJ41" s="99">
        <v>2</v>
      </c>
      <c r="BK41" s="51" t="s">
        <v>227</v>
      </c>
      <c r="BL41" s="51" t="s">
        <v>227</v>
      </c>
      <c r="BM41" s="51" t="s">
        <v>190</v>
      </c>
      <c r="BN41" s="51" t="s">
        <v>190</v>
      </c>
      <c r="BO41" s="99">
        <v>3</v>
      </c>
      <c r="BP41" s="99">
        <v>4</v>
      </c>
      <c r="BQ41" s="99">
        <v>0</v>
      </c>
      <c r="BR41" s="99">
        <v>0</v>
      </c>
      <c r="BS41" s="51"/>
      <c r="BT41" s="99">
        <v>6</v>
      </c>
      <c r="BU41" s="99">
        <v>0</v>
      </c>
      <c r="BV41" s="99">
        <v>32</v>
      </c>
      <c r="BW41" s="51" t="s">
        <v>190</v>
      </c>
      <c r="BX41" s="51"/>
      <c r="BY41" s="100">
        <v>6</v>
      </c>
      <c r="BZ41" s="100">
        <v>0</v>
      </c>
      <c r="CA41" s="36"/>
      <c r="CB41" s="36"/>
      <c r="CC41" s="51"/>
      <c r="CD41" s="36"/>
      <c r="CE41" s="36"/>
      <c r="CF41" s="36"/>
      <c r="CG41" s="36"/>
      <c r="CH41" s="51"/>
      <c r="CI41" s="36"/>
      <c r="CJ41" s="36"/>
      <c r="CK41" s="36"/>
      <c r="CL41" s="36"/>
      <c r="CM41" s="51"/>
      <c r="CN41" s="36"/>
      <c r="CO41" s="36"/>
      <c r="CP41" s="36"/>
      <c r="CQ41" s="36"/>
      <c r="CR41" s="51"/>
      <c r="CS41" s="36"/>
      <c r="CT41" s="36"/>
      <c r="CU41" s="36"/>
      <c r="CV41" s="36"/>
      <c r="CW41" s="51"/>
      <c r="CX41" s="36"/>
      <c r="CY41" s="36"/>
      <c r="CZ41" s="36"/>
      <c r="DA41" s="36"/>
      <c r="DB41" s="51"/>
      <c r="DC41" s="36"/>
      <c r="DD41" s="36"/>
      <c r="DE41" s="36"/>
      <c r="DF41" s="36"/>
      <c r="DG41" s="51"/>
      <c r="DH41" s="36"/>
      <c r="DI41" s="36"/>
      <c r="DJ41" s="36"/>
      <c r="DK41" s="36"/>
      <c r="DL41" s="51"/>
      <c r="DM41" s="51"/>
      <c r="DN41" s="51"/>
    </row>
    <row r="42" spans="1:118" ht="15.75" customHeight="1">
      <c r="A42" s="29"/>
      <c r="B42" s="51" t="s">
        <v>501</v>
      </c>
      <c r="C42" s="99">
        <v>1805075</v>
      </c>
      <c r="D42" s="101" t="s">
        <v>610</v>
      </c>
      <c r="E42" s="102">
        <v>43893.491666666669</v>
      </c>
      <c r="F42" s="51" t="s">
        <v>289</v>
      </c>
      <c r="G42" s="103" t="s">
        <v>611</v>
      </c>
      <c r="H42" s="103" t="s">
        <v>612</v>
      </c>
      <c r="I42" s="104">
        <v>43913</v>
      </c>
      <c r="J42" s="101" t="s">
        <v>613</v>
      </c>
      <c r="K42" s="101" t="s">
        <v>610</v>
      </c>
      <c r="M42" s="51" t="s">
        <v>473</v>
      </c>
      <c r="N42" s="51" t="s">
        <v>168</v>
      </c>
      <c r="O42" s="51" t="s">
        <v>173</v>
      </c>
      <c r="P42" s="51" t="s">
        <v>31</v>
      </c>
      <c r="Q42" s="51" t="s">
        <v>35</v>
      </c>
      <c r="R42" s="36"/>
      <c r="S42" s="51" t="s">
        <v>170</v>
      </c>
      <c r="T42" s="59"/>
      <c r="U42" s="112">
        <v>0.10249999999999999</v>
      </c>
      <c r="V42" s="39"/>
      <c r="W42" s="39"/>
      <c r="X42" s="40"/>
      <c r="Y42" s="39"/>
      <c r="Z42" s="41"/>
      <c r="AA42" s="41"/>
      <c r="AB42" s="51" t="s">
        <v>36</v>
      </c>
      <c r="AC42" s="51" t="s">
        <v>179</v>
      </c>
      <c r="AD42" s="51" t="s">
        <v>38</v>
      </c>
      <c r="AE42" s="51" t="s">
        <v>227</v>
      </c>
      <c r="AF42" s="51" t="s">
        <v>181</v>
      </c>
      <c r="AG42" s="51" t="s">
        <v>181</v>
      </c>
      <c r="AH42" s="51" t="s">
        <v>190</v>
      </c>
      <c r="AI42" s="106">
        <v>213160000000</v>
      </c>
      <c r="AJ42" s="61" t="e">
        <f t="shared" ca="1" si="6"/>
        <v>#NAME?</v>
      </c>
      <c r="AK42" s="106">
        <v>213160000000</v>
      </c>
      <c r="AL42" s="61" t="e">
        <f t="shared" ca="1" si="7"/>
        <v>#NAME?</v>
      </c>
      <c r="AM42" s="107">
        <v>0.02</v>
      </c>
      <c r="AN42" s="99"/>
      <c r="AO42" s="99"/>
      <c r="AP42" s="51" t="s">
        <v>181</v>
      </c>
      <c r="AQ42" s="51" t="s">
        <v>181</v>
      </c>
      <c r="AR42" s="51" t="s">
        <v>42</v>
      </c>
      <c r="AS42" s="101"/>
      <c r="AT42" s="101"/>
      <c r="AU42" s="51" t="s">
        <v>190</v>
      </c>
      <c r="AV42" s="51" t="s">
        <v>190</v>
      </c>
      <c r="AW42" s="51" t="s">
        <v>227</v>
      </c>
      <c r="AX42" s="51" t="s">
        <v>227</v>
      </c>
      <c r="AY42" s="106">
        <v>0</v>
      </c>
      <c r="AZ42" s="106"/>
      <c r="BA42" s="106">
        <v>0</v>
      </c>
      <c r="BB42" s="106">
        <v>0</v>
      </c>
      <c r="BC42" s="38"/>
      <c r="BD42" s="38">
        <f t="shared" si="8"/>
        <v>1</v>
      </c>
      <c r="BE42" s="34"/>
      <c r="BF42" s="51" t="s">
        <v>219</v>
      </c>
      <c r="BG42" s="36"/>
      <c r="BH42" s="51" t="s">
        <v>190</v>
      </c>
      <c r="BI42" s="99">
        <v>0</v>
      </c>
      <c r="BJ42" s="99">
        <v>2</v>
      </c>
      <c r="BK42" s="51" t="s">
        <v>190</v>
      </c>
      <c r="BL42" s="51" t="s">
        <v>227</v>
      </c>
      <c r="BM42" s="51" t="s">
        <v>227</v>
      </c>
      <c r="BN42" s="51" t="s">
        <v>190</v>
      </c>
      <c r="BO42" s="99">
        <v>1</v>
      </c>
      <c r="BP42" s="99">
        <v>2</v>
      </c>
      <c r="BQ42" s="99">
        <v>0</v>
      </c>
      <c r="BR42" s="99">
        <v>0</v>
      </c>
      <c r="BS42" s="51"/>
      <c r="BT42" s="99">
        <v>0</v>
      </c>
      <c r="BU42" s="99">
        <v>0</v>
      </c>
      <c r="BV42" s="99">
        <v>42</v>
      </c>
      <c r="BW42" s="51" t="s">
        <v>190</v>
      </c>
      <c r="BX42" s="51"/>
      <c r="BY42" s="100">
        <v>0</v>
      </c>
      <c r="BZ42" s="100">
        <v>0</v>
      </c>
      <c r="CA42" s="36"/>
      <c r="CB42" s="36" t="s">
        <v>190</v>
      </c>
      <c r="CC42" s="51"/>
      <c r="CD42" s="36"/>
      <c r="CE42" s="36"/>
      <c r="CF42" s="36"/>
      <c r="CG42" s="36"/>
      <c r="CH42" s="51"/>
      <c r="CI42" s="36"/>
      <c r="CJ42" s="36"/>
      <c r="CK42" s="36"/>
      <c r="CL42" s="36"/>
      <c r="CM42" s="51"/>
      <c r="CN42" s="36"/>
      <c r="CO42" s="36"/>
      <c r="CP42" s="36"/>
      <c r="CQ42" s="36"/>
      <c r="CR42" s="51"/>
      <c r="CS42" s="36"/>
      <c r="CT42" s="36"/>
      <c r="CU42" s="36"/>
      <c r="CV42" s="36"/>
      <c r="CW42" s="51"/>
      <c r="CX42" s="36"/>
      <c r="CY42" s="36"/>
      <c r="CZ42" s="36"/>
      <c r="DA42" s="36"/>
      <c r="DB42" s="51"/>
      <c r="DC42" s="36"/>
      <c r="DD42" s="36"/>
      <c r="DE42" s="36"/>
      <c r="DF42" s="36"/>
      <c r="DG42" s="51"/>
      <c r="DH42" s="36"/>
      <c r="DI42" s="36"/>
      <c r="DJ42" s="36"/>
      <c r="DK42" s="36"/>
      <c r="DL42" s="51"/>
      <c r="DM42" s="51"/>
      <c r="DN42" s="51"/>
    </row>
    <row r="43" spans="1:118" ht="15.75" customHeight="1">
      <c r="A43" s="29"/>
      <c r="B43" s="51" t="s">
        <v>501</v>
      </c>
      <c r="C43" s="99">
        <v>1798823</v>
      </c>
      <c r="D43" s="101" t="s">
        <v>614</v>
      </c>
      <c r="E43" s="102">
        <v>43893.49722222222</v>
      </c>
      <c r="F43" s="51" t="s">
        <v>289</v>
      </c>
      <c r="G43" s="103" t="s">
        <v>615</v>
      </c>
      <c r="H43" s="103" t="s">
        <v>616</v>
      </c>
      <c r="I43" s="104">
        <v>43879</v>
      </c>
      <c r="J43" s="101" t="s">
        <v>617</v>
      </c>
      <c r="K43" s="101" t="s">
        <v>614</v>
      </c>
      <c r="M43" s="51" t="s">
        <v>454</v>
      </c>
      <c r="N43" s="51" t="s">
        <v>168</v>
      </c>
      <c r="O43" s="51" t="s">
        <v>30</v>
      </c>
      <c r="P43" s="51" t="s">
        <v>31</v>
      </c>
      <c r="Q43" s="51" t="s">
        <v>35</v>
      </c>
      <c r="R43" s="36"/>
      <c r="S43" s="51" t="s">
        <v>170</v>
      </c>
      <c r="T43" s="59"/>
      <c r="U43" s="112">
        <v>0.1</v>
      </c>
      <c r="V43" s="39"/>
      <c r="W43" s="39"/>
      <c r="X43" s="40"/>
      <c r="Y43" s="39"/>
      <c r="Z43" s="41"/>
      <c r="AA43" s="41"/>
      <c r="AB43" s="51" t="s">
        <v>36</v>
      </c>
      <c r="AC43" s="51" t="s">
        <v>218</v>
      </c>
      <c r="AD43" s="51" t="s">
        <v>38</v>
      </c>
      <c r="AE43" s="51" t="s">
        <v>227</v>
      </c>
      <c r="AF43" s="51" t="s">
        <v>181</v>
      </c>
      <c r="AG43" s="51" t="s">
        <v>39</v>
      </c>
      <c r="AH43" s="51" t="s">
        <v>190</v>
      </c>
      <c r="AI43" s="106">
        <v>65125000000</v>
      </c>
      <c r="AJ43" s="61" t="e">
        <f t="shared" ca="1" si="6"/>
        <v>#NAME?</v>
      </c>
      <c r="AK43" s="106">
        <v>68000000</v>
      </c>
      <c r="AL43" s="61" t="e">
        <f t="shared" ca="1" si="7"/>
        <v>#NAME?</v>
      </c>
      <c r="AM43" s="107">
        <v>0.02</v>
      </c>
      <c r="AN43" s="99"/>
      <c r="AO43" s="99"/>
      <c r="AP43" s="51" t="s">
        <v>181</v>
      </c>
      <c r="AQ43" s="51" t="s">
        <v>181</v>
      </c>
      <c r="AR43" s="51" t="s">
        <v>42</v>
      </c>
      <c r="AS43" s="101"/>
      <c r="AT43" s="101"/>
      <c r="AU43" s="51" t="s">
        <v>190</v>
      </c>
      <c r="AV43" s="51" t="s">
        <v>190</v>
      </c>
      <c r="AW43" s="51" t="s">
        <v>190</v>
      </c>
      <c r="AX43" s="51" t="s">
        <v>190</v>
      </c>
      <c r="AY43" s="106">
        <v>0</v>
      </c>
      <c r="AZ43" s="106"/>
      <c r="BA43" s="106">
        <v>0</v>
      </c>
      <c r="BB43" s="106">
        <v>0</v>
      </c>
      <c r="BC43" s="38"/>
      <c r="BD43" s="38">
        <f t="shared" si="8"/>
        <v>1</v>
      </c>
      <c r="BE43" s="34"/>
      <c r="BF43" s="51" t="s">
        <v>43</v>
      </c>
      <c r="BG43" s="36"/>
      <c r="BH43" s="51" t="s">
        <v>190</v>
      </c>
      <c r="BI43" s="99">
        <v>0</v>
      </c>
      <c r="BJ43" s="99">
        <v>2</v>
      </c>
      <c r="BK43" s="51" t="s">
        <v>227</v>
      </c>
      <c r="BL43" s="51" t="s">
        <v>190</v>
      </c>
      <c r="BM43" s="51" t="s">
        <v>227</v>
      </c>
      <c r="BN43" s="51" t="s">
        <v>190</v>
      </c>
      <c r="BO43" s="99">
        <v>1</v>
      </c>
      <c r="BP43" s="99">
        <v>10</v>
      </c>
      <c r="BQ43" s="99">
        <v>0</v>
      </c>
      <c r="BR43" s="99">
        <v>0</v>
      </c>
      <c r="BS43" s="51"/>
      <c r="BT43" s="99">
        <v>21</v>
      </c>
      <c r="BU43" s="99">
        <v>0</v>
      </c>
      <c r="BV43" s="99">
        <v>48</v>
      </c>
      <c r="BW43" s="51" t="s">
        <v>190</v>
      </c>
      <c r="BX43" s="51"/>
      <c r="BY43" s="100">
        <v>4</v>
      </c>
      <c r="BZ43" s="100">
        <v>0</v>
      </c>
      <c r="CA43" s="36"/>
      <c r="CB43" s="36"/>
      <c r="CC43" s="51"/>
      <c r="CD43" s="36"/>
      <c r="CE43" s="36"/>
      <c r="CF43" s="36"/>
      <c r="CG43" s="36"/>
      <c r="CH43" s="51"/>
      <c r="CI43" s="36"/>
      <c r="CJ43" s="36"/>
      <c r="CK43" s="36"/>
      <c r="CL43" s="36"/>
      <c r="CM43" s="51"/>
      <c r="CN43" s="36"/>
      <c r="CO43" s="36"/>
      <c r="CP43" s="36"/>
      <c r="CQ43" s="36"/>
      <c r="CR43" s="51"/>
      <c r="CS43" s="36"/>
      <c r="CT43" s="36"/>
      <c r="CU43" s="36"/>
      <c r="CV43" s="36"/>
      <c r="CW43" s="51"/>
      <c r="CX43" s="36"/>
      <c r="CY43" s="36"/>
      <c r="CZ43" s="36"/>
      <c r="DA43" s="36"/>
      <c r="DB43" s="51"/>
      <c r="DC43" s="36"/>
      <c r="DD43" s="36"/>
      <c r="DE43" s="36"/>
      <c r="DF43" s="36"/>
      <c r="DG43" s="51"/>
      <c r="DH43" s="36"/>
      <c r="DI43" s="36"/>
      <c r="DJ43" s="36"/>
      <c r="DK43" s="36"/>
      <c r="DL43" s="51"/>
      <c r="DM43" s="51"/>
      <c r="DN43" s="51"/>
    </row>
    <row r="44" spans="1:118" ht="15.75" customHeight="1">
      <c r="A44" s="29"/>
      <c r="B44" s="157" t="s">
        <v>409</v>
      </c>
      <c r="C44" s="158">
        <v>1807302</v>
      </c>
      <c r="D44" s="159" t="s">
        <v>618</v>
      </c>
      <c r="E44" s="102"/>
      <c r="F44" s="157" t="s">
        <v>160</v>
      </c>
      <c r="G44" s="160" t="s">
        <v>619</v>
      </c>
      <c r="H44" s="160" t="s">
        <v>620</v>
      </c>
      <c r="I44" s="161">
        <v>43921</v>
      </c>
      <c r="J44" s="159" t="s">
        <v>621</v>
      </c>
      <c r="K44" s="159" t="s">
        <v>621</v>
      </c>
      <c r="M44" s="157" t="s">
        <v>432</v>
      </c>
      <c r="N44" s="157" t="s">
        <v>168</v>
      </c>
      <c r="O44" s="157" t="s">
        <v>30</v>
      </c>
      <c r="P44" s="157" t="s">
        <v>31</v>
      </c>
      <c r="Q44" s="157" t="s">
        <v>35</v>
      </c>
      <c r="R44" s="36"/>
      <c r="S44" s="157" t="s">
        <v>257</v>
      </c>
      <c r="T44" s="37">
        <v>1.3</v>
      </c>
      <c r="U44" s="112"/>
      <c r="V44" s="39"/>
      <c r="W44" s="39"/>
      <c r="X44" s="40"/>
      <c r="Y44" s="39"/>
      <c r="Z44" s="41"/>
      <c r="AA44" s="41"/>
      <c r="AB44" s="157" t="s">
        <v>36</v>
      </c>
      <c r="AC44" s="157" t="s">
        <v>179</v>
      </c>
      <c r="AD44" s="157" t="s">
        <v>38</v>
      </c>
      <c r="AE44" s="157" t="s">
        <v>190</v>
      </c>
      <c r="AF44" s="157" t="s">
        <v>181</v>
      </c>
      <c r="AG44" s="157" t="s">
        <v>39</v>
      </c>
      <c r="AH44" s="157" t="s">
        <v>190</v>
      </c>
      <c r="AI44" s="162">
        <v>17000000000</v>
      </c>
      <c r="AJ44" s="44" t="s">
        <v>259</v>
      </c>
      <c r="AK44" s="162">
        <v>42500000</v>
      </c>
      <c r="AL44" s="44" t="s">
        <v>207</v>
      </c>
      <c r="AM44" s="163">
        <v>3.1E-2</v>
      </c>
      <c r="AN44" s="158" t="s">
        <v>187</v>
      </c>
      <c r="AO44" s="158"/>
      <c r="AP44" s="157" t="s">
        <v>181</v>
      </c>
      <c r="AQ44" s="157" t="s">
        <v>181</v>
      </c>
      <c r="AR44" s="157" t="s">
        <v>42</v>
      </c>
      <c r="AS44" s="159" t="s">
        <v>181</v>
      </c>
      <c r="AT44" s="159" t="s">
        <v>39</v>
      </c>
      <c r="AU44" s="157" t="s">
        <v>190</v>
      </c>
      <c r="AV44" s="157" t="s">
        <v>190</v>
      </c>
      <c r="AW44" s="157" t="s">
        <v>227</v>
      </c>
      <c r="AX44" s="157" t="s">
        <v>227</v>
      </c>
      <c r="AY44" s="162">
        <v>50124</v>
      </c>
      <c r="AZ44" s="162" t="s">
        <v>209</v>
      </c>
      <c r="BA44" s="162">
        <v>9702</v>
      </c>
      <c r="BB44" s="162">
        <v>0</v>
      </c>
      <c r="BC44" s="44" t="s">
        <v>162</v>
      </c>
      <c r="BD44" s="60">
        <v>1</v>
      </c>
      <c r="BE44" s="34"/>
      <c r="BF44" s="157" t="s">
        <v>219</v>
      </c>
      <c r="BG44" s="36"/>
      <c r="BH44" s="157" t="s">
        <v>190</v>
      </c>
      <c r="BI44" s="158">
        <v>0</v>
      </c>
      <c r="BJ44" s="158">
        <v>1</v>
      </c>
      <c r="BK44" s="157" t="s">
        <v>190</v>
      </c>
      <c r="BL44" s="157" t="s">
        <v>190</v>
      </c>
      <c r="BM44" s="157" t="s">
        <v>190</v>
      </c>
      <c r="BN44" s="157" t="s">
        <v>190</v>
      </c>
      <c r="BO44" s="158">
        <v>1</v>
      </c>
      <c r="BP44" s="158">
        <v>2</v>
      </c>
      <c r="BQ44" s="158">
        <v>0</v>
      </c>
      <c r="BR44" s="158">
        <v>0</v>
      </c>
      <c r="BS44" s="51"/>
      <c r="BT44" s="158">
        <v>18</v>
      </c>
      <c r="BU44" s="158">
        <v>0</v>
      </c>
      <c r="BV44" s="158">
        <v>39</v>
      </c>
      <c r="BW44" s="157" t="s">
        <v>190</v>
      </c>
      <c r="BX44" s="51"/>
      <c r="BY44" s="100"/>
      <c r="BZ44" s="100"/>
      <c r="CA44" s="36"/>
      <c r="CB44" s="36"/>
      <c r="CC44" s="51"/>
      <c r="CD44" s="36"/>
      <c r="CE44" s="36"/>
      <c r="CF44" s="36"/>
      <c r="CG44" s="36"/>
      <c r="CH44" s="51"/>
      <c r="CI44" s="36"/>
      <c r="CJ44" s="36"/>
      <c r="CK44" s="36"/>
      <c r="CL44" s="36"/>
      <c r="CM44" s="51"/>
      <c r="CN44" s="36"/>
      <c r="CO44" s="36"/>
      <c r="CP44" s="36"/>
      <c r="CQ44" s="36"/>
      <c r="CR44" s="51"/>
      <c r="CS44" s="36"/>
      <c r="CT44" s="36"/>
      <c r="CU44" s="36"/>
      <c r="CV44" s="36"/>
      <c r="CW44" s="51"/>
      <c r="CX44" s="36"/>
      <c r="CY44" s="36"/>
      <c r="CZ44" s="36"/>
      <c r="DA44" s="36"/>
      <c r="DB44" s="51"/>
      <c r="DC44" s="36"/>
      <c r="DD44" s="36"/>
      <c r="DE44" s="36"/>
      <c r="DF44" s="36"/>
      <c r="DG44" s="51"/>
      <c r="DH44" s="36"/>
      <c r="DI44" s="36"/>
      <c r="DJ44" s="36"/>
      <c r="DK44" s="36"/>
      <c r="DL44" s="51"/>
      <c r="DM44" s="51"/>
      <c r="DN44" s="51"/>
    </row>
    <row r="45" spans="1:118" ht="15.75" customHeight="1">
      <c r="A45" s="29"/>
      <c r="B45" s="157" t="s">
        <v>409</v>
      </c>
      <c r="C45" s="158">
        <v>1807964</v>
      </c>
      <c r="D45" s="159" t="s">
        <v>622</v>
      </c>
      <c r="E45" s="102"/>
      <c r="F45" s="157" t="s">
        <v>160</v>
      </c>
      <c r="G45" s="160" t="s">
        <v>623</v>
      </c>
      <c r="H45" s="160" t="s">
        <v>624</v>
      </c>
      <c r="I45" s="161">
        <v>43922</v>
      </c>
      <c r="J45" s="159" t="s">
        <v>625</v>
      </c>
      <c r="K45" s="159" t="s">
        <v>622</v>
      </c>
      <c r="M45" s="157" t="s">
        <v>626</v>
      </c>
      <c r="N45" s="157" t="s">
        <v>168</v>
      </c>
      <c r="O45" s="157" t="s">
        <v>30</v>
      </c>
      <c r="P45" s="157" t="s">
        <v>31</v>
      </c>
      <c r="Q45" s="157" t="s">
        <v>35</v>
      </c>
      <c r="R45" s="36"/>
      <c r="S45" s="157" t="s">
        <v>257</v>
      </c>
      <c r="T45" s="37">
        <v>1.1000000000000001</v>
      </c>
      <c r="U45" s="112"/>
      <c r="V45" s="39"/>
      <c r="W45" s="39"/>
      <c r="X45" s="40"/>
      <c r="Y45" s="39"/>
      <c r="Z45" s="41"/>
      <c r="AA45" s="41"/>
      <c r="AB45" s="157" t="s">
        <v>36</v>
      </c>
      <c r="AC45" s="157" t="s">
        <v>179</v>
      </c>
      <c r="AD45" s="157" t="s">
        <v>38</v>
      </c>
      <c r="AE45" s="157" t="s">
        <v>190</v>
      </c>
      <c r="AF45" s="157" t="s">
        <v>181</v>
      </c>
      <c r="AG45" s="157" t="s">
        <v>39</v>
      </c>
      <c r="AH45" s="157" t="s">
        <v>190</v>
      </c>
      <c r="AI45" s="162">
        <v>47000000000</v>
      </c>
      <c r="AJ45" s="44" t="s">
        <v>195</v>
      </c>
      <c r="AK45" s="162">
        <v>15000000000</v>
      </c>
      <c r="AL45" s="44" t="s">
        <v>259</v>
      </c>
      <c r="AM45" s="163">
        <v>5.5E-2</v>
      </c>
      <c r="AN45" s="158" t="s">
        <v>187</v>
      </c>
      <c r="AO45" s="158"/>
      <c r="AP45" s="157" t="s">
        <v>39</v>
      </c>
      <c r="AQ45" s="157" t="s">
        <v>181</v>
      </c>
      <c r="AR45" s="157" t="s">
        <v>42</v>
      </c>
      <c r="AS45" s="159" t="s">
        <v>39</v>
      </c>
      <c r="AT45" s="159" t="s">
        <v>39</v>
      </c>
      <c r="AU45" s="157" t="s">
        <v>190</v>
      </c>
      <c r="AV45" s="157" t="s">
        <v>190</v>
      </c>
      <c r="AW45" s="157" t="s">
        <v>227</v>
      </c>
      <c r="AX45" s="157" t="s">
        <v>227</v>
      </c>
      <c r="AY45" s="162">
        <v>984796</v>
      </c>
      <c r="AZ45" s="162" t="s">
        <v>239</v>
      </c>
      <c r="BA45" s="162">
        <v>2400</v>
      </c>
      <c r="BB45" s="162">
        <v>0</v>
      </c>
      <c r="BC45" s="44" t="s">
        <v>162</v>
      </c>
      <c r="BD45" s="60">
        <v>1</v>
      </c>
      <c r="BE45" s="34"/>
      <c r="BF45" s="157" t="s">
        <v>202</v>
      </c>
      <c r="BG45" s="36"/>
      <c r="BH45" s="157" t="s">
        <v>227</v>
      </c>
      <c r="BI45" s="158">
        <v>4</v>
      </c>
      <c r="BJ45" s="158">
        <v>1</v>
      </c>
      <c r="BK45" s="157" t="s">
        <v>190</v>
      </c>
      <c r="BL45" s="157" t="s">
        <v>227</v>
      </c>
      <c r="BM45" s="157" t="s">
        <v>190</v>
      </c>
      <c r="BN45" s="157" t="s">
        <v>190</v>
      </c>
      <c r="BO45" s="158">
        <v>2</v>
      </c>
      <c r="BP45" s="158">
        <v>6</v>
      </c>
      <c r="BQ45" s="158">
        <v>0</v>
      </c>
      <c r="BR45" s="158">
        <v>0</v>
      </c>
      <c r="BS45" s="51"/>
      <c r="BT45" s="158">
        <v>6</v>
      </c>
      <c r="BU45" s="158">
        <v>0</v>
      </c>
      <c r="BV45" s="158">
        <v>37</v>
      </c>
      <c r="BW45" s="157" t="s">
        <v>227</v>
      </c>
      <c r="BX45" s="51"/>
      <c r="BY45" s="100"/>
      <c r="BZ45" s="100"/>
      <c r="CA45" s="36"/>
      <c r="CB45" s="36"/>
      <c r="CC45" s="51"/>
      <c r="CD45" s="36"/>
      <c r="CE45" s="36"/>
      <c r="CF45" s="36"/>
      <c r="CG45" s="36"/>
      <c r="CH45" s="51"/>
      <c r="CI45" s="36"/>
      <c r="CJ45" s="36"/>
      <c r="CK45" s="36"/>
      <c r="CL45" s="36"/>
      <c r="CM45" s="51"/>
      <c r="CN45" s="36"/>
      <c r="CO45" s="36"/>
      <c r="CP45" s="36"/>
      <c r="CQ45" s="36"/>
      <c r="CR45" s="51"/>
      <c r="CS45" s="36"/>
      <c r="CT45" s="36"/>
      <c r="CU45" s="36"/>
      <c r="CV45" s="36"/>
      <c r="CW45" s="51"/>
      <c r="CX45" s="36"/>
      <c r="CY45" s="36"/>
      <c r="CZ45" s="36"/>
      <c r="DA45" s="36"/>
      <c r="DB45" s="51"/>
      <c r="DC45" s="36"/>
      <c r="DD45" s="36"/>
      <c r="DE45" s="36"/>
      <c r="DF45" s="36"/>
      <c r="DG45" s="51"/>
      <c r="DH45" s="36"/>
      <c r="DI45" s="36"/>
      <c r="DJ45" s="36"/>
      <c r="DK45" s="36"/>
      <c r="DL45" s="51"/>
      <c r="DM45" s="51"/>
      <c r="DN45" s="51"/>
    </row>
    <row r="46" spans="1:118" ht="15.75" customHeight="1">
      <c r="A46" s="29"/>
      <c r="B46" s="157" t="s">
        <v>409</v>
      </c>
      <c r="C46" s="158">
        <v>1808346</v>
      </c>
      <c r="D46" s="159" t="s">
        <v>627</v>
      </c>
      <c r="E46" s="102"/>
      <c r="F46" s="157" t="s">
        <v>160</v>
      </c>
      <c r="G46" s="160" t="s">
        <v>628</v>
      </c>
      <c r="H46" s="160" t="s">
        <v>629</v>
      </c>
      <c r="I46" s="161">
        <v>43923</v>
      </c>
      <c r="J46" s="159" t="s">
        <v>630</v>
      </c>
      <c r="K46" s="159" t="s">
        <v>627</v>
      </c>
      <c r="M46" s="157" t="s">
        <v>167</v>
      </c>
      <c r="N46" s="157" t="s">
        <v>168</v>
      </c>
      <c r="O46" s="157" t="s">
        <v>30</v>
      </c>
      <c r="P46" s="157" t="s">
        <v>31</v>
      </c>
      <c r="Q46" s="157" t="s">
        <v>35</v>
      </c>
      <c r="R46" s="36"/>
      <c r="S46" s="157" t="s">
        <v>257</v>
      </c>
      <c r="T46" s="37">
        <v>1.5</v>
      </c>
      <c r="U46" s="112"/>
      <c r="V46" s="39"/>
      <c r="W46" s="39"/>
      <c r="X46" s="40"/>
      <c r="Y46" s="39"/>
      <c r="Z46" s="41"/>
      <c r="AA46" s="41"/>
      <c r="AB46" s="157" t="s">
        <v>36</v>
      </c>
      <c r="AC46" s="157" t="s">
        <v>179</v>
      </c>
      <c r="AD46" s="157" t="s">
        <v>38</v>
      </c>
      <c r="AE46" s="157" t="s">
        <v>190</v>
      </c>
      <c r="AF46" s="157" t="s">
        <v>181</v>
      </c>
      <c r="AG46" s="157" t="s">
        <v>39</v>
      </c>
      <c r="AH46" s="157" t="s">
        <v>190</v>
      </c>
      <c r="AI46" s="162">
        <v>30000000000</v>
      </c>
      <c r="AJ46" s="44" t="s">
        <v>195</v>
      </c>
      <c r="AK46" s="162">
        <v>7500000000</v>
      </c>
      <c r="AL46" s="44" t="s">
        <v>271</v>
      </c>
      <c r="AM46" s="163">
        <v>3.2000000000000001E-2</v>
      </c>
      <c r="AN46" s="158" t="s">
        <v>187</v>
      </c>
      <c r="AO46" s="158"/>
      <c r="AP46" s="157" t="s">
        <v>39</v>
      </c>
      <c r="AQ46" s="157" t="s">
        <v>181</v>
      </c>
      <c r="AR46" s="157" t="s">
        <v>42</v>
      </c>
      <c r="AS46" s="159" t="s">
        <v>181</v>
      </c>
      <c r="AT46" s="159" t="s">
        <v>39</v>
      </c>
      <c r="AU46" s="157" t="s">
        <v>190</v>
      </c>
      <c r="AV46" s="157" t="s">
        <v>190</v>
      </c>
      <c r="AW46" s="157" t="s">
        <v>227</v>
      </c>
      <c r="AX46" s="157" t="s">
        <v>227</v>
      </c>
      <c r="AY46" s="162">
        <v>150730</v>
      </c>
      <c r="AZ46" s="162" t="s">
        <v>225</v>
      </c>
      <c r="BA46" s="162">
        <v>8145</v>
      </c>
      <c r="BB46" s="162">
        <v>0</v>
      </c>
      <c r="BC46" s="44" t="s">
        <v>162</v>
      </c>
      <c r="BD46" s="60">
        <v>1</v>
      </c>
      <c r="BE46" s="34"/>
      <c r="BF46" s="157" t="s">
        <v>219</v>
      </c>
      <c r="BG46" s="36"/>
      <c r="BH46" s="157" t="s">
        <v>190</v>
      </c>
      <c r="BI46" s="158">
        <v>0</v>
      </c>
      <c r="BJ46" s="158">
        <v>1</v>
      </c>
      <c r="BK46" s="157" t="s">
        <v>190</v>
      </c>
      <c r="BL46" s="157" t="s">
        <v>190</v>
      </c>
      <c r="BM46" s="157" t="s">
        <v>190</v>
      </c>
      <c r="BN46" s="157" t="s">
        <v>227</v>
      </c>
      <c r="BO46" s="158">
        <v>1</v>
      </c>
      <c r="BP46" s="99"/>
      <c r="BQ46" s="158">
        <v>0</v>
      </c>
      <c r="BR46" s="158">
        <v>0</v>
      </c>
      <c r="BS46" s="51"/>
      <c r="BT46" s="158">
        <v>36</v>
      </c>
      <c r="BU46" s="158">
        <v>0</v>
      </c>
      <c r="BV46" s="158">
        <v>56</v>
      </c>
      <c r="BW46" s="157" t="s">
        <v>190</v>
      </c>
      <c r="BX46" s="51"/>
      <c r="BY46" s="100"/>
      <c r="BZ46" s="100"/>
      <c r="CA46" s="36"/>
      <c r="CB46" s="36"/>
      <c r="CC46" s="51"/>
      <c r="CD46" s="36"/>
      <c r="CE46" s="36"/>
      <c r="CF46" s="36"/>
      <c r="CG46" s="36"/>
      <c r="CH46" s="51"/>
      <c r="CI46" s="36"/>
      <c r="CJ46" s="36"/>
      <c r="CK46" s="36"/>
      <c r="CL46" s="36"/>
      <c r="CM46" s="51"/>
      <c r="CN46" s="36"/>
      <c r="CO46" s="36"/>
      <c r="CP46" s="36"/>
      <c r="CQ46" s="36"/>
      <c r="CR46" s="51"/>
      <c r="CS46" s="36"/>
      <c r="CT46" s="36"/>
      <c r="CU46" s="36"/>
      <c r="CV46" s="36"/>
      <c r="CW46" s="51"/>
      <c r="CX46" s="36"/>
      <c r="CY46" s="36"/>
      <c r="CZ46" s="36"/>
      <c r="DA46" s="36"/>
      <c r="DB46" s="51"/>
      <c r="DC46" s="36"/>
      <c r="DD46" s="36"/>
      <c r="DE46" s="36"/>
      <c r="DF46" s="36"/>
      <c r="DG46" s="51"/>
      <c r="DH46" s="36"/>
      <c r="DI46" s="36"/>
      <c r="DJ46" s="36"/>
      <c r="DK46" s="36"/>
      <c r="DL46" s="51"/>
      <c r="DM46" s="51"/>
      <c r="DN46" s="51"/>
    </row>
    <row r="47" spans="1:118" ht="15.75" customHeight="1">
      <c r="A47" s="29"/>
      <c r="B47" s="157" t="s">
        <v>409</v>
      </c>
      <c r="C47" s="158">
        <v>1765325</v>
      </c>
      <c r="D47" s="159" t="s">
        <v>631</v>
      </c>
      <c r="E47" s="102"/>
      <c r="F47" s="157" t="s">
        <v>160</v>
      </c>
      <c r="G47" s="160" t="s">
        <v>632</v>
      </c>
      <c r="H47" s="160" t="s">
        <v>633</v>
      </c>
      <c r="I47" s="161">
        <v>43924</v>
      </c>
      <c r="J47" s="159" t="s">
        <v>634</v>
      </c>
      <c r="K47" s="159" t="s">
        <v>631</v>
      </c>
      <c r="M47" s="157" t="s">
        <v>524</v>
      </c>
      <c r="N47" s="157" t="s">
        <v>168</v>
      </c>
      <c r="O47" s="157" t="s">
        <v>30</v>
      </c>
      <c r="P47" s="157" t="s">
        <v>31</v>
      </c>
      <c r="Q47" s="157" t="s">
        <v>35</v>
      </c>
      <c r="R47" s="36"/>
      <c r="S47" s="157" t="s">
        <v>257</v>
      </c>
      <c r="T47" s="37">
        <v>1.5</v>
      </c>
      <c r="U47" s="112"/>
      <c r="V47" s="39"/>
      <c r="W47" s="39"/>
      <c r="X47" s="40"/>
      <c r="Y47" s="39"/>
      <c r="Z47" s="41"/>
      <c r="AA47" s="41"/>
      <c r="AB47" s="157" t="s">
        <v>36</v>
      </c>
      <c r="AC47" s="157" t="s">
        <v>179</v>
      </c>
      <c r="AD47" s="157" t="s">
        <v>38</v>
      </c>
      <c r="AE47" s="157" t="s">
        <v>190</v>
      </c>
      <c r="AF47" s="157" t="s">
        <v>181</v>
      </c>
      <c r="AG47" s="157" t="s">
        <v>39</v>
      </c>
      <c r="AH47" s="157" t="s">
        <v>190</v>
      </c>
      <c r="AI47" s="162">
        <v>724500000</v>
      </c>
      <c r="AJ47" s="44" t="s">
        <v>290</v>
      </c>
      <c r="AK47" s="162">
        <v>37800000</v>
      </c>
      <c r="AL47" s="44" t="s">
        <v>207</v>
      </c>
      <c r="AM47" s="163">
        <v>0.2</v>
      </c>
      <c r="AN47" s="158" t="s">
        <v>206</v>
      </c>
      <c r="AO47" s="158"/>
      <c r="AP47" s="157" t="s">
        <v>181</v>
      </c>
      <c r="AQ47" s="157" t="s">
        <v>181</v>
      </c>
      <c r="AR47" s="157" t="s">
        <v>42</v>
      </c>
      <c r="AS47" s="159" t="s">
        <v>181</v>
      </c>
      <c r="AT47" s="159" t="s">
        <v>39</v>
      </c>
      <c r="AU47" s="157" t="s">
        <v>190</v>
      </c>
      <c r="AV47" s="157" t="s">
        <v>190</v>
      </c>
      <c r="AW47" s="157" t="s">
        <v>227</v>
      </c>
      <c r="AX47" s="157" t="s">
        <v>227</v>
      </c>
      <c r="AY47" s="162">
        <v>128971</v>
      </c>
      <c r="AZ47" s="162" t="s">
        <v>225</v>
      </c>
      <c r="BA47" s="162">
        <v>12224</v>
      </c>
      <c r="BB47" s="162">
        <v>0</v>
      </c>
      <c r="BC47" s="44" t="s">
        <v>162</v>
      </c>
      <c r="BD47" s="60">
        <v>1</v>
      </c>
      <c r="BE47" s="34"/>
      <c r="BF47" s="157" t="s">
        <v>202</v>
      </c>
      <c r="BG47" s="36"/>
      <c r="BH47" s="157" t="s">
        <v>190</v>
      </c>
      <c r="BI47" s="158">
        <v>0</v>
      </c>
      <c r="BJ47" s="158">
        <v>2</v>
      </c>
      <c r="BK47" s="157" t="s">
        <v>190</v>
      </c>
      <c r="BL47" s="157" t="s">
        <v>227</v>
      </c>
      <c r="BM47" s="157" t="s">
        <v>190</v>
      </c>
      <c r="BN47" s="157" t="s">
        <v>190</v>
      </c>
      <c r="BO47" s="158">
        <v>1</v>
      </c>
      <c r="BP47" s="158">
        <v>3</v>
      </c>
      <c r="BQ47" s="158">
        <v>0</v>
      </c>
      <c r="BR47" s="158">
        <v>0</v>
      </c>
      <c r="BS47" s="51"/>
      <c r="BT47" s="158">
        <v>0</v>
      </c>
      <c r="BU47" s="158">
        <v>0</v>
      </c>
      <c r="BV47" s="158">
        <v>38</v>
      </c>
      <c r="BW47" s="157" t="s">
        <v>227</v>
      </c>
      <c r="BX47" s="51"/>
      <c r="BY47" s="158">
        <v>13</v>
      </c>
      <c r="BZ47" s="158">
        <v>0</v>
      </c>
      <c r="CA47" s="36"/>
      <c r="CB47" s="157" t="s">
        <v>190</v>
      </c>
      <c r="CC47" s="51"/>
      <c r="CD47" s="36"/>
      <c r="CE47" s="36"/>
      <c r="CF47" s="36"/>
      <c r="CG47" s="36"/>
      <c r="CH47" s="51"/>
      <c r="CI47" s="36"/>
      <c r="CJ47" s="36"/>
      <c r="CK47" s="36"/>
      <c r="CL47" s="36"/>
      <c r="CM47" s="51"/>
      <c r="CN47" s="36"/>
      <c r="CO47" s="36"/>
      <c r="CP47" s="36"/>
      <c r="CQ47" s="36"/>
      <c r="CR47" s="51"/>
      <c r="CS47" s="36"/>
      <c r="CT47" s="36"/>
      <c r="CU47" s="36"/>
      <c r="CV47" s="36"/>
      <c r="CW47" s="51"/>
      <c r="CX47" s="36"/>
      <c r="CY47" s="36"/>
      <c r="CZ47" s="36"/>
      <c r="DA47" s="36"/>
      <c r="DB47" s="51"/>
      <c r="DC47" s="36"/>
      <c r="DD47" s="36"/>
      <c r="DE47" s="36"/>
      <c r="DF47" s="36"/>
      <c r="DG47" s="51"/>
      <c r="DH47" s="36"/>
      <c r="DI47" s="36"/>
      <c r="DJ47" s="36"/>
      <c r="DK47" s="36"/>
      <c r="DL47" s="51"/>
      <c r="DM47" s="51"/>
      <c r="DN47" s="51"/>
    </row>
    <row r="48" spans="1:118" ht="15.75" customHeight="1">
      <c r="A48" s="29"/>
      <c r="B48" s="157" t="s">
        <v>409</v>
      </c>
      <c r="C48" s="158">
        <v>1807930</v>
      </c>
      <c r="D48" s="159" t="s">
        <v>635</v>
      </c>
      <c r="E48" s="102"/>
      <c r="F48" s="157" t="s">
        <v>289</v>
      </c>
      <c r="G48" s="160" t="s">
        <v>636</v>
      </c>
      <c r="H48" s="160" t="s">
        <v>637</v>
      </c>
      <c r="I48" s="161">
        <v>43927</v>
      </c>
      <c r="J48" s="159" t="s">
        <v>638</v>
      </c>
      <c r="K48" s="159" t="s">
        <v>635</v>
      </c>
      <c r="M48" s="157" t="s">
        <v>167</v>
      </c>
      <c r="N48" s="157" t="s">
        <v>168</v>
      </c>
      <c r="O48" s="157" t="s">
        <v>30</v>
      </c>
      <c r="P48" s="157" t="s">
        <v>31</v>
      </c>
      <c r="Q48" s="157" t="s">
        <v>35</v>
      </c>
      <c r="R48" s="36"/>
      <c r="S48" s="157" t="s">
        <v>170</v>
      </c>
      <c r="T48" s="59"/>
      <c r="U48" s="169">
        <v>0.1</v>
      </c>
      <c r="V48" s="39"/>
      <c r="W48" s="39"/>
      <c r="X48" s="40"/>
      <c r="Y48" s="39"/>
      <c r="Z48" s="41"/>
      <c r="AA48" s="41"/>
      <c r="AB48" s="157" t="s">
        <v>36</v>
      </c>
      <c r="AC48" s="157" t="s">
        <v>179</v>
      </c>
      <c r="AD48" s="157" t="s">
        <v>38</v>
      </c>
      <c r="AE48" s="157" t="s">
        <v>190</v>
      </c>
      <c r="AF48" s="157" t="s">
        <v>181</v>
      </c>
      <c r="AG48" s="157" t="s">
        <v>39</v>
      </c>
      <c r="AH48" s="157" t="s">
        <v>227</v>
      </c>
      <c r="AI48" s="162">
        <v>1100000000</v>
      </c>
      <c r="AJ48" s="44" t="s">
        <v>282</v>
      </c>
      <c r="AK48" s="162">
        <v>5000000</v>
      </c>
      <c r="AL48" s="44" t="s">
        <v>317</v>
      </c>
      <c r="AM48" s="163">
        <v>0.01</v>
      </c>
      <c r="AN48" s="158" t="s">
        <v>187</v>
      </c>
      <c r="AO48" s="158"/>
      <c r="AP48" s="157" t="s">
        <v>39</v>
      </c>
      <c r="AQ48" s="157" t="s">
        <v>181</v>
      </c>
      <c r="AR48" s="157" t="s">
        <v>42</v>
      </c>
      <c r="AS48" s="159" t="s">
        <v>181</v>
      </c>
      <c r="AT48" s="159" t="s">
        <v>39</v>
      </c>
      <c r="AU48" s="157" t="s">
        <v>227</v>
      </c>
      <c r="AV48" s="157" t="s">
        <v>190</v>
      </c>
      <c r="AW48" s="157" t="s">
        <v>227</v>
      </c>
      <c r="AX48" s="157" t="s">
        <v>227</v>
      </c>
      <c r="AY48" s="162">
        <v>42714</v>
      </c>
      <c r="AZ48" s="162" t="s">
        <v>189</v>
      </c>
      <c r="BA48" s="162">
        <v>9647</v>
      </c>
      <c r="BB48" s="162">
        <v>0</v>
      </c>
      <c r="BC48" s="44" t="s">
        <v>162</v>
      </c>
      <c r="BD48" s="60">
        <v>1</v>
      </c>
      <c r="BE48" s="34"/>
      <c r="BF48" s="157" t="s">
        <v>202</v>
      </c>
      <c r="BG48" s="36"/>
      <c r="BH48" s="157" t="s">
        <v>190</v>
      </c>
      <c r="BI48" s="158">
        <v>0</v>
      </c>
      <c r="BJ48" s="158">
        <v>1</v>
      </c>
      <c r="BK48" s="157" t="s">
        <v>190</v>
      </c>
      <c r="BL48" s="157" t="s">
        <v>190</v>
      </c>
      <c r="BM48" s="157" t="s">
        <v>190</v>
      </c>
      <c r="BN48" s="157" t="s">
        <v>190</v>
      </c>
      <c r="BO48" s="158">
        <v>2</v>
      </c>
      <c r="BP48" s="158">
        <v>1</v>
      </c>
      <c r="BQ48" s="158">
        <v>0</v>
      </c>
      <c r="BR48" s="158">
        <v>0</v>
      </c>
      <c r="BS48" s="51"/>
      <c r="BT48" s="158">
        <v>6</v>
      </c>
      <c r="BU48" s="158">
        <v>0</v>
      </c>
      <c r="BV48" s="158">
        <v>40</v>
      </c>
      <c r="BW48" s="157" t="s">
        <v>190</v>
      </c>
      <c r="BX48" s="51"/>
      <c r="BY48" s="100"/>
      <c r="BZ48" s="100"/>
      <c r="CA48" s="36"/>
      <c r="CB48" s="36"/>
      <c r="CC48" s="51"/>
      <c r="CD48" s="36"/>
      <c r="CE48" s="36"/>
      <c r="CF48" s="36"/>
      <c r="CG48" s="36"/>
      <c r="CH48" s="51"/>
      <c r="CI48" s="36"/>
      <c r="CJ48" s="36"/>
      <c r="CK48" s="36"/>
      <c r="CL48" s="36"/>
      <c r="CM48" s="51"/>
      <c r="CN48" s="36"/>
      <c r="CO48" s="36"/>
      <c r="CP48" s="36"/>
      <c r="CQ48" s="36"/>
      <c r="CR48" s="51"/>
      <c r="CS48" s="36"/>
      <c r="CT48" s="36"/>
      <c r="CU48" s="36"/>
      <c r="CV48" s="36"/>
      <c r="CW48" s="51"/>
      <c r="CX48" s="36"/>
      <c r="CY48" s="36"/>
      <c r="CZ48" s="36"/>
      <c r="DA48" s="36"/>
      <c r="DB48" s="51"/>
      <c r="DC48" s="36"/>
      <c r="DD48" s="36"/>
      <c r="DE48" s="36"/>
      <c r="DF48" s="36"/>
      <c r="DG48" s="51"/>
      <c r="DH48" s="36"/>
      <c r="DI48" s="36"/>
      <c r="DJ48" s="36"/>
      <c r="DK48" s="36"/>
      <c r="DL48" s="51"/>
      <c r="DM48" s="51"/>
      <c r="DN48" s="51"/>
    </row>
    <row r="49" spans="1:118" ht="15.75" customHeight="1">
      <c r="A49" s="29"/>
      <c r="B49" s="157" t="s">
        <v>409</v>
      </c>
      <c r="C49" s="158">
        <v>1805122</v>
      </c>
      <c r="D49" s="159" t="s">
        <v>639</v>
      </c>
      <c r="E49" s="102"/>
      <c r="F49" s="157" t="s">
        <v>289</v>
      </c>
      <c r="G49" s="160" t="s">
        <v>640</v>
      </c>
      <c r="H49" s="160" t="s">
        <v>641</v>
      </c>
      <c r="I49" s="161">
        <v>43922</v>
      </c>
      <c r="J49" s="159" t="s">
        <v>642</v>
      </c>
      <c r="K49" s="159" t="s">
        <v>639</v>
      </c>
      <c r="M49" s="157" t="s">
        <v>167</v>
      </c>
      <c r="N49" s="157" t="s">
        <v>168</v>
      </c>
      <c r="O49" s="157" t="s">
        <v>30</v>
      </c>
      <c r="P49" s="157" t="s">
        <v>31</v>
      </c>
      <c r="Q49" s="157" t="s">
        <v>35</v>
      </c>
      <c r="R49" s="36"/>
      <c r="S49" s="157" t="s">
        <v>170</v>
      </c>
      <c r="T49" s="59"/>
      <c r="U49" s="169">
        <v>0.1275</v>
      </c>
      <c r="V49" s="39"/>
      <c r="W49" s="39"/>
      <c r="X49" s="40"/>
      <c r="Y49" s="39"/>
      <c r="Z49" s="41"/>
      <c r="AA49" s="41"/>
      <c r="AB49" s="157" t="s">
        <v>36</v>
      </c>
      <c r="AC49" s="157" t="s">
        <v>179</v>
      </c>
      <c r="AD49" s="157" t="s">
        <v>38</v>
      </c>
      <c r="AE49" s="157" t="s">
        <v>190</v>
      </c>
      <c r="AF49" s="157" t="s">
        <v>181</v>
      </c>
      <c r="AG49" s="157" t="s">
        <v>39</v>
      </c>
      <c r="AH49" s="157" t="s">
        <v>190</v>
      </c>
      <c r="AI49" s="162">
        <v>26200000000</v>
      </c>
      <c r="AJ49" s="44" t="s">
        <v>195</v>
      </c>
      <c r="AK49" s="162">
        <v>3000000000</v>
      </c>
      <c r="AL49" s="44" t="s">
        <v>282</v>
      </c>
      <c r="AM49" s="163">
        <v>5.8000000000000003E-2</v>
      </c>
      <c r="AN49" s="158" t="s">
        <v>187</v>
      </c>
      <c r="AO49" s="158"/>
      <c r="AP49" s="157" t="s">
        <v>181</v>
      </c>
      <c r="AQ49" s="157" t="s">
        <v>181</v>
      </c>
      <c r="AR49" s="157" t="s">
        <v>42</v>
      </c>
      <c r="AS49" s="159" t="s">
        <v>181</v>
      </c>
      <c r="AT49" s="159" t="s">
        <v>39</v>
      </c>
      <c r="AU49" s="157" t="s">
        <v>190</v>
      </c>
      <c r="AV49" s="157" t="s">
        <v>190</v>
      </c>
      <c r="AW49" s="157" t="s">
        <v>227</v>
      </c>
      <c r="AX49" s="157" t="s">
        <v>227</v>
      </c>
      <c r="AY49" s="162">
        <v>800</v>
      </c>
      <c r="AZ49" s="162" t="s">
        <v>162</v>
      </c>
      <c r="BA49" s="162">
        <v>832</v>
      </c>
      <c r="BB49" s="162">
        <v>0</v>
      </c>
      <c r="BC49" s="44" t="s">
        <v>162</v>
      </c>
      <c r="BD49" s="60">
        <v>1</v>
      </c>
      <c r="BE49" s="34"/>
      <c r="BF49" s="157" t="s">
        <v>202</v>
      </c>
      <c r="BG49" s="36"/>
      <c r="BH49" s="157" t="s">
        <v>190</v>
      </c>
      <c r="BI49" s="158">
        <v>0</v>
      </c>
      <c r="BJ49" s="158">
        <v>1</v>
      </c>
      <c r="BK49" s="157" t="s">
        <v>190</v>
      </c>
      <c r="BL49" s="157" t="s">
        <v>190</v>
      </c>
      <c r="BM49" s="157" t="s">
        <v>227</v>
      </c>
      <c r="BN49" s="157" t="s">
        <v>190</v>
      </c>
      <c r="BO49" s="158">
        <v>0</v>
      </c>
      <c r="BP49" s="158">
        <v>9</v>
      </c>
      <c r="BQ49" s="158">
        <v>0</v>
      </c>
      <c r="BR49" s="158">
        <v>0</v>
      </c>
      <c r="BS49" s="51"/>
      <c r="BT49" s="158">
        <v>0</v>
      </c>
      <c r="BU49" s="158">
        <v>0</v>
      </c>
      <c r="BV49" s="158">
        <v>34</v>
      </c>
      <c r="BW49" s="157" t="s">
        <v>190</v>
      </c>
      <c r="BX49" s="51"/>
      <c r="BY49" s="100"/>
      <c r="BZ49" s="100"/>
      <c r="CA49" s="36"/>
      <c r="CB49" s="36"/>
      <c r="CC49" s="51"/>
      <c r="CD49" s="36"/>
      <c r="CE49" s="36"/>
      <c r="CF49" s="36"/>
      <c r="CG49" s="36"/>
      <c r="CH49" s="51"/>
      <c r="CI49" s="36"/>
      <c r="CJ49" s="36"/>
      <c r="CK49" s="36"/>
      <c r="CL49" s="36"/>
      <c r="CM49" s="51"/>
      <c r="CN49" s="36"/>
      <c r="CO49" s="36"/>
      <c r="CP49" s="36"/>
      <c r="CQ49" s="36"/>
      <c r="CR49" s="51"/>
      <c r="CS49" s="36"/>
      <c r="CT49" s="36"/>
      <c r="CU49" s="36"/>
      <c r="CV49" s="36"/>
      <c r="CW49" s="51"/>
      <c r="CX49" s="36"/>
      <c r="CY49" s="36"/>
      <c r="CZ49" s="36"/>
      <c r="DA49" s="36"/>
      <c r="DB49" s="51"/>
      <c r="DC49" s="36"/>
      <c r="DD49" s="36"/>
      <c r="DE49" s="36"/>
      <c r="DF49" s="36"/>
      <c r="DG49" s="51"/>
      <c r="DH49" s="36"/>
      <c r="DI49" s="36"/>
      <c r="DJ49" s="36"/>
      <c r="DK49" s="36"/>
      <c r="DL49" s="51"/>
      <c r="DM49" s="51"/>
      <c r="DN49" s="51"/>
    </row>
    <row r="50" spans="1:118" ht="15.75" customHeight="1">
      <c r="A50" s="29"/>
      <c r="B50" s="157" t="s">
        <v>355</v>
      </c>
      <c r="C50" s="158">
        <v>1807932</v>
      </c>
      <c r="D50" s="159" t="s">
        <v>643</v>
      </c>
      <c r="E50" s="102"/>
      <c r="F50" s="157" t="s">
        <v>160</v>
      </c>
      <c r="G50" s="160" t="s">
        <v>644</v>
      </c>
      <c r="H50" s="160" t="s">
        <v>645</v>
      </c>
      <c r="I50" s="161">
        <v>43917</v>
      </c>
      <c r="J50" s="159" t="s">
        <v>646</v>
      </c>
      <c r="K50" s="159" t="s">
        <v>643</v>
      </c>
      <c r="M50" s="157" t="s">
        <v>647</v>
      </c>
      <c r="N50" s="157" t="s">
        <v>168</v>
      </c>
      <c r="O50" s="157" t="s">
        <v>30</v>
      </c>
      <c r="P50" s="157" t="s">
        <v>174</v>
      </c>
      <c r="Q50" s="157" t="s">
        <v>35</v>
      </c>
      <c r="R50" s="36"/>
      <c r="S50" s="157" t="s">
        <v>257</v>
      </c>
      <c r="T50" s="37">
        <v>2</v>
      </c>
      <c r="U50" s="112"/>
      <c r="V50" s="39"/>
      <c r="W50" s="39"/>
      <c r="X50" s="40"/>
      <c r="Y50" s="39"/>
      <c r="Z50" s="77">
        <v>0</v>
      </c>
      <c r="AA50" s="78" t="s">
        <v>158</v>
      </c>
      <c r="AB50" s="157" t="s">
        <v>36</v>
      </c>
      <c r="AC50" s="157" t="s">
        <v>179</v>
      </c>
      <c r="AD50" s="157" t="s">
        <v>38</v>
      </c>
      <c r="AE50" s="157" t="s">
        <v>190</v>
      </c>
      <c r="AF50" s="157" t="s">
        <v>181</v>
      </c>
      <c r="AG50" s="157" t="s">
        <v>39</v>
      </c>
      <c r="AH50" s="51"/>
      <c r="AI50" s="162">
        <v>50000000000</v>
      </c>
      <c r="AJ50" s="44" t="s">
        <v>236</v>
      </c>
      <c r="AK50" s="162">
        <v>10000000</v>
      </c>
      <c r="AL50" s="44" t="s">
        <v>317</v>
      </c>
      <c r="AM50" s="163">
        <v>0.04</v>
      </c>
      <c r="AN50" s="158" t="s">
        <v>187</v>
      </c>
      <c r="AO50" s="158"/>
      <c r="AP50" s="157" t="s">
        <v>181</v>
      </c>
      <c r="AQ50" s="157" t="s">
        <v>181</v>
      </c>
      <c r="AR50" s="157" t="s">
        <v>42</v>
      </c>
      <c r="AS50" s="159" t="s">
        <v>39</v>
      </c>
      <c r="AT50" s="159" t="s">
        <v>39</v>
      </c>
      <c r="AU50" s="157" t="s">
        <v>190</v>
      </c>
      <c r="AV50" s="157" t="s">
        <v>190</v>
      </c>
      <c r="AW50" s="157" t="s">
        <v>227</v>
      </c>
      <c r="AX50" s="157" t="s">
        <v>227</v>
      </c>
      <c r="AY50" s="162">
        <v>86824</v>
      </c>
      <c r="AZ50" s="162" t="s">
        <v>209</v>
      </c>
      <c r="BA50" s="162">
        <v>0</v>
      </c>
      <c r="BB50" s="162">
        <v>0</v>
      </c>
      <c r="BC50" s="44" t="s">
        <v>162</v>
      </c>
      <c r="BD50" s="60">
        <v>1</v>
      </c>
      <c r="BE50" s="34"/>
      <c r="BF50" s="157" t="s">
        <v>219</v>
      </c>
      <c r="BG50" s="36"/>
      <c r="BH50" s="157" t="s">
        <v>190</v>
      </c>
      <c r="BI50" s="158">
        <v>0</v>
      </c>
      <c r="BJ50" s="158">
        <v>1</v>
      </c>
      <c r="BK50" s="157" t="s">
        <v>190</v>
      </c>
      <c r="BL50" s="157" t="s">
        <v>190</v>
      </c>
      <c r="BM50" s="157" t="s">
        <v>190</v>
      </c>
      <c r="BN50" s="157" t="s">
        <v>190</v>
      </c>
      <c r="BO50" s="158">
        <v>3</v>
      </c>
      <c r="BP50" s="158">
        <v>1</v>
      </c>
      <c r="BQ50" s="158">
        <v>0</v>
      </c>
      <c r="BR50" s="158">
        <v>0</v>
      </c>
      <c r="BS50" s="51"/>
      <c r="BT50" s="158">
        <v>3</v>
      </c>
      <c r="BU50" s="158">
        <v>0</v>
      </c>
      <c r="BV50" s="158">
        <v>30</v>
      </c>
      <c r="BW50" s="157" t="s">
        <v>190</v>
      </c>
      <c r="BX50" s="51"/>
      <c r="BY50" s="100"/>
      <c r="BZ50" s="100"/>
      <c r="CA50" s="36"/>
      <c r="CB50" s="36"/>
      <c r="CC50" s="51"/>
      <c r="CD50" s="36"/>
      <c r="CE50" s="36"/>
      <c r="CF50" s="36"/>
      <c r="CG50" s="36"/>
      <c r="CH50" s="51"/>
      <c r="CI50" s="36"/>
      <c r="CJ50" s="36"/>
      <c r="CK50" s="36"/>
      <c r="CL50" s="36"/>
      <c r="CM50" s="51"/>
      <c r="CN50" s="36"/>
      <c r="CO50" s="36"/>
      <c r="CP50" s="36"/>
      <c r="CQ50" s="36"/>
      <c r="CR50" s="51"/>
      <c r="CS50" s="36"/>
      <c r="CT50" s="36"/>
      <c r="CU50" s="36"/>
      <c r="CV50" s="36"/>
      <c r="CW50" s="51"/>
      <c r="CX50" s="36"/>
      <c r="CY50" s="36"/>
      <c r="CZ50" s="36"/>
      <c r="DA50" s="36"/>
      <c r="DB50" s="51"/>
      <c r="DC50" s="36"/>
      <c r="DD50" s="36"/>
      <c r="DE50" s="36"/>
      <c r="DF50" s="36"/>
      <c r="DG50" s="51"/>
      <c r="DH50" s="36"/>
      <c r="DI50" s="36"/>
      <c r="DJ50" s="36"/>
      <c r="DK50" s="36"/>
      <c r="DL50" s="51"/>
      <c r="DM50" s="51"/>
      <c r="DN50" s="51"/>
    </row>
    <row r="51" spans="1:118" ht="15.75" customHeight="1">
      <c r="A51" s="171"/>
      <c r="B51" s="157" t="s">
        <v>355</v>
      </c>
      <c r="C51" s="158">
        <v>1807941</v>
      </c>
      <c r="D51" s="159" t="s">
        <v>648</v>
      </c>
      <c r="E51" s="102"/>
      <c r="F51" s="157" t="s">
        <v>289</v>
      </c>
      <c r="G51" s="160" t="s">
        <v>649</v>
      </c>
      <c r="H51" s="160" t="s">
        <v>650</v>
      </c>
      <c r="I51" s="161">
        <v>43920</v>
      </c>
      <c r="J51" s="159" t="s">
        <v>651</v>
      </c>
      <c r="K51" s="159" t="s">
        <v>648</v>
      </c>
      <c r="M51" s="157" t="s">
        <v>652</v>
      </c>
      <c r="N51" s="157" t="s">
        <v>254</v>
      </c>
      <c r="O51" s="157" t="s">
        <v>30</v>
      </c>
      <c r="P51" s="157" t="s">
        <v>174</v>
      </c>
      <c r="Q51" s="157" t="s">
        <v>35</v>
      </c>
      <c r="R51" s="36"/>
      <c r="S51" s="157" t="s">
        <v>170</v>
      </c>
      <c r="T51" s="59"/>
      <c r="U51" s="169">
        <v>7.0000000000000007E-2</v>
      </c>
      <c r="V51" s="39"/>
      <c r="W51" s="39"/>
      <c r="X51" s="40"/>
      <c r="Y51" s="39"/>
      <c r="Z51" s="77">
        <v>0</v>
      </c>
      <c r="AA51" s="78" t="s">
        <v>158</v>
      </c>
      <c r="AB51" s="157" t="s">
        <v>36</v>
      </c>
      <c r="AC51" s="157" t="s">
        <v>37</v>
      </c>
      <c r="AD51" s="157" t="s">
        <v>38</v>
      </c>
      <c r="AE51" s="157" t="s">
        <v>190</v>
      </c>
      <c r="AF51" s="157" t="s">
        <v>181</v>
      </c>
      <c r="AG51" s="157" t="s">
        <v>181</v>
      </c>
      <c r="AH51" s="51"/>
      <c r="AI51" s="162">
        <v>40000000000</v>
      </c>
      <c r="AJ51" s="44" t="s">
        <v>195</v>
      </c>
      <c r="AK51" s="162">
        <v>300000000</v>
      </c>
      <c r="AL51" s="44" t="s">
        <v>297</v>
      </c>
      <c r="AM51" s="163">
        <v>0.05</v>
      </c>
      <c r="AN51" s="158" t="s">
        <v>187</v>
      </c>
      <c r="AO51" s="158"/>
      <c r="AP51" s="157" t="s">
        <v>39</v>
      </c>
      <c r="AQ51" s="157" t="s">
        <v>181</v>
      </c>
      <c r="AR51" s="157" t="s">
        <v>182</v>
      </c>
      <c r="AS51" s="159" t="s">
        <v>39</v>
      </c>
      <c r="AT51" s="159" t="s">
        <v>181</v>
      </c>
      <c r="AU51" s="157" t="s">
        <v>227</v>
      </c>
      <c r="AV51" s="157" t="s">
        <v>190</v>
      </c>
      <c r="AW51" s="157" t="s">
        <v>227</v>
      </c>
      <c r="AX51" s="157" t="s">
        <v>227</v>
      </c>
      <c r="AY51" s="162">
        <v>729794</v>
      </c>
      <c r="AZ51" s="162" t="s">
        <v>239</v>
      </c>
      <c r="BA51" s="162">
        <v>0</v>
      </c>
      <c r="BB51" s="162">
        <v>0</v>
      </c>
      <c r="BC51" s="44" t="s">
        <v>162</v>
      </c>
      <c r="BD51" s="60">
        <v>1</v>
      </c>
      <c r="BE51" s="34"/>
      <c r="BF51" s="157" t="s">
        <v>219</v>
      </c>
      <c r="BG51" s="36"/>
      <c r="BH51" s="157" t="s">
        <v>227</v>
      </c>
      <c r="BI51" s="158">
        <v>5</v>
      </c>
      <c r="BJ51" s="158">
        <v>1</v>
      </c>
      <c r="BK51" s="157" t="s">
        <v>190</v>
      </c>
      <c r="BL51" s="157" t="s">
        <v>227</v>
      </c>
      <c r="BM51" s="157" t="s">
        <v>190</v>
      </c>
      <c r="BN51" s="157" t="s">
        <v>190</v>
      </c>
      <c r="BO51" s="158">
        <v>2</v>
      </c>
      <c r="BP51" s="158">
        <v>4</v>
      </c>
      <c r="BQ51" s="158">
        <v>0</v>
      </c>
      <c r="BR51" s="158">
        <v>0</v>
      </c>
      <c r="BS51" s="51"/>
      <c r="BT51" s="158">
        <v>20</v>
      </c>
      <c r="BU51" s="158">
        <v>0</v>
      </c>
      <c r="BV51" s="158">
        <v>38</v>
      </c>
      <c r="BW51" s="157" t="s">
        <v>190</v>
      </c>
      <c r="BX51" s="51"/>
      <c r="BY51" s="100"/>
      <c r="BZ51" s="100"/>
      <c r="CA51" s="36"/>
      <c r="CB51" s="36"/>
      <c r="CC51" s="51"/>
      <c r="CD51" s="36"/>
      <c r="CE51" s="36"/>
      <c r="CF51" s="36"/>
      <c r="CG51" s="36"/>
      <c r="CH51" s="51"/>
      <c r="CI51" s="36"/>
      <c r="CJ51" s="36"/>
      <c r="CK51" s="36"/>
      <c r="CL51" s="36"/>
      <c r="CM51" s="51"/>
      <c r="CN51" s="36"/>
      <c r="CO51" s="36"/>
      <c r="CP51" s="36"/>
      <c r="CQ51" s="36"/>
      <c r="CR51" s="51"/>
      <c r="CS51" s="36"/>
      <c r="CT51" s="36"/>
      <c r="CU51" s="36"/>
      <c r="CV51" s="36"/>
      <c r="CW51" s="51"/>
      <c r="CX51" s="36"/>
      <c r="CY51" s="36"/>
      <c r="CZ51" s="36"/>
      <c r="DA51" s="36"/>
      <c r="DB51" s="51"/>
      <c r="DC51" s="36"/>
      <c r="DD51" s="36"/>
      <c r="DE51" s="36"/>
      <c r="DF51" s="36"/>
      <c r="DG51" s="51"/>
      <c r="DH51" s="36"/>
      <c r="DI51" s="36"/>
      <c r="DJ51" s="36"/>
      <c r="DK51" s="36"/>
      <c r="DL51" s="51"/>
      <c r="DM51" s="51"/>
      <c r="DN51" s="51"/>
    </row>
    <row r="52" spans="1:118" ht="15.75" customHeight="1">
      <c r="A52" s="171"/>
      <c r="B52" s="157" t="s">
        <v>355</v>
      </c>
      <c r="C52" s="158">
        <v>1807927</v>
      </c>
      <c r="D52" s="159" t="s">
        <v>653</v>
      </c>
      <c r="E52" s="102"/>
      <c r="F52" s="157" t="s">
        <v>160</v>
      </c>
      <c r="G52" s="160" t="s">
        <v>654</v>
      </c>
      <c r="H52" s="160" t="s">
        <v>655</v>
      </c>
      <c r="I52" s="161">
        <v>43921</v>
      </c>
      <c r="J52" s="159" t="s">
        <v>656</v>
      </c>
      <c r="K52" s="159" t="s">
        <v>657</v>
      </c>
      <c r="M52" s="157" t="s">
        <v>454</v>
      </c>
      <c r="N52" s="157" t="s">
        <v>168</v>
      </c>
      <c r="O52" s="157" t="s">
        <v>30</v>
      </c>
      <c r="P52" s="157" t="s">
        <v>174</v>
      </c>
      <c r="Q52" s="157" t="s">
        <v>35</v>
      </c>
      <c r="R52" s="36"/>
      <c r="S52" s="157" t="s">
        <v>257</v>
      </c>
      <c r="T52" s="37">
        <v>1</v>
      </c>
      <c r="U52" s="112"/>
      <c r="V52" s="39"/>
      <c r="W52" s="39"/>
      <c r="X52" s="40"/>
      <c r="Y52" s="39"/>
      <c r="Z52" s="77">
        <v>0</v>
      </c>
      <c r="AA52" s="78" t="s">
        <v>158</v>
      </c>
      <c r="AB52" s="157" t="s">
        <v>36</v>
      </c>
      <c r="AC52" s="157" t="s">
        <v>179</v>
      </c>
      <c r="AD52" s="157" t="s">
        <v>38</v>
      </c>
      <c r="AE52" s="157" t="s">
        <v>190</v>
      </c>
      <c r="AF52" s="157" t="s">
        <v>181</v>
      </c>
      <c r="AG52" s="157" t="s">
        <v>39</v>
      </c>
      <c r="AH52" s="51"/>
      <c r="AI52" s="162">
        <v>10000000000</v>
      </c>
      <c r="AJ52" s="44" t="s">
        <v>259</v>
      </c>
      <c r="AK52" s="162">
        <v>5000000</v>
      </c>
      <c r="AL52" s="44" t="s">
        <v>317</v>
      </c>
      <c r="AM52" s="163">
        <v>0.08</v>
      </c>
      <c r="AN52" s="158" t="s">
        <v>187</v>
      </c>
      <c r="AO52" s="158"/>
      <c r="AP52" s="157" t="s">
        <v>181</v>
      </c>
      <c r="AQ52" s="157" t="s">
        <v>181</v>
      </c>
      <c r="AR52" s="157" t="s">
        <v>42</v>
      </c>
      <c r="AS52" s="159" t="s">
        <v>181</v>
      </c>
      <c r="AT52" s="159" t="s">
        <v>39</v>
      </c>
      <c r="AU52" s="157" t="s">
        <v>190</v>
      </c>
      <c r="AV52" s="157" t="s">
        <v>190</v>
      </c>
      <c r="AW52" s="157" t="s">
        <v>227</v>
      </c>
      <c r="AX52" s="157" t="s">
        <v>227</v>
      </c>
      <c r="AY52" s="162">
        <v>95113</v>
      </c>
      <c r="AZ52" s="162" t="s">
        <v>209</v>
      </c>
      <c r="BA52" s="162">
        <v>16635</v>
      </c>
      <c r="BB52" s="162">
        <v>0</v>
      </c>
      <c r="BC52" s="44" t="s">
        <v>162</v>
      </c>
      <c r="BD52" s="60">
        <v>1</v>
      </c>
      <c r="BE52" s="34"/>
      <c r="BF52" s="51"/>
      <c r="BG52" s="36"/>
      <c r="BH52" s="157" t="s">
        <v>190</v>
      </c>
      <c r="BI52" s="158">
        <v>0</v>
      </c>
      <c r="BJ52" s="158">
        <v>2</v>
      </c>
      <c r="BK52" s="157" t="s">
        <v>190</v>
      </c>
      <c r="BL52" s="157" t="s">
        <v>190</v>
      </c>
      <c r="BM52" s="157" t="s">
        <v>190</v>
      </c>
      <c r="BN52" s="157" t="s">
        <v>190</v>
      </c>
      <c r="BO52" s="158">
        <v>2</v>
      </c>
      <c r="BP52" s="158">
        <v>8</v>
      </c>
      <c r="BQ52" s="158">
        <v>0</v>
      </c>
      <c r="BR52" s="158">
        <v>0</v>
      </c>
      <c r="BS52" s="51"/>
      <c r="BT52" s="158">
        <v>5</v>
      </c>
      <c r="BU52" s="158">
        <v>0</v>
      </c>
      <c r="BV52" s="158">
        <v>35</v>
      </c>
      <c r="BW52" s="157" t="s">
        <v>190</v>
      </c>
      <c r="BX52" s="51"/>
      <c r="BY52" s="158">
        <v>5</v>
      </c>
      <c r="BZ52" s="158">
        <v>0</v>
      </c>
      <c r="CA52" s="157">
        <v>40</v>
      </c>
      <c r="CB52" s="157" t="s">
        <v>190</v>
      </c>
      <c r="CC52" s="51"/>
      <c r="CD52" s="36"/>
      <c r="CE52" s="36"/>
      <c r="CF52" s="36"/>
      <c r="CG52" s="36"/>
      <c r="CH52" s="51"/>
      <c r="CI52" s="36"/>
      <c r="CJ52" s="36"/>
      <c r="CK52" s="36"/>
      <c r="CL52" s="36"/>
      <c r="CM52" s="51"/>
      <c r="CN52" s="36"/>
      <c r="CO52" s="36"/>
      <c r="CP52" s="36"/>
      <c r="CQ52" s="36"/>
      <c r="CR52" s="51"/>
      <c r="CS52" s="36"/>
      <c r="CT52" s="36"/>
      <c r="CU52" s="36"/>
      <c r="CV52" s="36"/>
      <c r="CW52" s="51"/>
      <c r="CX52" s="36"/>
      <c r="CY52" s="36"/>
      <c r="CZ52" s="36"/>
      <c r="DA52" s="36"/>
      <c r="DB52" s="51"/>
      <c r="DC52" s="36"/>
      <c r="DD52" s="36"/>
      <c r="DE52" s="36"/>
      <c r="DF52" s="36"/>
      <c r="DG52" s="51"/>
      <c r="DH52" s="36"/>
      <c r="DI52" s="36"/>
      <c r="DJ52" s="36"/>
      <c r="DK52" s="36"/>
      <c r="DL52" s="51"/>
      <c r="DM52" s="51"/>
      <c r="DN52" s="51"/>
    </row>
    <row r="53" spans="1:118" ht="15.75" customHeight="1">
      <c r="A53" s="171"/>
      <c r="B53" s="51"/>
      <c r="C53" s="99"/>
      <c r="D53" s="101"/>
      <c r="E53" s="102"/>
      <c r="F53" s="51"/>
      <c r="G53" s="103"/>
      <c r="H53" s="103"/>
      <c r="I53" s="104"/>
      <c r="J53" s="101"/>
      <c r="K53" s="101"/>
      <c r="M53" s="51"/>
      <c r="N53" s="51"/>
      <c r="O53" s="51"/>
      <c r="P53" s="51"/>
      <c r="Q53" s="51"/>
      <c r="R53" s="36"/>
      <c r="S53" s="51"/>
      <c r="T53" s="59"/>
      <c r="U53" s="112"/>
      <c r="V53" s="39"/>
      <c r="W53" s="39"/>
      <c r="X53" s="40"/>
      <c r="Y53" s="39"/>
      <c r="Z53" s="41"/>
      <c r="AA53" s="41"/>
      <c r="AB53" s="51"/>
      <c r="AC53" s="51"/>
      <c r="AD53" s="51"/>
      <c r="AE53" s="51"/>
      <c r="AF53" s="51"/>
      <c r="AG53" s="51"/>
      <c r="AH53" s="51"/>
      <c r="AI53" s="106"/>
      <c r="AJ53" s="61"/>
      <c r="AK53" s="106"/>
      <c r="AL53" s="61"/>
      <c r="AM53" s="107"/>
      <c r="AN53" s="99"/>
      <c r="AO53" s="99"/>
      <c r="AP53" s="51"/>
      <c r="AQ53" s="51"/>
      <c r="AR53" s="51"/>
      <c r="AS53" s="101"/>
      <c r="AT53" s="101"/>
      <c r="AU53" s="51"/>
      <c r="AV53" s="51"/>
      <c r="AW53" s="51"/>
      <c r="AX53" s="51"/>
      <c r="AY53" s="106"/>
      <c r="AZ53" s="106"/>
      <c r="BA53" s="106"/>
      <c r="BB53" s="106"/>
      <c r="BC53" s="38"/>
      <c r="BD53" s="38"/>
      <c r="BE53" s="34"/>
      <c r="BF53" s="51"/>
      <c r="BG53" s="36"/>
      <c r="BH53" s="51"/>
      <c r="BI53" s="99"/>
      <c r="BJ53" s="99"/>
      <c r="BK53" s="51"/>
      <c r="BL53" s="51"/>
      <c r="BM53" s="51"/>
      <c r="BN53" s="51"/>
      <c r="BO53" s="99"/>
      <c r="BP53" s="99"/>
      <c r="BQ53" s="99"/>
      <c r="BR53" s="99"/>
      <c r="BS53" s="51"/>
      <c r="BT53" s="99"/>
      <c r="BU53" s="99"/>
      <c r="BV53" s="99"/>
      <c r="BW53" s="51"/>
      <c r="BX53" s="51"/>
      <c r="BY53" s="100"/>
      <c r="BZ53" s="100"/>
      <c r="CA53" s="36"/>
      <c r="CB53" s="36"/>
      <c r="CC53" s="51"/>
      <c r="CD53" s="36"/>
      <c r="CE53" s="36"/>
      <c r="CF53" s="36"/>
      <c r="CG53" s="36"/>
      <c r="CH53" s="51"/>
      <c r="CI53" s="36"/>
      <c r="CJ53" s="36"/>
      <c r="CK53" s="36"/>
      <c r="CL53" s="36"/>
      <c r="CM53" s="51"/>
      <c r="CN53" s="36"/>
      <c r="CO53" s="36"/>
      <c r="CP53" s="36"/>
      <c r="CQ53" s="36"/>
      <c r="CR53" s="51"/>
      <c r="CS53" s="36"/>
      <c r="CT53" s="36"/>
      <c r="CU53" s="36"/>
      <c r="CV53" s="36"/>
      <c r="CW53" s="51"/>
      <c r="CX53" s="36"/>
      <c r="CY53" s="36"/>
      <c r="CZ53" s="36"/>
      <c r="DA53" s="36"/>
      <c r="DB53" s="51"/>
      <c r="DC53" s="36"/>
      <c r="DD53" s="36"/>
      <c r="DE53" s="36"/>
      <c r="DF53" s="36"/>
      <c r="DG53" s="51"/>
      <c r="DH53" s="36"/>
      <c r="DI53" s="36"/>
      <c r="DJ53" s="36"/>
      <c r="DK53" s="36"/>
      <c r="DL53" s="51"/>
      <c r="DM53" s="51"/>
      <c r="DN53" s="51"/>
    </row>
    <row r="54" spans="1:118" ht="15.75" customHeight="1">
      <c r="A54" s="171"/>
      <c r="B54" s="51"/>
      <c r="C54" s="99"/>
      <c r="D54" s="101"/>
      <c r="E54" s="102"/>
      <c r="F54" s="51"/>
      <c r="G54" s="103"/>
      <c r="H54" s="103"/>
      <c r="I54" s="104"/>
      <c r="J54" s="101"/>
      <c r="K54" s="101"/>
      <c r="M54" s="51"/>
      <c r="N54" s="51"/>
      <c r="O54" s="51"/>
      <c r="P54" s="51"/>
      <c r="Q54" s="51"/>
      <c r="R54" s="36"/>
      <c r="S54" s="51"/>
      <c r="T54" s="59"/>
      <c r="U54" s="112"/>
      <c r="V54" s="39"/>
      <c r="W54" s="39"/>
      <c r="X54" s="40"/>
      <c r="Y54" s="39"/>
      <c r="Z54" s="41"/>
      <c r="AA54" s="41"/>
      <c r="AB54" s="51"/>
      <c r="AC54" s="51"/>
      <c r="AD54" s="51"/>
      <c r="AE54" s="51"/>
      <c r="AF54" s="51"/>
      <c r="AG54" s="51"/>
      <c r="AH54" s="51"/>
      <c r="AI54" s="106"/>
      <c r="AJ54" s="61"/>
      <c r="AK54" s="106"/>
      <c r="AL54" s="61"/>
      <c r="AM54" s="107"/>
      <c r="AN54" s="99"/>
      <c r="AO54" s="99"/>
      <c r="AP54" s="51"/>
      <c r="AQ54" s="51"/>
      <c r="AR54" s="51"/>
      <c r="AS54" s="101"/>
      <c r="AT54" s="101"/>
      <c r="AU54" s="51"/>
      <c r="AV54" s="51"/>
      <c r="AW54" s="51"/>
      <c r="AX54" s="51"/>
      <c r="AY54" s="106"/>
      <c r="AZ54" s="106"/>
      <c r="BA54" s="106"/>
      <c r="BB54" s="106"/>
      <c r="BC54" s="38"/>
      <c r="BD54" s="38"/>
      <c r="BE54" s="34"/>
      <c r="BF54" s="51"/>
      <c r="BG54" s="36"/>
      <c r="BH54" s="51"/>
      <c r="BI54" s="99"/>
      <c r="BJ54" s="99"/>
      <c r="BK54" s="51"/>
      <c r="BL54" s="51"/>
      <c r="BM54" s="51"/>
      <c r="BN54" s="51"/>
      <c r="BO54" s="99"/>
      <c r="BP54" s="99"/>
      <c r="BQ54" s="99"/>
      <c r="BR54" s="99"/>
      <c r="BS54" s="51"/>
      <c r="BT54" s="99"/>
      <c r="BU54" s="99"/>
      <c r="BV54" s="99"/>
      <c r="BW54" s="51"/>
      <c r="BX54" s="51"/>
      <c r="BY54" s="100"/>
      <c r="BZ54" s="100"/>
      <c r="CA54" s="36"/>
      <c r="CB54" s="36"/>
      <c r="CC54" s="51"/>
      <c r="CD54" s="36"/>
      <c r="CE54" s="36"/>
      <c r="CF54" s="36"/>
      <c r="CG54" s="36"/>
      <c r="CH54" s="51"/>
      <c r="CI54" s="36"/>
      <c r="CJ54" s="36"/>
      <c r="CK54" s="36"/>
      <c r="CL54" s="36"/>
      <c r="CM54" s="51"/>
      <c r="CN54" s="36"/>
      <c r="CO54" s="36"/>
      <c r="CP54" s="36"/>
      <c r="CQ54" s="36"/>
      <c r="CR54" s="51"/>
      <c r="CS54" s="36"/>
      <c r="CT54" s="36"/>
      <c r="CU54" s="36"/>
      <c r="CV54" s="36"/>
      <c r="CW54" s="51"/>
      <c r="CX54" s="36"/>
      <c r="CY54" s="36"/>
      <c r="CZ54" s="36"/>
      <c r="DA54" s="36"/>
      <c r="DB54" s="51"/>
      <c r="DC54" s="36"/>
      <c r="DD54" s="36"/>
      <c r="DE54" s="36"/>
      <c r="DF54" s="36"/>
      <c r="DG54" s="51"/>
      <c r="DH54" s="36"/>
      <c r="DI54" s="36"/>
      <c r="DJ54" s="36"/>
      <c r="DK54" s="36"/>
      <c r="DL54" s="51"/>
      <c r="DM54" s="51"/>
      <c r="DN54" s="51"/>
    </row>
    <row r="55" spans="1:118" ht="15.75" customHeight="1">
      <c r="A55" s="171"/>
      <c r="B55" s="51"/>
      <c r="C55" s="99"/>
      <c r="D55" s="101"/>
      <c r="E55" s="102"/>
      <c r="F55" s="51"/>
      <c r="G55" s="103"/>
      <c r="H55" s="103"/>
      <c r="I55" s="104"/>
      <c r="J55" s="101"/>
      <c r="K55" s="101"/>
      <c r="M55" s="51"/>
      <c r="N55" s="51"/>
      <c r="O55" s="51"/>
      <c r="P55" s="51"/>
      <c r="Q55" s="51"/>
      <c r="R55" s="36"/>
      <c r="S55" s="51"/>
      <c r="T55" s="59"/>
      <c r="U55" s="112"/>
      <c r="V55" s="39"/>
      <c r="W55" s="39"/>
      <c r="X55" s="40"/>
      <c r="Y55" s="39"/>
      <c r="Z55" s="41"/>
      <c r="AA55" s="41"/>
      <c r="AB55" s="51"/>
      <c r="AC55" s="51"/>
      <c r="AD55" s="51"/>
      <c r="AE55" s="51"/>
      <c r="AF55" s="51"/>
      <c r="AG55" s="51"/>
      <c r="AH55" s="51"/>
      <c r="AI55" s="106"/>
      <c r="AJ55" s="61"/>
      <c r="AK55" s="106"/>
      <c r="AL55" s="61"/>
      <c r="AM55" s="107"/>
      <c r="AN55" s="99"/>
      <c r="AO55" s="99"/>
      <c r="AP55" s="51"/>
      <c r="AQ55" s="51"/>
      <c r="AR55" s="51"/>
      <c r="AS55" s="101"/>
      <c r="AT55" s="101"/>
      <c r="AU55" s="51"/>
      <c r="AV55" s="51"/>
      <c r="AW55" s="51"/>
      <c r="AX55" s="51"/>
      <c r="AY55" s="106"/>
      <c r="AZ55" s="106"/>
      <c r="BA55" s="106"/>
      <c r="BB55" s="106"/>
      <c r="BC55" s="38"/>
      <c r="BD55" s="38"/>
      <c r="BE55" s="34"/>
      <c r="BF55" s="51"/>
      <c r="BG55" s="36"/>
      <c r="BH55" s="51"/>
      <c r="BI55" s="99"/>
      <c r="BJ55" s="99"/>
      <c r="BK55" s="51"/>
      <c r="BL55" s="51"/>
      <c r="BM55" s="51"/>
      <c r="BN55" s="51"/>
      <c r="BO55" s="99"/>
      <c r="BP55" s="99"/>
      <c r="BQ55" s="99"/>
      <c r="BR55" s="99"/>
      <c r="BS55" s="51"/>
      <c r="BT55" s="99"/>
      <c r="BU55" s="99"/>
      <c r="BV55" s="99"/>
      <c r="BW55" s="51"/>
      <c r="BX55" s="51"/>
      <c r="BY55" s="100"/>
      <c r="BZ55" s="100"/>
      <c r="CA55" s="36"/>
      <c r="CB55" s="36"/>
      <c r="CC55" s="51"/>
      <c r="CD55" s="36"/>
      <c r="CE55" s="36"/>
      <c r="CF55" s="36"/>
      <c r="CG55" s="36"/>
      <c r="CH55" s="51"/>
      <c r="CI55" s="36"/>
      <c r="CJ55" s="36"/>
      <c r="CK55" s="36"/>
      <c r="CL55" s="36"/>
      <c r="CM55" s="51"/>
      <c r="CN55" s="36"/>
      <c r="CO55" s="36"/>
      <c r="CP55" s="36"/>
      <c r="CQ55" s="36"/>
      <c r="CR55" s="51"/>
      <c r="CS55" s="36"/>
      <c r="CT55" s="36"/>
      <c r="CU55" s="36"/>
      <c r="CV55" s="36"/>
      <c r="CW55" s="51"/>
      <c r="CX55" s="36"/>
      <c r="CY55" s="36"/>
      <c r="CZ55" s="36"/>
      <c r="DA55" s="36"/>
      <c r="DB55" s="51"/>
      <c r="DC55" s="36"/>
      <c r="DD55" s="36"/>
      <c r="DE55" s="36"/>
      <c r="DF55" s="36"/>
      <c r="DG55" s="51"/>
      <c r="DH55" s="36"/>
      <c r="DI55" s="36"/>
      <c r="DJ55" s="36"/>
      <c r="DK55" s="36"/>
      <c r="DL55" s="51"/>
      <c r="DM55" s="51"/>
      <c r="DN55" s="51"/>
    </row>
    <row r="56" spans="1:118" ht="15.75" customHeight="1">
      <c r="A56" s="171"/>
      <c r="B56" s="51"/>
      <c r="C56" s="99"/>
      <c r="D56" s="101"/>
      <c r="E56" s="102"/>
      <c r="F56" s="51"/>
      <c r="G56" s="103"/>
      <c r="H56" s="103"/>
      <c r="I56" s="104"/>
      <c r="J56" s="101"/>
      <c r="K56" s="101"/>
      <c r="M56" s="51"/>
      <c r="N56" s="51"/>
      <c r="O56" s="51"/>
      <c r="P56" s="51"/>
      <c r="Q56" s="51"/>
      <c r="R56" s="36"/>
      <c r="S56" s="51"/>
      <c r="T56" s="59"/>
      <c r="U56" s="112"/>
      <c r="V56" s="39"/>
      <c r="W56" s="39"/>
      <c r="X56" s="40"/>
      <c r="Y56" s="39"/>
      <c r="Z56" s="41"/>
      <c r="AA56" s="41"/>
      <c r="AB56" s="51"/>
      <c r="AC56" s="51"/>
      <c r="AD56" s="51"/>
      <c r="AE56" s="51"/>
      <c r="AF56" s="51"/>
      <c r="AG56" s="51"/>
      <c r="AH56" s="51"/>
      <c r="AI56" s="106"/>
      <c r="AJ56" s="61"/>
      <c r="AK56" s="106"/>
      <c r="AL56" s="61"/>
      <c r="AM56" s="107"/>
      <c r="AN56" s="99"/>
      <c r="AO56" s="99"/>
      <c r="AP56" s="51"/>
      <c r="AQ56" s="51"/>
      <c r="AR56" s="51"/>
      <c r="AS56" s="101"/>
      <c r="AT56" s="101"/>
      <c r="AU56" s="51"/>
      <c r="AV56" s="51"/>
      <c r="AW56" s="51"/>
      <c r="AX56" s="51"/>
      <c r="AY56" s="106"/>
      <c r="AZ56" s="106"/>
      <c r="BA56" s="106"/>
      <c r="BB56" s="106"/>
      <c r="BC56" s="38"/>
      <c r="BD56" s="38"/>
      <c r="BE56" s="34"/>
      <c r="BF56" s="51"/>
      <c r="BG56" s="36"/>
      <c r="BH56" s="51"/>
      <c r="BI56" s="99"/>
      <c r="BJ56" s="99"/>
      <c r="BK56" s="51"/>
      <c r="BL56" s="51"/>
      <c r="BM56" s="51"/>
      <c r="BN56" s="51"/>
      <c r="BO56" s="99"/>
      <c r="BP56" s="99"/>
      <c r="BQ56" s="99"/>
      <c r="BR56" s="99"/>
      <c r="BS56" s="51"/>
      <c r="BT56" s="99"/>
      <c r="BU56" s="99"/>
      <c r="BV56" s="99"/>
      <c r="BW56" s="51"/>
      <c r="BX56" s="51"/>
      <c r="BY56" s="100"/>
      <c r="BZ56" s="100"/>
      <c r="CA56" s="36"/>
      <c r="CB56" s="36"/>
      <c r="CC56" s="51"/>
      <c r="CD56" s="36"/>
      <c r="CE56" s="36"/>
      <c r="CF56" s="36"/>
      <c r="CG56" s="36"/>
      <c r="CH56" s="51"/>
      <c r="CI56" s="36"/>
      <c r="CJ56" s="36"/>
      <c r="CK56" s="36"/>
      <c r="CL56" s="36"/>
      <c r="CM56" s="51"/>
      <c r="CN56" s="36"/>
      <c r="CO56" s="36"/>
      <c r="CP56" s="36"/>
      <c r="CQ56" s="36"/>
      <c r="CR56" s="51"/>
      <c r="CS56" s="36"/>
      <c r="CT56" s="36"/>
      <c r="CU56" s="36"/>
      <c r="CV56" s="36"/>
      <c r="CW56" s="51"/>
      <c r="CX56" s="36"/>
      <c r="CY56" s="36"/>
      <c r="CZ56" s="36"/>
      <c r="DA56" s="36"/>
      <c r="DB56" s="51"/>
      <c r="DC56" s="36"/>
      <c r="DD56" s="36"/>
      <c r="DE56" s="36"/>
      <c r="DF56" s="36"/>
      <c r="DG56" s="51"/>
      <c r="DH56" s="36"/>
      <c r="DI56" s="36"/>
      <c r="DJ56" s="36"/>
      <c r="DK56" s="36"/>
      <c r="DL56" s="51"/>
      <c r="DM56" s="51"/>
      <c r="DN56" s="51"/>
    </row>
    <row r="57" spans="1:118" ht="15.75" customHeight="1">
      <c r="A57" s="171"/>
      <c r="B57" s="51"/>
      <c r="C57" s="99"/>
      <c r="D57" s="101"/>
      <c r="E57" s="102"/>
      <c r="F57" s="51"/>
      <c r="G57" s="103"/>
      <c r="H57" s="103"/>
      <c r="I57" s="104"/>
      <c r="J57" s="101"/>
      <c r="K57" s="101"/>
      <c r="M57" s="51"/>
      <c r="N57" s="51"/>
      <c r="O57" s="51"/>
      <c r="P57" s="51"/>
      <c r="Q57" s="51"/>
      <c r="R57" s="36"/>
      <c r="S57" s="51"/>
      <c r="T57" s="59"/>
      <c r="U57" s="112"/>
      <c r="V57" s="39"/>
      <c r="W57" s="39"/>
      <c r="X57" s="40"/>
      <c r="Y57" s="39"/>
      <c r="Z57" s="41"/>
      <c r="AA57" s="41"/>
      <c r="AB57" s="51"/>
      <c r="AC57" s="51"/>
      <c r="AD57" s="51"/>
      <c r="AE57" s="51"/>
      <c r="AF57" s="51"/>
      <c r="AG57" s="51"/>
      <c r="AH57" s="51"/>
      <c r="AI57" s="106"/>
      <c r="AJ57" s="61"/>
      <c r="AK57" s="106"/>
      <c r="AL57" s="61"/>
      <c r="AM57" s="107"/>
      <c r="AN57" s="99"/>
      <c r="AO57" s="99"/>
      <c r="AP57" s="51"/>
      <c r="AQ57" s="51"/>
      <c r="AR57" s="51"/>
      <c r="AS57" s="101"/>
      <c r="AT57" s="101"/>
      <c r="AU57" s="51"/>
      <c r="AV57" s="51"/>
      <c r="AW57" s="51"/>
      <c r="AX57" s="51"/>
      <c r="AY57" s="106"/>
      <c r="AZ57" s="106"/>
      <c r="BA57" s="106"/>
      <c r="BB57" s="106"/>
      <c r="BC57" s="38"/>
      <c r="BD57" s="38"/>
      <c r="BE57" s="34"/>
      <c r="BF57" s="51"/>
      <c r="BG57" s="36"/>
      <c r="BH57" s="51"/>
      <c r="BI57" s="99"/>
      <c r="BJ57" s="99"/>
      <c r="BK57" s="51"/>
      <c r="BL57" s="51"/>
      <c r="BM57" s="51"/>
      <c r="BN57" s="51"/>
      <c r="BO57" s="99"/>
      <c r="BP57" s="99"/>
      <c r="BQ57" s="99"/>
      <c r="BR57" s="99"/>
      <c r="BS57" s="51"/>
      <c r="BT57" s="99"/>
      <c r="BU57" s="99"/>
      <c r="BV57" s="99"/>
      <c r="BW57" s="51"/>
      <c r="BX57" s="51"/>
      <c r="BY57" s="100"/>
      <c r="BZ57" s="100"/>
      <c r="CA57" s="36"/>
      <c r="CB57" s="36"/>
      <c r="CC57" s="51"/>
      <c r="CD57" s="36"/>
      <c r="CE57" s="36"/>
      <c r="CF57" s="36"/>
      <c r="CG57" s="36"/>
      <c r="CH57" s="51"/>
      <c r="CI57" s="36"/>
      <c r="CJ57" s="36"/>
      <c r="CK57" s="36"/>
      <c r="CL57" s="36"/>
      <c r="CM57" s="51"/>
      <c r="CN57" s="36"/>
      <c r="CO57" s="36"/>
      <c r="CP57" s="36"/>
      <c r="CQ57" s="36"/>
      <c r="CR57" s="51"/>
      <c r="CS57" s="36"/>
      <c r="CT57" s="36"/>
      <c r="CU57" s="36"/>
      <c r="CV57" s="36"/>
      <c r="CW57" s="51"/>
      <c r="CX57" s="36"/>
      <c r="CY57" s="36"/>
      <c r="CZ57" s="36"/>
      <c r="DA57" s="36"/>
      <c r="DB57" s="51"/>
      <c r="DC57" s="36"/>
      <c r="DD57" s="36"/>
      <c r="DE57" s="36"/>
      <c r="DF57" s="36"/>
      <c r="DG57" s="51"/>
      <c r="DH57" s="36"/>
      <c r="DI57" s="36"/>
      <c r="DJ57" s="36"/>
      <c r="DK57" s="36"/>
      <c r="DL57" s="51"/>
      <c r="DM57" s="51"/>
      <c r="DN57" s="51"/>
    </row>
    <row r="58" spans="1:118" ht="15.75" customHeight="1">
      <c r="A58" s="171"/>
      <c r="B58" s="51"/>
      <c r="C58" s="99"/>
      <c r="D58" s="101"/>
      <c r="E58" s="102"/>
      <c r="F58" s="51"/>
      <c r="G58" s="103"/>
      <c r="H58" s="103"/>
      <c r="I58" s="104"/>
      <c r="J58" s="101"/>
      <c r="K58" s="101"/>
      <c r="M58" s="51"/>
      <c r="N58" s="51"/>
      <c r="O58" s="51"/>
      <c r="P58" s="51"/>
      <c r="Q58" s="51"/>
      <c r="R58" s="36"/>
      <c r="S58" s="51"/>
      <c r="T58" s="59"/>
      <c r="U58" s="112"/>
      <c r="V58" s="39"/>
      <c r="W58" s="39"/>
      <c r="X58" s="40"/>
      <c r="Y58" s="39"/>
      <c r="Z58" s="41"/>
      <c r="AA58" s="41"/>
      <c r="AB58" s="51"/>
      <c r="AC58" s="51"/>
      <c r="AD58" s="51"/>
      <c r="AE58" s="51"/>
      <c r="AF58" s="51"/>
      <c r="AG58" s="51"/>
      <c r="AH58" s="51"/>
      <c r="AI58" s="106"/>
      <c r="AJ58" s="61"/>
      <c r="AK58" s="106"/>
      <c r="AL58" s="61"/>
      <c r="AM58" s="107"/>
      <c r="AN58" s="99"/>
      <c r="AO58" s="99"/>
      <c r="AP58" s="51"/>
      <c r="AQ58" s="51"/>
      <c r="AR58" s="51"/>
      <c r="AS58" s="101"/>
      <c r="AT58" s="101"/>
      <c r="AU58" s="51"/>
      <c r="AV58" s="51"/>
      <c r="AW58" s="51"/>
      <c r="AX58" s="51"/>
      <c r="AY58" s="106"/>
      <c r="AZ58" s="106"/>
      <c r="BA58" s="106"/>
      <c r="BB58" s="106"/>
      <c r="BC58" s="38"/>
      <c r="BD58" s="38"/>
      <c r="BE58" s="34"/>
      <c r="BF58" s="51"/>
      <c r="BG58" s="36"/>
      <c r="BH58" s="51"/>
      <c r="BI58" s="99"/>
      <c r="BJ58" s="99"/>
      <c r="BK58" s="51"/>
      <c r="BL58" s="51"/>
      <c r="BM58" s="51"/>
      <c r="BN58" s="51"/>
      <c r="BO58" s="99"/>
      <c r="BP58" s="99"/>
      <c r="BQ58" s="99"/>
      <c r="BR58" s="99"/>
      <c r="BS58" s="51"/>
      <c r="BT58" s="99"/>
      <c r="BU58" s="99"/>
      <c r="BV58" s="99"/>
      <c r="BW58" s="51"/>
      <c r="BX58" s="51"/>
      <c r="BY58" s="100"/>
      <c r="BZ58" s="100"/>
      <c r="CA58" s="36"/>
      <c r="CB58" s="36"/>
      <c r="CC58" s="51"/>
      <c r="CD58" s="36"/>
      <c r="CE58" s="36"/>
      <c r="CF58" s="36"/>
      <c r="CG58" s="36"/>
      <c r="CH58" s="51"/>
      <c r="CI58" s="36"/>
      <c r="CJ58" s="36"/>
      <c r="CK58" s="36"/>
      <c r="CL58" s="36"/>
      <c r="CM58" s="51"/>
      <c r="CN58" s="36"/>
      <c r="CO58" s="36"/>
      <c r="CP58" s="36"/>
      <c r="CQ58" s="36"/>
      <c r="CR58" s="51"/>
      <c r="CS58" s="36"/>
      <c r="CT58" s="36"/>
      <c r="CU58" s="36"/>
      <c r="CV58" s="36"/>
      <c r="CW58" s="51"/>
      <c r="CX58" s="36"/>
      <c r="CY58" s="36"/>
      <c r="CZ58" s="36"/>
      <c r="DA58" s="36"/>
      <c r="DB58" s="51"/>
      <c r="DC58" s="36"/>
      <c r="DD58" s="36"/>
      <c r="DE58" s="36"/>
      <c r="DF58" s="36"/>
      <c r="DG58" s="51"/>
      <c r="DH58" s="36"/>
      <c r="DI58" s="36"/>
      <c r="DJ58" s="36"/>
      <c r="DK58" s="36"/>
      <c r="DL58" s="51"/>
      <c r="DM58" s="51"/>
      <c r="DN58" s="51"/>
    </row>
    <row r="59" spans="1:118" ht="15.75" customHeight="1">
      <c r="A59" s="171"/>
      <c r="B59" s="51"/>
      <c r="C59" s="99"/>
      <c r="D59" s="101"/>
      <c r="E59" s="102"/>
      <c r="F59" s="51"/>
      <c r="G59" s="103"/>
      <c r="H59" s="103"/>
      <c r="I59" s="104"/>
      <c r="J59" s="101"/>
      <c r="K59" s="101"/>
      <c r="M59" s="51"/>
      <c r="N59" s="51"/>
      <c r="O59" s="51"/>
      <c r="P59" s="51"/>
      <c r="Q59" s="51"/>
      <c r="R59" s="36"/>
      <c r="S59" s="51"/>
      <c r="T59" s="59"/>
      <c r="U59" s="112"/>
      <c r="V59" s="39"/>
      <c r="W59" s="39"/>
      <c r="X59" s="40"/>
      <c r="Y59" s="39"/>
      <c r="Z59" s="41"/>
      <c r="AA59" s="41"/>
      <c r="AB59" s="51"/>
      <c r="AC59" s="51"/>
      <c r="AD59" s="51"/>
      <c r="AE59" s="51"/>
      <c r="AF59" s="51"/>
      <c r="AG59" s="51"/>
      <c r="AH59" s="51"/>
      <c r="AI59" s="106"/>
      <c r="AJ59" s="61"/>
      <c r="AK59" s="106"/>
      <c r="AL59" s="61"/>
      <c r="AM59" s="107"/>
      <c r="AN59" s="99"/>
      <c r="AO59" s="99"/>
      <c r="AP59" s="51"/>
      <c r="AQ59" s="51"/>
      <c r="AR59" s="51"/>
      <c r="AS59" s="101"/>
      <c r="AT59" s="101"/>
      <c r="AU59" s="51"/>
      <c r="AV59" s="51"/>
      <c r="AW59" s="51"/>
      <c r="AX59" s="51"/>
      <c r="AY59" s="106"/>
      <c r="AZ59" s="106"/>
      <c r="BA59" s="106"/>
      <c r="BB59" s="106"/>
      <c r="BC59" s="38"/>
      <c r="BD59" s="38"/>
      <c r="BE59" s="34"/>
      <c r="BF59" s="51"/>
      <c r="BG59" s="36"/>
      <c r="BH59" s="51"/>
      <c r="BI59" s="99"/>
      <c r="BJ59" s="99"/>
      <c r="BK59" s="51"/>
      <c r="BL59" s="51"/>
      <c r="BM59" s="51"/>
      <c r="BN59" s="51"/>
      <c r="BO59" s="99"/>
      <c r="BP59" s="99"/>
      <c r="BQ59" s="99"/>
      <c r="BR59" s="99"/>
      <c r="BS59" s="51"/>
      <c r="BT59" s="99"/>
      <c r="BU59" s="99"/>
      <c r="BV59" s="99"/>
      <c r="BW59" s="51"/>
      <c r="BX59" s="51"/>
      <c r="BY59" s="100"/>
      <c r="BZ59" s="100"/>
      <c r="CA59" s="36"/>
      <c r="CB59" s="36"/>
      <c r="CC59" s="51"/>
      <c r="CD59" s="36"/>
      <c r="CE59" s="36"/>
      <c r="CF59" s="36"/>
      <c r="CG59" s="36"/>
      <c r="CH59" s="51"/>
      <c r="CI59" s="36"/>
      <c r="CJ59" s="36"/>
      <c r="CK59" s="36"/>
      <c r="CL59" s="36"/>
      <c r="CM59" s="51"/>
      <c r="CN59" s="36"/>
      <c r="CO59" s="36"/>
      <c r="CP59" s="36"/>
      <c r="CQ59" s="36"/>
      <c r="CR59" s="51"/>
      <c r="CS59" s="36"/>
      <c r="CT59" s="36"/>
      <c r="CU59" s="36"/>
      <c r="CV59" s="36"/>
      <c r="CW59" s="51"/>
      <c r="CX59" s="36"/>
      <c r="CY59" s="36"/>
      <c r="CZ59" s="36"/>
      <c r="DA59" s="36"/>
      <c r="DB59" s="51"/>
      <c r="DC59" s="36"/>
      <c r="DD59" s="36"/>
      <c r="DE59" s="36"/>
      <c r="DF59" s="36"/>
      <c r="DG59" s="51"/>
      <c r="DH59" s="36"/>
      <c r="DI59" s="36"/>
      <c r="DJ59" s="36"/>
      <c r="DK59" s="36"/>
      <c r="DL59" s="51"/>
      <c r="DM59" s="51"/>
      <c r="DN59" s="51"/>
    </row>
    <row r="60" spans="1:118" ht="15.75" customHeight="1">
      <c r="A60" s="174"/>
      <c r="B60" s="51"/>
      <c r="C60" s="99"/>
      <c r="D60" s="101"/>
      <c r="E60" s="102"/>
      <c r="F60" s="51"/>
      <c r="G60" s="103"/>
      <c r="H60" s="103"/>
      <c r="I60" s="104"/>
      <c r="J60" s="101"/>
      <c r="K60" s="101"/>
      <c r="M60" s="51"/>
      <c r="N60" s="51"/>
      <c r="O60" s="51"/>
      <c r="P60" s="51"/>
      <c r="Q60" s="51"/>
      <c r="R60" s="36"/>
      <c r="S60" s="51"/>
      <c r="T60" s="59"/>
      <c r="U60" s="112"/>
      <c r="V60" s="39"/>
      <c r="W60" s="39"/>
      <c r="X60" s="40"/>
      <c r="Y60" s="39"/>
      <c r="Z60" s="41"/>
      <c r="AA60" s="41"/>
      <c r="AB60" s="51"/>
      <c r="AC60" s="51"/>
      <c r="AD60" s="51"/>
      <c r="AE60" s="51"/>
      <c r="AF60" s="51"/>
      <c r="AG60" s="51"/>
      <c r="AH60" s="51"/>
      <c r="AI60" s="106"/>
      <c r="AJ60" s="61"/>
      <c r="AK60" s="106"/>
      <c r="AL60" s="61"/>
      <c r="AM60" s="107"/>
      <c r="AN60" s="99"/>
      <c r="AO60" s="99"/>
      <c r="AP60" s="51"/>
      <c r="AQ60" s="51"/>
      <c r="AR60" s="51"/>
      <c r="AS60" s="101"/>
      <c r="AT60" s="101"/>
      <c r="AU60" s="51"/>
      <c r="AV60" s="51"/>
      <c r="AW60" s="51"/>
      <c r="AX60" s="51"/>
      <c r="AY60" s="106"/>
      <c r="AZ60" s="106"/>
      <c r="BA60" s="106"/>
      <c r="BB60" s="106"/>
      <c r="BC60" s="38"/>
      <c r="BD60" s="38"/>
      <c r="BE60" s="34"/>
      <c r="BF60" s="51"/>
      <c r="BG60" s="36"/>
      <c r="BH60" s="51"/>
      <c r="BI60" s="99"/>
      <c r="BJ60" s="99"/>
      <c r="BK60" s="51"/>
      <c r="BL60" s="51"/>
      <c r="BM60" s="51"/>
      <c r="BN60" s="51"/>
      <c r="BO60" s="99"/>
      <c r="BP60" s="99"/>
      <c r="BQ60" s="99"/>
      <c r="BR60" s="99"/>
      <c r="BS60" s="51"/>
      <c r="BT60" s="99"/>
      <c r="BU60" s="99"/>
      <c r="BV60" s="99"/>
      <c r="BW60" s="51"/>
      <c r="BX60" s="51"/>
      <c r="BY60" s="100"/>
      <c r="BZ60" s="100"/>
      <c r="CA60" s="36"/>
      <c r="CB60" s="36"/>
      <c r="CC60" s="51"/>
      <c r="CD60" s="36"/>
      <c r="CE60" s="36"/>
      <c r="CF60" s="36"/>
      <c r="CG60" s="36"/>
      <c r="CH60" s="51"/>
      <c r="CI60" s="36"/>
      <c r="CJ60" s="36"/>
      <c r="CK60" s="36"/>
      <c r="CL60" s="36"/>
      <c r="CM60" s="51"/>
      <c r="CN60" s="36"/>
      <c r="CO60" s="36"/>
      <c r="CP60" s="36"/>
      <c r="CQ60" s="36"/>
      <c r="CR60" s="51"/>
      <c r="CS60" s="36"/>
      <c r="CT60" s="36"/>
      <c r="CU60" s="36"/>
      <c r="CV60" s="36"/>
      <c r="CW60" s="51"/>
      <c r="CX60" s="36"/>
      <c r="CY60" s="36"/>
      <c r="CZ60" s="36"/>
      <c r="DA60" s="36"/>
      <c r="DB60" s="51"/>
      <c r="DC60" s="36"/>
      <c r="DD60" s="36"/>
      <c r="DE60" s="36"/>
      <c r="DF60" s="36"/>
      <c r="DG60" s="51"/>
      <c r="DH60" s="36"/>
      <c r="DI60" s="36"/>
      <c r="DJ60" s="36"/>
      <c r="DK60" s="36"/>
      <c r="DL60" s="51"/>
      <c r="DM60" s="51"/>
      <c r="DN60" s="51"/>
    </row>
    <row r="61" spans="1:118" ht="15.75" customHeight="1">
      <c r="A61" s="174"/>
      <c r="B61" s="51"/>
      <c r="C61" s="99"/>
      <c r="D61" s="101"/>
      <c r="E61" s="102"/>
      <c r="F61" s="51"/>
      <c r="G61" s="103"/>
      <c r="H61" s="103"/>
      <c r="I61" s="104"/>
      <c r="J61" s="101"/>
      <c r="K61" s="101"/>
      <c r="M61" s="51"/>
      <c r="N61" s="51"/>
      <c r="O61" s="51"/>
      <c r="P61" s="51"/>
      <c r="Q61" s="51"/>
      <c r="R61" s="36"/>
      <c r="S61" s="51"/>
      <c r="T61" s="59"/>
      <c r="U61" s="112"/>
      <c r="V61" s="39"/>
      <c r="W61" s="39"/>
      <c r="X61" s="40"/>
      <c r="Y61" s="39"/>
      <c r="Z61" s="41"/>
      <c r="AA61" s="41"/>
      <c r="AB61" s="51"/>
      <c r="AC61" s="51"/>
      <c r="AD61" s="51"/>
      <c r="AE61" s="51"/>
      <c r="AF61" s="51"/>
      <c r="AG61" s="51"/>
      <c r="AH61" s="51"/>
      <c r="AI61" s="106"/>
      <c r="AJ61" s="61"/>
      <c r="AK61" s="106"/>
      <c r="AL61" s="61"/>
      <c r="AM61" s="107"/>
      <c r="AN61" s="99"/>
      <c r="AO61" s="99"/>
      <c r="AP61" s="51"/>
      <c r="AQ61" s="51"/>
      <c r="AR61" s="51"/>
      <c r="AS61" s="101"/>
      <c r="AT61" s="101"/>
      <c r="AU61" s="51"/>
      <c r="AV61" s="51"/>
      <c r="AW61" s="51"/>
      <c r="AX61" s="51"/>
      <c r="AY61" s="106"/>
      <c r="AZ61" s="106"/>
      <c r="BA61" s="106"/>
      <c r="BB61" s="106"/>
      <c r="BC61" s="38"/>
      <c r="BD61" s="38"/>
      <c r="BE61" s="34"/>
      <c r="BF61" s="51"/>
      <c r="BG61" s="36"/>
      <c r="BH61" s="51"/>
      <c r="BI61" s="99"/>
      <c r="BJ61" s="99"/>
      <c r="BK61" s="51"/>
      <c r="BL61" s="51"/>
      <c r="BM61" s="51"/>
      <c r="BN61" s="51"/>
      <c r="BO61" s="99"/>
      <c r="BP61" s="99"/>
      <c r="BQ61" s="99"/>
      <c r="BR61" s="99"/>
      <c r="BS61" s="51"/>
      <c r="BT61" s="99"/>
      <c r="BU61" s="99"/>
      <c r="BV61" s="99"/>
      <c r="BW61" s="51"/>
      <c r="BX61" s="51"/>
      <c r="BY61" s="100"/>
      <c r="BZ61" s="100"/>
      <c r="CA61" s="36"/>
      <c r="CB61" s="36"/>
      <c r="CC61" s="51"/>
      <c r="CD61" s="36"/>
      <c r="CE61" s="36"/>
      <c r="CF61" s="36"/>
      <c r="CG61" s="36"/>
      <c r="CH61" s="51"/>
      <c r="CI61" s="36"/>
      <c r="CJ61" s="36"/>
      <c r="CK61" s="36"/>
      <c r="CL61" s="36"/>
      <c r="CM61" s="51"/>
      <c r="CN61" s="36"/>
      <c r="CO61" s="36"/>
      <c r="CP61" s="36"/>
      <c r="CQ61" s="36"/>
      <c r="CR61" s="51"/>
      <c r="CS61" s="36"/>
      <c r="CT61" s="36"/>
      <c r="CU61" s="36"/>
      <c r="CV61" s="36"/>
      <c r="CW61" s="51"/>
      <c r="CX61" s="36"/>
      <c r="CY61" s="36"/>
      <c r="CZ61" s="36"/>
      <c r="DA61" s="36"/>
      <c r="DB61" s="51"/>
      <c r="DC61" s="36"/>
      <c r="DD61" s="36"/>
      <c r="DE61" s="36"/>
      <c r="DF61" s="36"/>
      <c r="DG61" s="51"/>
      <c r="DH61" s="36"/>
      <c r="DI61" s="36"/>
      <c r="DJ61" s="36"/>
      <c r="DK61" s="36"/>
      <c r="DL61" s="51"/>
      <c r="DM61" s="51"/>
      <c r="DN61" s="51"/>
    </row>
    <row r="62" spans="1:118" ht="15.75" customHeight="1">
      <c r="A62" s="174"/>
      <c r="B62" s="51"/>
      <c r="C62" s="99"/>
      <c r="D62" s="101"/>
      <c r="E62" s="102"/>
      <c r="F62" s="51"/>
      <c r="G62" s="103"/>
      <c r="H62" s="103"/>
      <c r="I62" s="104"/>
      <c r="J62" s="101"/>
      <c r="K62" s="101"/>
      <c r="M62" s="51"/>
      <c r="N62" s="51"/>
      <c r="O62" s="51"/>
      <c r="P62" s="51"/>
      <c r="Q62" s="51"/>
      <c r="R62" s="36"/>
      <c r="S62" s="51"/>
      <c r="T62" s="59"/>
      <c r="U62" s="112"/>
      <c r="V62" s="39"/>
      <c r="W62" s="39"/>
      <c r="X62" s="40"/>
      <c r="Y62" s="39"/>
      <c r="Z62" s="41"/>
      <c r="AA62" s="41"/>
      <c r="AB62" s="51"/>
      <c r="AC62" s="51"/>
      <c r="AD62" s="51"/>
      <c r="AE62" s="51"/>
      <c r="AF62" s="51"/>
      <c r="AG62" s="51"/>
      <c r="AH62" s="51"/>
      <c r="AI62" s="106"/>
      <c r="AJ62" s="61"/>
      <c r="AK62" s="106"/>
      <c r="AL62" s="61"/>
      <c r="AM62" s="107"/>
      <c r="AN62" s="99"/>
      <c r="AO62" s="99"/>
      <c r="AP62" s="51"/>
      <c r="AQ62" s="51"/>
      <c r="AR62" s="51"/>
      <c r="AS62" s="101"/>
      <c r="AT62" s="101"/>
      <c r="AU62" s="51"/>
      <c r="AV62" s="51"/>
      <c r="AW62" s="51"/>
      <c r="AX62" s="51"/>
      <c r="AY62" s="106"/>
      <c r="AZ62" s="106"/>
      <c r="BA62" s="106"/>
      <c r="BB62" s="106"/>
      <c r="BC62" s="38"/>
      <c r="BD62" s="38"/>
      <c r="BE62" s="34"/>
      <c r="BF62" s="51"/>
      <c r="BG62" s="36"/>
      <c r="BH62" s="51"/>
      <c r="BI62" s="99"/>
      <c r="BJ62" s="99"/>
      <c r="BK62" s="51"/>
      <c r="BL62" s="51"/>
      <c r="BM62" s="51"/>
      <c r="BN62" s="51"/>
      <c r="BO62" s="99"/>
      <c r="BP62" s="99"/>
      <c r="BQ62" s="99"/>
      <c r="BR62" s="99"/>
      <c r="BS62" s="51"/>
      <c r="BT62" s="99"/>
      <c r="BU62" s="99"/>
      <c r="BV62" s="99"/>
      <c r="BW62" s="51"/>
      <c r="BX62" s="51"/>
      <c r="BY62" s="100"/>
      <c r="BZ62" s="100"/>
      <c r="CA62" s="36"/>
      <c r="CB62" s="36"/>
      <c r="CC62" s="51"/>
      <c r="CD62" s="36"/>
      <c r="CE62" s="36"/>
      <c r="CF62" s="36"/>
      <c r="CG62" s="36"/>
      <c r="CH62" s="51"/>
      <c r="CI62" s="36"/>
      <c r="CJ62" s="36"/>
      <c r="CK62" s="36"/>
      <c r="CL62" s="36"/>
      <c r="CM62" s="51"/>
      <c r="CN62" s="36"/>
      <c r="CO62" s="36"/>
      <c r="CP62" s="36"/>
      <c r="CQ62" s="36"/>
      <c r="CR62" s="51"/>
      <c r="CS62" s="36"/>
      <c r="CT62" s="36"/>
      <c r="CU62" s="36"/>
      <c r="CV62" s="36"/>
      <c r="CW62" s="51"/>
      <c r="CX62" s="36"/>
      <c r="CY62" s="36"/>
      <c r="CZ62" s="36"/>
      <c r="DA62" s="36"/>
      <c r="DB62" s="51"/>
      <c r="DC62" s="36"/>
      <c r="DD62" s="36"/>
      <c r="DE62" s="36"/>
      <c r="DF62" s="36"/>
      <c r="DG62" s="51"/>
      <c r="DH62" s="36"/>
      <c r="DI62" s="36"/>
      <c r="DJ62" s="36"/>
      <c r="DK62" s="36"/>
      <c r="DL62" s="51"/>
      <c r="DM62" s="51"/>
      <c r="DN62" s="51"/>
    </row>
    <row r="63" spans="1:118" ht="15.75" customHeight="1">
      <c r="A63" s="174"/>
      <c r="B63" s="51"/>
      <c r="C63" s="99"/>
      <c r="D63" s="101"/>
      <c r="E63" s="102"/>
      <c r="F63" s="51"/>
      <c r="G63" s="103"/>
      <c r="H63" s="103"/>
      <c r="I63" s="104"/>
      <c r="J63" s="101"/>
      <c r="K63" s="101"/>
      <c r="M63" s="51"/>
      <c r="N63" s="51"/>
      <c r="O63" s="51"/>
      <c r="P63" s="51"/>
      <c r="Q63" s="51"/>
      <c r="R63" s="36"/>
      <c r="S63" s="51"/>
      <c r="T63" s="59"/>
      <c r="U63" s="112"/>
      <c r="V63" s="39"/>
      <c r="W63" s="39"/>
      <c r="X63" s="40"/>
      <c r="Y63" s="39"/>
      <c r="Z63" s="41"/>
      <c r="AA63" s="41"/>
      <c r="AB63" s="51"/>
      <c r="AC63" s="51"/>
      <c r="AD63" s="51"/>
      <c r="AE63" s="51"/>
      <c r="AF63" s="51"/>
      <c r="AG63" s="51"/>
      <c r="AH63" s="51"/>
      <c r="AI63" s="106"/>
      <c r="AJ63" s="61"/>
      <c r="AK63" s="106"/>
      <c r="AL63" s="61"/>
      <c r="AM63" s="107"/>
      <c r="AN63" s="99"/>
      <c r="AO63" s="99"/>
      <c r="AP63" s="51"/>
      <c r="AQ63" s="51"/>
      <c r="AR63" s="51"/>
      <c r="AS63" s="101"/>
      <c r="AT63" s="101"/>
      <c r="AU63" s="51"/>
      <c r="AV63" s="51"/>
      <c r="AW63" s="51"/>
      <c r="AX63" s="51"/>
      <c r="AY63" s="106"/>
      <c r="AZ63" s="106"/>
      <c r="BA63" s="106"/>
      <c r="BB63" s="106"/>
      <c r="BC63" s="38"/>
      <c r="BD63" s="38"/>
      <c r="BE63" s="34"/>
      <c r="BF63" s="51"/>
      <c r="BG63" s="36"/>
      <c r="BH63" s="51"/>
      <c r="BI63" s="99"/>
      <c r="BJ63" s="99"/>
      <c r="BK63" s="51"/>
      <c r="BL63" s="51"/>
      <c r="BM63" s="51"/>
      <c r="BN63" s="51"/>
      <c r="BO63" s="99"/>
      <c r="BP63" s="99"/>
      <c r="BQ63" s="99"/>
      <c r="BR63" s="99"/>
      <c r="BS63" s="51"/>
      <c r="BT63" s="99"/>
      <c r="BU63" s="99"/>
      <c r="BV63" s="99"/>
      <c r="BW63" s="51"/>
      <c r="BX63" s="51"/>
      <c r="BY63" s="100"/>
      <c r="BZ63" s="100"/>
      <c r="CA63" s="36"/>
      <c r="CB63" s="36"/>
      <c r="CC63" s="51"/>
      <c r="CD63" s="36"/>
      <c r="CE63" s="36"/>
      <c r="CF63" s="36"/>
      <c r="CG63" s="36"/>
      <c r="CH63" s="51"/>
      <c r="CI63" s="36"/>
      <c r="CJ63" s="36"/>
      <c r="CK63" s="36"/>
      <c r="CL63" s="36"/>
      <c r="CM63" s="51"/>
      <c r="CN63" s="36"/>
      <c r="CO63" s="36"/>
      <c r="CP63" s="36"/>
      <c r="CQ63" s="36"/>
      <c r="CR63" s="51"/>
      <c r="CS63" s="36"/>
      <c r="CT63" s="36"/>
      <c r="CU63" s="36"/>
      <c r="CV63" s="36"/>
      <c r="CW63" s="51"/>
      <c r="CX63" s="36"/>
      <c r="CY63" s="36"/>
      <c r="CZ63" s="36"/>
      <c r="DA63" s="36"/>
      <c r="DB63" s="51"/>
      <c r="DC63" s="36"/>
      <c r="DD63" s="36"/>
      <c r="DE63" s="36"/>
      <c r="DF63" s="36"/>
      <c r="DG63" s="51"/>
      <c r="DH63" s="36"/>
      <c r="DI63" s="36"/>
      <c r="DJ63" s="36"/>
      <c r="DK63" s="36"/>
      <c r="DL63" s="51"/>
      <c r="DM63" s="51"/>
      <c r="DN63" s="51"/>
    </row>
    <row r="64" spans="1:118" ht="15.75" customHeight="1">
      <c r="A64" s="174"/>
      <c r="B64" s="51"/>
      <c r="C64" s="99"/>
      <c r="D64" s="101"/>
      <c r="E64" s="102"/>
      <c r="F64" s="51"/>
      <c r="G64" s="103"/>
      <c r="H64" s="103"/>
      <c r="I64" s="104"/>
      <c r="J64" s="101"/>
      <c r="K64" s="101"/>
      <c r="M64" s="51"/>
      <c r="N64" s="51"/>
      <c r="O64" s="51"/>
      <c r="P64" s="51"/>
      <c r="Q64" s="51"/>
      <c r="R64" s="36"/>
      <c r="S64" s="51"/>
      <c r="T64" s="59"/>
      <c r="U64" s="112"/>
      <c r="V64" s="39"/>
      <c r="W64" s="39"/>
      <c r="X64" s="40"/>
      <c r="Y64" s="39"/>
      <c r="Z64" s="41"/>
      <c r="AA64" s="41"/>
      <c r="AB64" s="51"/>
      <c r="AC64" s="51"/>
      <c r="AD64" s="51"/>
      <c r="AE64" s="51"/>
      <c r="AF64" s="51"/>
      <c r="AG64" s="51"/>
      <c r="AH64" s="51"/>
      <c r="AI64" s="106"/>
      <c r="AJ64" s="61"/>
      <c r="AK64" s="106"/>
      <c r="AL64" s="61"/>
      <c r="AM64" s="107"/>
      <c r="AN64" s="99"/>
      <c r="AO64" s="99"/>
      <c r="AP64" s="51"/>
      <c r="AQ64" s="51"/>
      <c r="AR64" s="51"/>
      <c r="AS64" s="101"/>
      <c r="AT64" s="101"/>
      <c r="AU64" s="51"/>
      <c r="AV64" s="51"/>
      <c r="AW64" s="51"/>
      <c r="AX64" s="51"/>
      <c r="AY64" s="106"/>
      <c r="AZ64" s="106"/>
      <c r="BA64" s="106"/>
      <c r="BB64" s="106"/>
      <c r="BC64" s="38"/>
      <c r="BD64" s="38"/>
      <c r="BE64" s="34"/>
      <c r="BF64" s="51"/>
      <c r="BG64" s="36"/>
      <c r="BH64" s="51"/>
      <c r="BI64" s="99"/>
      <c r="BJ64" s="99"/>
      <c r="BK64" s="51"/>
      <c r="BL64" s="51"/>
      <c r="BM64" s="51"/>
      <c r="BN64" s="51"/>
      <c r="BO64" s="99"/>
      <c r="BP64" s="99"/>
      <c r="BQ64" s="99"/>
      <c r="BR64" s="99"/>
      <c r="BS64" s="51"/>
      <c r="BT64" s="99"/>
      <c r="BU64" s="99"/>
      <c r="BV64" s="99"/>
      <c r="BW64" s="51"/>
      <c r="BX64" s="51"/>
      <c r="BY64" s="100"/>
      <c r="BZ64" s="100"/>
      <c r="CA64" s="36"/>
      <c r="CB64" s="36"/>
      <c r="CC64" s="51"/>
      <c r="CD64" s="36"/>
      <c r="CE64" s="36"/>
      <c r="CF64" s="36"/>
      <c r="CG64" s="36"/>
      <c r="CH64" s="51"/>
      <c r="CI64" s="36"/>
      <c r="CJ64" s="36"/>
      <c r="CK64" s="36"/>
      <c r="CL64" s="36"/>
      <c r="CM64" s="51"/>
      <c r="CN64" s="36"/>
      <c r="CO64" s="36"/>
      <c r="CP64" s="36"/>
      <c r="CQ64" s="36"/>
      <c r="CR64" s="51"/>
      <c r="CS64" s="36"/>
      <c r="CT64" s="36"/>
      <c r="CU64" s="36"/>
      <c r="CV64" s="36"/>
      <c r="CW64" s="51"/>
      <c r="CX64" s="36"/>
      <c r="CY64" s="36"/>
      <c r="CZ64" s="36"/>
      <c r="DA64" s="36"/>
      <c r="DB64" s="51"/>
      <c r="DC64" s="36"/>
      <c r="DD64" s="36"/>
      <c r="DE64" s="36"/>
      <c r="DF64" s="36"/>
      <c r="DG64" s="51"/>
      <c r="DH64" s="36"/>
      <c r="DI64" s="36"/>
      <c r="DJ64" s="36"/>
      <c r="DK64" s="36"/>
      <c r="DL64" s="51"/>
      <c r="DM64" s="51"/>
      <c r="DN64" s="51"/>
    </row>
    <row r="65" spans="1:118" ht="15.75" customHeight="1">
      <c r="A65" s="174"/>
      <c r="B65" s="51"/>
      <c r="C65" s="99"/>
      <c r="D65" s="101"/>
      <c r="E65" s="102"/>
      <c r="F65" s="51"/>
      <c r="G65" s="103"/>
      <c r="H65" s="103"/>
      <c r="I65" s="104"/>
      <c r="J65" s="101"/>
      <c r="K65" s="101"/>
      <c r="M65" s="51"/>
      <c r="N65" s="51"/>
      <c r="O65" s="51"/>
      <c r="P65" s="51"/>
      <c r="Q65" s="51"/>
      <c r="R65" s="36"/>
      <c r="S65" s="51"/>
      <c r="T65" s="59"/>
      <c r="U65" s="112"/>
      <c r="V65" s="39"/>
      <c r="W65" s="39"/>
      <c r="X65" s="40"/>
      <c r="Y65" s="39"/>
      <c r="Z65" s="41"/>
      <c r="AA65" s="41"/>
      <c r="AB65" s="51"/>
      <c r="AC65" s="51"/>
      <c r="AD65" s="51"/>
      <c r="AE65" s="51"/>
      <c r="AF65" s="51"/>
      <c r="AG65" s="51"/>
      <c r="AH65" s="51"/>
      <c r="AI65" s="106"/>
      <c r="AJ65" s="61"/>
      <c r="AK65" s="106"/>
      <c r="AL65" s="61"/>
      <c r="AM65" s="107"/>
      <c r="AN65" s="99"/>
      <c r="AO65" s="99"/>
      <c r="AP65" s="51"/>
      <c r="AQ65" s="51"/>
      <c r="AR65" s="51"/>
      <c r="AS65" s="101"/>
      <c r="AT65" s="101"/>
      <c r="AU65" s="51"/>
      <c r="AV65" s="51"/>
      <c r="AW65" s="51"/>
      <c r="AX65" s="51"/>
      <c r="AY65" s="106"/>
      <c r="AZ65" s="106"/>
      <c r="BA65" s="106"/>
      <c r="BB65" s="106"/>
      <c r="BC65" s="38"/>
      <c r="BD65" s="38"/>
      <c r="BE65" s="34"/>
      <c r="BF65" s="51"/>
      <c r="BG65" s="36"/>
      <c r="BH65" s="51"/>
      <c r="BI65" s="99"/>
      <c r="BJ65" s="99"/>
      <c r="BK65" s="51"/>
      <c r="BL65" s="51"/>
      <c r="BM65" s="51"/>
      <c r="BN65" s="51"/>
      <c r="BO65" s="99"/>
      <c r="BP65" s="99"/>
      <c r="BQ65" s="99"/>
      <c r="BR65" s="99"/>
      <c r="BS65" s="51"/>
      <c r="BT65" s="99"/>
      <c r="BU65" s="99"/>
      <c r="BV65" s="99"/>
      <c r="BW65" s="51"/>
      <c r="BX65" s="51"/>
      <c r="BY65" s="100"/>
      <c r="BZ65" s="100"/>
      <c r="CA65" s="36"/>
      <c r="CB65" s="36"/>
      <c r="CC65" s="51"/>
      <c r="CD65" s="36"/>
      <c r="CE65" s="36"/>
      <c r="CF65" s="36"/>
      <c r="CG65" s="36"/>
      <c r="CH65" s="51"/>
      <c r="CI65" s="36"/>
      <c r="CJ65" s="36"/>
      <c r="CK65" s="36"/>
      <c r="CL65" s="36"/>
      <c r="CM65" s="51"/>
      <c r="CN65" s="36"/>
      <c r="CO65" s="36"/>
      <c r="CP65" s="36"/>
      <c r="CQ65" s="36"/>
      <c r="CR65" s="51"/>
      <c r="CS65" s="36"/>
      <c r="CT65" s="36"/>
      <c r="CU65" s="36"/>
      <c r="CV65" s="36"/>
      <c r="CW65" s="51"/>
      <c r="CX65" s="36"/>
      <c r="CY65" s="36"/>
      <c r="CZ65" s="36"/>
      <c r="DA65" s="36"/>
      <c r="DB65" s="51"/>
      <c r="DC65" s="36"/>
      <c r="DD65" s="36"/>
      <c r="DE65" s="36"/>
      <c r="DF65" s="36"/>
      <c r="DG65" s="51"/>
      <c r="DH65" s="36"/>
      <c r="DI65" s="36"/>
      <c r="DJ65" s="36"/>
      <c r="DK65" s="36"/>
      <c r="DL65" s="51"/>
      <c r="DM65" s="51"/>
      <c r="DN65" s="51"/>
    </row>
    <row r="66" spans="1:118" ht="15.75" customHeight="1">
      <c r="A66" s="174"/>
      <c r="B66" s="51"/>
      <c r="C66" s="99"/>
      <c r="D66" s="101"/>
      <c r="E66" s="102"/>
      <c r="F66" s="51"/>
      <c r="G66" s="103"/>
      <c r="H66" s="103"/>
      <c r="I66" s="104"/>
      <c r="J66" s="101"/>
      <c r="K66" s="101"/>
      <c r="M66" s="51"/>
      <c r="N66" s="51"/>
      <c r="O66" s="51"/>
      <c r="P66" s="51"/>
      <c r="Q66" s="51"/>
      <c r="R66" s="36"/>
      <c r="S66" s="51"/>
      <c r="T66" s="59"/>
      <c r="U66" s="112"/>
      <c r="V66" s="39"/>
      <c r="W66" s="39"/>
      <c r="X66" s="40"/>
      <c r="Y66" s="39"/>
      <c r="Z66" s="41"/>
      <c r="AA66" s="41"/>
      <c r="AB66" s="51"/>
      <c r="AC66" s="51"/>
      <c r="AD66" s="51"/>
      <c r="AE66" s="51"/>
      <c r="AF66" s="51"/>
      <c r="AG66" s="51"/>
      <c r="AH66" s="51"/>
      <c r="AI66" s="106"/>
      <c r="AJ66" s="61"/>
      <c r="AK66" s="106"/>
      <c r="AL66" s="61"/>
      <c r="AM66" s="107"/>
      <c r="AN66" s="99"/>
      <c r="AO66" s="99"/>
      <c r="AP66" s="51"/>
      <c r="AQ66" s="51"/>
      <c r="AR66" s="51"/>
      <c r="AS66" s="101"/>
      <c r="AT66" s="101"/>
      <c r="AU66" s="51"/>
      <c r="AV66" s="51"/>
      <c r="AW66" s="51"/>
      <c r="AX66" s="51"/>
      <c r="AY66" s="106"/>
      <c r="AZ66" s="106"/>
      <c r="BA66" s="106"/>
      <c r="BB66" s="106"/>
      <c r="BC66" s="38"/>
      <c r="BD66" s="38"/>
      <c r="BE66" s="34"/>
      <c r="BF66" s="51"/>
      <c r="BG66" s="36"/>
      <c r="BH66" s="51"/>
      <c r="BI66" s="99"/>
      <c r="BJ66" s="99"/>
      <c r="BK66" s="51"/>
      <c r="BL66" s="51"/>
      <c r="BM66" s="51"/>
      <c r="BN66" s="51"/>
      <c r="BO66" s="99"/>
      <c r="BP66" s="99"/>
      <c r="BQ66" s="99"/>
      <c r="BR66" s="99"/>
      <c r="BS66" s="51"/>
      <c r="BT66" s="99"/>
      <c r="BU66" s="99"/>
      <c r="BV66" s="99"/>
      <c r="BW66" s="51"/>
      <c r="BX66" s="51"/>
      <c r="BY66" s="100"/>
      <c r="BZ66" s="100"/>
      <c r="CA66" s="36"/>
      <c r="CB66" s="36"/>
      <c r="CC66" s="51"/>
      <c r="CD66" s="36"/>
      <c r="CE66" s="36"/>
      <c r="CF66" s="36"/>
      <c r="CG66" s="36"/>
      <c r="CH66" s="51"/>
      <c r="CI66" s="36"/>
      <c r="CJ66" s="36"/>
      <c r="CK66" s="36"/>
      <c r="CL66" s="36"/>
      <c r="CM66" s="51"/>
      <c r="CN66" s="36"/>
      <c r="CO66" s="36"/>
      <c r="CP66" s="36"/>
      <c r="CQ66" s="36"/>
      <c r="CR66" s="51"/>
      <c r="CS66" s="36"/>
      <c r="CT66" s="36"/>
      <c r="CU66" s="36"/>
      <c r="CV66" s="36"/>
      <c r="CW66" s="51"/>
      <c r="CX66" s="36"/>
      <c r="CY66" s="36"/>
      <c r="CZ66" s="36"/>
      <c r="DA66" s="36"/>
      <c r="DB66" s="51"/>
      <c r="DC66" s="36"/>
      <c r="DD66" s="36"/>
      <c r="DE66" s="36"/>
      <c r="DF66" s="36"/>
      <c r="DG66" s="51"/>
      <c r="DH66" s="36"/>
      <c r="DI66" s="36"/>
      <c r="DJ66" s="36"/>
      <c r="DK66" s="36"/>
      <c r="DL66" s="51"/>
      <c r="DM66" s="51"/>
      <c r="DN66" s="51"/>
    </row>
    <row r="67" spans="1:118" ht="15.75" customHeight="1">
      <c r="A67" s="174"/>
      <c r="B67" s="51"/>
      <c r="C67" s="99"/>
      <c r="D67" s="101"/>
      <c r="E67" s="102"/>
      <c r="F67" s="51"/>
      <c r="G67" s="103"/>
      <c r="H67" s="103"/>
      <c r="I67" s="104"/>
      <c r="J67" s="101"/>
      <c r="K67" s="101"/>
      <c r="M67" s="51"/>
      <c r="N67" s="51"/>
      <c r="O67" s="51"/>
      <c r="P67" s="51"/>
      <c r="Q67" s="51"/>
      <c r="R67" s="36"/>
      <c r="S67" s="51"/>
      <c r="T67" s="59"/>
      <c r="U67" s="112"/>
      <c r="V67" s="39"/>
      <c r="W67" s="39"/>
      <c r="X67" s="40"/>
      <c r="Y67" s="39"/>
      <c r="Z67" s="41"/>
      <c r="AA67" s="41"/>
      <c r="AB67" s="51"/>
      <c r="AC67" s="51"/>
      <c r="AD67" s="51"/>
      <c r="AE67" s="51"/>
      <c r="AF67" s="51"/>
      <c r="AG67" s="51"/>
      <c r="AH67" s="51"/>
      <c r="AI67" s="106"/>
      <c r="AJ67" s="61"/>
      <c r="AK67" s="106"/>
      <c r="AL67" s="61"/>
      <c r="AM67" s="107"/>
      <c r="AN67" s="99"/>
      <c r="AO67" s="99"/>
      <c r="AP67" s="51"/>
      <c r="AQ67" s="51"/>
      <c r="AR67" s="51"/>
      <c r="AS67" s="101"/>
      <c r="AT67" s="101"/>
      <c r="AU67" s="51"/>
      <c r="AV67" s="51"/>
      <c r="AW67" s="51"/>
      <c r="AX67" s="51"/>
      <c r="AY67" s="106"/>
      <c r="AZ67" s="106"/>
      <c r="BA67" s="106"/>
      <c r="BB67" s="106"/>
      <c r="BC67" s="38"/>
      <c r="BD67" s="38"/>
      <c r="BE67" s="34"/>
      <c r="BF67" s="51"/>
      <c r="BG67" s="36"/>
      <c r="BH67" s="51"/>
      <c r="BI67" s="99"/>
      <c r="BJ67" s="99"/>
      <c r="BK67" s="51"/>
      <c r="BL67" s="51"/>
      <c r="BM67" s="51"/>
      <c r="BN67" s="51"/>
      <c r="BO67" s="99"/>
      <c r="BP67" s="99"/>
      <c r="BQ67" s="99"/>
      <c r="BR67" s="99"/>
      <c r="BS67" s="51"/>
      <c r="BT67" s="99"/>
      <c r="BU67" s="99"/>
      <c r="BV67" s="99"/>
      <c r="BW67" s="51"/>
      <c r="BX67" s="51"/>
      <c r="BY67" s="100"/>
      <c r="BZ67" s="100"/>
      <c r="CA67" s="36"/>
      <c r="CB67" s="36"/>
      <c r="CC67" s="51"/>
      <c r="CD67" s="36"/>
      <c r="CE67" s="36"/>
      <c r="CF67" s="36"/>
      <c r="CG67" s="36"/>
      <c r="CH67" s="51"/>
      <c r="CI67" s="36"/>
      <c r="CJ67" s="36"/>
      <c r="CK67" s="36"/>
      <c r="CL67" s="36"/>
      <c r="CM67" s="51"/>
      <c r="CN67" s="36"/>
      <c r="CO67" s="36"/>
      <c r="CP67" s="36"/>
      <c r="CQ67" s="36"/>
      <c r="CR67" s="51"/>
      <c r="CS67" s="36"/>
      <c r="CT67" s="36"/>
      <c r="CU67" s="36"/>
      <c r="CV67" s="36"/>
      <c r="CW67" s="51"/>
      <c r="CX67" s="36"/>
      <c r="CY67" s="36"/>
      <c r="CZ67" s="36"/>
      <c r="DA67" s="36"/>
      <c r="DB67" s="51"/>
      <c r="DC67" s="36"/>
      <c r="DD67" s="36"/>
      <c r="DE67" s="36"/>
      <c r="DF67" s="36"/>
      <c r="DG67" s="51"/>
      <c r="DH67" s="36"/>
      <c r="DI67" s="36"/>
      <c r="DJ67" s="36"/>
      <c r="DK67" s="36"/>
      <c r="DL67" s="51"/>
      <c r="DM67" s="51"/>
      <c r="DN67" s="51"/>
    </row>
    <row r="68" spans="1:118" ht="15.75" customHeight="1">
      <c r="A68" s="174"/>
      <c r="B68" s="51"/>
      <c r="C68" s="99"/>
      <c r="D68" s="101"/>
      <c r="E68" s="102"/>
      <c r="F68" s="51"/>
      <c r="G68" s="103"/>
      <c r="H68" s="103"/>
      <c r="I68" s="104"/>
      <c r="J68" s="101"/>
      <c r="K68" s="101"/>
      <c r="M68" s="51"/>
      <c r="N68" s="51"/>
      <c r="O68" s="51"/>
      <c r="P68" s="51"/>
      <c r="Q68" s="51"/>
      <c r="R68" s="36"/>
      <c r="S68" s="51"/>
      <c r="T68" s="59"/>
      <c r="U68" s="112"/>
      <c r="V68" s="39"/>
      <c r="W68" s="39"/>
      <c r="X68" s="40"/>
      <c r="Y68" s="39"/>
      <c r="Z68" s="41"/>
      <c r="AA68" s="41"/>
      <c r="AB68" s="51"/>
      <c r="AC68" s="51"/>
      <c r="AD68" s="51"/>
      <c r="AE68" s="51"/>
      <c r="AF68" s="51"/>
      <c r="AG68" s="51"/>
      <c r="AH68" s="51"/>
      <c r="AI68" s="106"/>
      <c r="AJ68" s="61"/>
      <c r="AK68" s="106"/>
      <c r="AL68" s="61"/>
      <c r="AM68" s="107"/>
      <c r="AN68" s="99"/>
      <c r="AO68" s="99"/>
      <c r="AP68" s="51"/>
      <c r="AQ68" s="51"/>
      <c r="AR68" s="51"/>
      <c r="AS68" s="101"/>
      <c r="AT68" s="101"/>
      <c r="AU68" s="51"/>
      <c r="AV68" s="51"/>
      <c r="AW68" s="51"/>
      <c r="AX68" s="51"/>
      <c r="AY68" s="106"/>
      <c r="AZ68" s="106"/>
      <c r="BA68" s="106"/>
      <c r="BB68" s="106"/>
      <c r="BC68" s="38"/>
      <c r="BD68" s="38"/>
      <c r="BE68" s="34"/>
      <c r="BF68" s="51"/>
      <c r="BG68" s="36"/>
      <c r="BH68" s="51"/>
      <c r="BI68" s="99"/>
      <c r="BJ68" s="99"/>
      <c r="BK68" s="51"/>
      <c r="BL68" s="51"/>
      <c r="BM68" s="51"/>
      <c r="BN68" s="51"/>
      <c r="BO68" s="99"/>
      <c r="BP68" s="99"/>
      <c r="BQ68" s="99"/>
      <c r="BR68" s="99"/>
      <c r="BS68" s="51"/>
      <c r="BT68" s="99"/>
      <c r="BU68" s="99"/>
      <c r="BV68" s="99"/>
      <c r="BW68" s="51"/>
      <c r="BX68" s="51"/>
      <c r="BY68" s="100"/>
      <c r="BZ68" s="100"/>
      <c r="CA68" s="36"/>
      <c r="CB68" s="36"/>
      <c r="CC68" s="51"/>
      <c r="CD68" s="36"/>
      <c r="CE68" s="36"/>
      <c r="CF68" s="36"/>
      <c r="CG68" s="36"/>
      <c r="CH68" s="51"/>
      <c r="CI68" s="36"/>
      <c r="CJ68" s="36"/>
      <c r="CK68" s="36"/>
      <c r="CL68" s="36"/>
      <c r="CM68" s="51"/>
      <c r="CN68" s="36"/>
      <c r="CO68" s="36"/>
      <c r="CP68" s="36"/>
      <c r="CQ68" s="36"/>
      <c r="CR68" s="51"/>
      <c r="CS68" s="36"/>
      <c r="CT68" s="36"/>
      <c r="CU68" s="36"/>
      <c r="CV68" s="36"/>
      <c r="CW68" s="51"/>
      <c r="CX68" s="36"/>
      <c r="CY68" s="36"/>
      <c r="CZ68" s="36"/>
      <c r="DA68" s="36"/>
      <c r="DB68" s="51"/>
      <c r="DC68" s="36"/>
      <c r="DD68" s="36"/>
      <c r="DE68" s="36"/>
      <c r="DF68" s="36"/>
      <c r="DG68" s="51"/>
      <c r="DH68" s="36"/>
      <c r="DI68" s="36"/>
      <c r="DJ68" s="36"/>
      <c r="DK68" s="36"/>
      <c r="DL68" s="51"/>
      <c r="DM68" s="51"/>
      <c r="DN68" s="51"/>
    </row>
    <row r="69" spans="1:118" ht="15.75" customHeight="1">
      <c r="A69" s="174"/>
      <c r="B69" s="51"/>
      <c r="C69" s="99"/>
      <c r="D69" s="101"/>
      <c r="E69" s="102"/>
      <c r="F69" s="51"/>
      <c r="G69" s="103"/>
      <c r="H69" s="103"/>
      <c r="I69" s="104"/>
      <c r="J69" s="101"/>
      <c r="K69" s="101"/>
      <c r="M69" s="51"/>
      <c r="N69" s="51"/>
      <c r="O69" s="51"/>
      <c r="P69" s="51"/>
      <c r="Q69" s="51"/>
      <c r="R69" s="36"/>
      <c r="S69" s="51"/>
      <c r="T69" s="59"/>
      <c r="U69" s="112"/>
      <c r="V69" s="39"/>
      <c r="W69" s="39"/>
      <c r="X69" s="40"/>
      <c r="Y69" s="39"/>
      <c r="Z69" s="41"/>
      <c r="AA69" s="41"/>
      <c r="AB69" s="51"/>
      <c r="AC69" s="51"/>
      <c r="AD69" s="51"/>
      <c r="AE69" s="51"/>
      <c r="AF69" s="51"/>
      <c r="AG69" s="51"/>
      <c r="AH69" s="51"/>
      <c r="AI69" s="106"/>
      <c r="AJ69" s="61"/>
      <c r="AK69" s="106"/>
      <c r="AL69" s="61"/>
      <c r="AM69" s="107"/>
      <c r="AN69" s="99"/>
      <c r="AO69" s="99"/>
      <c r="AP69" s="51"/>
      <c r="AQ69" s="51"/>
      <c r="AR69" s="51"/>
      <c r="AS69" s="101"/>
      <c r="AT69" s="101"/>
      <c r="AU69" s="51"/>
      <c r="AV69" s="51"/>
      <c r="AW69" s="51"/>
      <c r="AX69" s="51"/>
      <c r="AY69" s="106"/>
      <c r="AZ69" s="106"/>
      <c r="BA69" s="106"/>
      <c r="BB69" s="106"/>
      <c r="BC69" s="38"/>
      <c r="BD69" s="38"/>
      <c r="BE69" s="34"/>
      <c r="BF69" s="51"/>
      <c r="BG69" s="36"/>
      <c r="BH69" s="51"/>
      <c r="BI69" s="99"/>
      <c r="BJ69" s="99"/>
      <c r="BK69" s="51"/>
      <c r="BL69" s="51"/>
      <c r="BM69" s="51"/>
      <c r="BN69" s="51"/>
      <c r="BO69" s="99"/>
      <c r="BP69" s="99"/>
      <c r="BQ69" s="99"/>
      <c r="BR69" s="99"/>
      <c r="BS69" s="51"/>
      <c r="BT69" s="99"/>
      <c r="BU69" s="99"/>
      <c r="BV69" s="99"/>
      <c r="BW69" s="51"/>
      <c r="BX69" s="51"/>
      <c r="BY69" s="100"/>
      <c r="BZ69" s="100"/>
      <c r="CA69" s="36"/>
      <c r="CB69" s="36"/>
      <c r="CC69" s="51"/>
      <c r="CD69" s="36"/>
      <c r="CE69" s="36"/>
      <c r="CF69" s="36"/>
      <c r="CG69" s="36"/>
      <c r="CH69" s="51"/>
      <c r="CI69" s="36"/>
      <c r="CJ69" s="36"/>
      <c r="CK69" s="36"/>
      <c r="CL69" s="36"/>
      <c r="CM69" s="51"/>
      <c r="CN69" s="36"/>
      <c r="CO69" s="36"/>
      <c r="CP69" s="36"/>
      <c r="CQ69" s="36"/>
      <c r="CR69" s="51"/>
      <c r="CS69" s="36"/>
      <c r="CT69" s="36"/>
      <c r="CU69" s="36"/>
      <c r="CV69" s="36"/>
      <c r="CW69" s="51"/>
      <c r="CX69" s="36"/>
      <c r="CY69" s="36"/>
      <c r="CZ69" s="36"/>
      <c r="DA69" s="36"/>
      <c r="DB69" s="51"/>
      <c r="DC69" s="36"/>
      <c r="DD69" s="36"/>
      <c r="DE69" s="36"/>
      <c r="DF69" s="36"/>
      <c r="DG69" s="51"/>
      <c r="DH69" s="36"/>
      <c r="DI69" s="36"/>
      <c r="DJ69" s="36"/>
      <c r="DK69" s="36"/>
      <c r="DL69" s="51"/>
      <c r="DM69" s="51"/>
      <c r="DN69" s="51"/>
    </row>
    <row r="70" spans="1:118" ht="15.75" customHeight="1">
      <c r="A70" s="174"/>
      <c r="B70" s="51"/>
      <c r="C70" s="99"/>
      <c r="D70" s="101"/>
      <c r="E70" s="102"/>
      <c r="F70" s="51"/>
      <c r="G70" s="103"/>
      <c r="H70" s="103"/>
      <c r="I70" s="104"/>
      <c r="J70" s="101"/>
      <c r="K70" s="101"/>
      <c r="M70" s="51"/>
      <c r="N70" s="51"/>
      <c r="O70" s="51"/>
      <c r="P70" s="51"/>
      <c r="Q70" s="51"/>
      <c r="R70" s="36"/>
      <c r="S70" s="51"/>
      <c r="T70" s="59"/>
      <c r="U70" s="112"/>
      <c r="V70" s="39"/>
      <c r="W70" s="39"/>
      <c r="X70" s="40"/>
      <c r="Y70" s="39"/>
      <c r="Z70" s="41"/>
      <c r="AA70" s="41"/>
      <c r="AB70" s="51"/>
      <c r="AC70" s="51"/>
      <c r="AD70" s="51"/>
      <c r="AE70" s="51"/>
      <c r="AF70" s="51"/>
      <c r="AG70" s="51"/>
      <c r="AH70" s="51"/>
      <c r="AI70" s="106"/>
      <c r="AJ70" s="61"/>
      <c r="AK70" s="106"/>
      <c r="AL70" s="61"/>
      <c r="AM70" s="107"/>
      <c r="AN70" s="99"/>
      <c r="AO70" s="99"/>
      <c r="AP70" s="51"/>
      <c r="AQ70" s="51"/>
      <c r="AR70" s="51"/>
      <c r="AS70" s="101"/>
      <c r="AT70" s="101"/>
      <c r="AU70" s="51"/>
      <c r="AV70" s="51"/>
      <c r="AW70" s="51"/>
      <c r="AX70" s="51"/>
      <c r="AY70" s="106"/>
      <c r="AZ70" s="106"/>
      <c r="BA70" s="106"/>
      <c r="BB70" s="106"/>
      <c r="BC70" s="38"/>
      <c r="BD70" s="38"/>
      <c r="BE70" s="34"/>
      <c r="BF70" s="51"/>
      <c r="BG70" s="36"/>
      <c r="BH70" s="51"/>
      <c r="BI70" s="99"/>
      <c r="BJ70" s="99"/>
      <c r="BK70" s="51"/>
      <c r="BL70" s="51"/>
      <c r="BM70" s="51"/>
      <c r="BN70" s="51"/>
      <c r="BO70" s="99"/>
      <c r="BP70" s="99"/>
      <c r="BQ70" s="99"/>
      <c r="BR70" s="99"/>
      <c r="BS70" s="51"/>
      <c r="BT70" s="99"/>
      <c r="BU70" s="99"/>
      <c r="BV70" s="99"/>
      <c r="BW70" s="51"/>
      <c r="BX70" s="51"/>
      <c r="BY70" s="100"/>
      <c r="BZ70" s="100"/>
      <c r="CA70" s="36"/>
      <c r="CB70" s="36"/>
      <c r="CC70" s="51"/>
      <c r="CD70" s="36"/>
      <c r="CE70" s="36"/>
      <c r="CF70" s="36"/>
      <c r="CG70" s="36"/>
      <c r="CH70" s="51"/>
      <c r="CI70" s="36"/>
      <c r="CJ70" s="36"/>
      <c r="CK70" s="36"/>
      <c r="CL70" s="36"/>
      <c r="CM70" s="51"/>
      <c r="CN70" s="36"/>
      <c r="CO70" s="36"/>
      <c r="CP70" s="36"/>
      <c r="CQ70" s="36"/>
      <c r="CR70" s="51"/>
      <c r="CS70" s="36"/>
      <c r="CT70" s="36"/>
      <c r="CU70" s="36"/>
      <c r="CV70" s="36"/>
      <c r="CW70" s="51"/>
      <c r="CX70" s="36"/>
      <c r="CY70" s="36"/>
      <c r="CZ70" s="36"/>
      <c r="DA70" s="36"/>
      <c r="DB70" s="51"/>
      <c r="DC70" s="36"/>
      <c r="DD70" s="36"/>
      <c r="DE70" s="36"/>
      <c r="DF70" s="36"/>
      <c r="DG70" s="51"/>
      <c r="DH70" s="36"/>
      <c r="DI70" s="36"/>
      <c r="DJ70" s="36"/>
      <c r="DK70" s="36"/>
      <c r="DL70" s="51"/>
      <c r="DM70" s="51"/>
      <c r="DN70" s="51"/>
    </row>
    <row r="71" spans="1:118" ht="15.75" customHeight="1">
      <c r="A71" s="174"/>
      <c r="B71" s="51"/>
      <c r="C71" s="99"/>
      <c r="D71" s="101"/>
      <c r="E71" s="102"/>
      <c r="F71" s="51"/>
      <c r="G71" s="103"/>
      <c r="H71" s="103"/>
      <c r="I71" s="104"/>
      <c r="J71" s="101"/>
      <c r="K71" s="101"/>
      <c r="M71" s="51"/>
      <c r="N71" s="51"/>
      <c r="O71" s="51"/>
      <c r="P71" s="51"/>
      <c r="Q71" s="51"/>
      <c r="R71" s="36"/>
      <c r="S71" s="51"/>
      <c r="T71" s="59"/>
      <c r="U71" s="112"/>
      <c r="V71" s="39"/>
      <c r="W71" s="39"/>
      <c r="X71" s="40"/>
      <c r="Y71" s="39"/>
      <c r="Z71" s="41"/>
      <c r="AA71" s="41"/>
      <c r="AB71" s="51"/>
      <c r="AC71" s="51"/>
      <c r="AD71" s="51"/>
      <c r="AE71" s="51"/>
      <c r="AF71" s="51"/>
      <c r="AG71" s="51"/>
      <c r="AH71" s="51"/>
      <c r="AI71" s="106"/>
      <c r="AJ71" s="61"/>
      <c r="AK71" s="106"/>
      <c r="AL71" s="61"/>
      <c r="AM71" s="107"/>
      <c r="AN71" s="99"/>
      <c r="AO71" s="99"/>
      <c r="AP71" s="51"/>
      <c r="AQ71" s="51"/>
      <c r="AR71" s="51"/>
      <c r="AS71" s="101"/>
      <c r="AT71" s="101"/>
      <c r="AU71" s="51"/>
      <c r="AV71" s="51"/>
      <c r="AW71" s="51"/>
      <c r="AX71" s="51"/>
      <c r="AY71" s="106"/>
      <c r="AZ71" s="106"/>
      <c r="BA71" s="106"/>
      <c r="BB71" s="106"/>
      <c r="BC71" s="38"/>
      <c r="BD71" s="38"/>
      <c r="BE71" s="34"/>
      <c r="BF71" s="51"/>
      <c r="BG71" s="36"/>
      <c r="BH71" s="51"/>
      <c r="BI71" s="99"/>
      <c r="BJ71" s="99"/>
      <c r="BK71" s="51"/>
      <c r="BL71" s="51"/>
      <c r="BM71" s="51"/>
      <c r="BN71" s="51"/>
      <c r="BO71" s="99"/>
      <c r="BP71" s="99"/>
      <c r="BQ71" s="99"/>
      <c r="BR71" s="99"/>
      <c r="BS71" s="51"/>
      <c r="BT71" s="99"/>
      <c r="BU71" s="99"/>
      <c r="BV71" s="99"/>
      <c r="BW71" s="51"/>
      <c r="BX71" s="51"/>
      <c r="BY71" s="100"/>
      <c r="BZ71" s="100"/>
      <c r="CA71" s="36"/>
      <c r="CB71" s="36"/>
      <c r="CC71" s="51"/>
      <c r="CD71" s="36"/>
      <c r="CE71" s="36"/>
      <c r="CF71" s="36"/>
      <c r="CG71" s="36"/>
      <c r="CH71" s="51"/>
      <c r="CI71" s="36"/>
      <c r="CJ71" s="36"/>
      <c r="CK71" s="36"/>
      <c r="CL71" s="36"/>
      <c r="CM71" s="51"/>
      <c r="CN71" s="36"/>
      <c r="CO71" s="36"/>
      <c r="CP71" s="36"/>
      <c r="CQ71" s="36"/>
      <c r="CR71" s="51"/>
      <c r="CS71" s="36"/>
      <c r="CT71" s="36"/>
      <c r="CU71" s="36"/>
      <c r="CV71" s="36"/>
      <c r="CW71" s="51"/>
      <c r="CX71" s="36"/>
      <c r="CY71" s="36"/>
      <c r="CZ71" s="36"/>
      <c r="DA71" s="36"/>
      <c r="DB71" s="51"/>
      <c r="DC71" s="36"/>
      <c r="DD71" s="36"/>
      <c r="DE71" s="36"/>
      <c r="DF71" s="36"/>
      <c r="DG71" s="51"/>
      <c r="DH71" s="36"/>
      <c r="DI71" s="36"/>
      <c r="DJ71" s="36"/>
      <c r="DK71" s="36"/>
      <c r="DL71" s="51"/>
      <c r="DM71" s="51"/>
      <c r="DN71" s="51"/>
    </row>
    <row r="72" spans="1:118" ht="15.75" customHeight="1">
      <c r="A72" s="182"/>
      <c r="B72" s="51"/>
      <c r="C72" s="99"/>
      <c r="D72" s="101"/>
      <c r="E72" s="102"/>
      <c r="F72" s="51"/>
      <c r="G72" s="103"/>
      <c r="H72" s="103"/>
      <c r="I72" s="104"/>
      <c r="J72" s="101"/>
      <c r="K72" s="101"/>
      <c r="M72" s="51"/>
      <c r="N72" s="51"/>
      <c r="O72" s="51"/>
      <c r="P72" s="51"/>
      <c r="Q72" s="51"/>
      <c r="R72" s="36"/>
      <c r="S72" s="51"/>
      <c r="T72" s="59"/>
      <c r="U72" s="112"/>
      <c r="V72" s="39"/>
      <c r="W72" s="39"/>
      <c r="X72" s="40"/>
      <c r="Y72" s="39"/>
      <c r="Z72" s="41"/>
      <c r="AA72" s="41"/>
      <c r="AB72" s="51"/>
      <c r="AC72" s="51"/>
      <c r="AD72" s="51"/>
      <c r="AE72" s="51"/>
      <c r="AF72" s="51"/>
      <c r="AG72" s="51"/>
      <c r="AH72" s="51"/>
      <c r="AI72" s="106"/>
      <c r="AJ72" s="61"/>
      <c r="AK72" s="106"/>
      <c r="AL72" s="61"/>
      <c r="AM72" s="107"/>
      <c r="AN72" s="99"/>
      <c r="AO72" s="99"/>
      <c r="AP72" s="51"/>
      <c r="AQ72" s="51"/>
      <c r="AR72" s="51"/>
      <c r="AS72" s="101"/>
      <c r="AT72" s="101"/>
      <c r="AU72" s="51"/>
      <c r="AV72" s="51"/>
      <c r="AW72" s="51"/>
      <c r="AX72" s="51"/>
      <c r="AY72" s="106"/>
      <c r="AZ72" s="106"/>
      <c r="BA72" s="106"/>
      <c r="BB72" s="106"/>
      <c r="BC72" s="38"/>
      <c r="BD72" s="38"/>
      <c r="BE72" s="34"/>
      <c r="BF72" s="51"/>
      <c r="BG72" s="36"/>
      <c r="BH72" s="51"/>
      <c r="BI72" s="99"/>
      <c r="BJ72" s="99"/>
      <c r="BK72" s="51"/>
      <c r="BL72" s="51"/>
      <c r="BM72" s="51"/>
      <c r="BN72" s="51"/>
      <c r="BO72" s="99"/>
      <c r="BP72" s="99"/>
      <c r="BQ72" s="99"/>
      <c r="BR72" s="99"/>
      <c r="BS72" s="51"/>
      <c r="BT72" s="99"/>
      <c r="BU72" s="99"/>
      <c r="BV72" s="99"/>
      <c r="BW72" s="51"/>
      <c r="BX72" s="51"/>
      <c r="BY72" s="100"/>
      <c r="BZ72" s="100"/>
      <c r="CA72" s="36"/>
      <c r="CB72" s="36"/>
      <c r="CC72" s="51"/>
      <c r="CD72" s="36"/>
      <c r="CE72" s="36"/>
      <c r="CF72" s="36"/>
      <c r="CG72" s="36"/>
      <c r="CH72" s="51"/>
      <c r="CI72" s="36"/>
      <c r="CJ72" s="36"/>
      <c r="CK72" s="36"/>
      <c r="CL72" s="36"/>
      <c r="CM72" s="51"/>
      <c r="CN72" s="36"/>
      <c r="CO72" s="36"/>
      <c r="CP72" s="36"/>
      <c r="CQ72" s="36"/>
      <c r="CR72" s="51"/>
      <c r="CS72" s="36"/>
      <c r="CT72" s="36"/>
      <c r="CU72" s="36"/>
      <c r="CV72" s="36"/>
      <c r="CW72" s="51"/>
      <c r="CX72" s="36"/>
      <c r="CY72" s="36"/>
      <c r="CZ72" s="36"/>
      <c r="DA72" s="36"/>
      <c r="DB72" s="51"/>
      <c r="DC72" s="36"/>
      <c r="DD72" s="36"/>
      <c r="DE72" s="36"/>
      <c r="DF72" s="36"/>
      <c r="DG72" s="51"/>
      <c r="DH72" s="36"/>
      <c r="DI72" s="36"/>
      <c r="DJ72" s="36"/>
      <c r="DK72" s="36"/>
      <c r="DL72" s="51"/>
      <c r="DM72" s="51"/>
      <c r="DN72" s="51"/>
    </row>
    <row r="73" spans="1:118" ht="15.75" customHeight="1">
      <c r="A73" s="182"/>
      <c r="B73" s="51"/>
      <c r="C73" s="99"/>
      <c r="D73" s="101"/>
      <c r="E73" s="102"/>
      <c r="F73" s="51"/>
      <c r="G73" s="103"/>
      <c r="H73" s="103"/>
      <c r="I73" s="104"/>
      <c r="J73" s="101"/>
      <c r="K73" s="101"/>
      <c r="M73" s="51"/>
      <c r="N73" s="51"/>
      <c r="O73" s="51"/>
      <c r="P73" s="51"/>
      <c r="Q73" s="51"/>
      <c r="R73" s="36"/>
      <c r="S73" s="51"/>
      <c r="T73" s="59"/>
      <c r="U73" s="112"/>
      <c r="V73" s="39"/>
      <c r="W73" s="39"/>
      <c r="X73" s="40"/>
      <c r="Y73" s="39"/>
      <c r="Z73" s="41"/>
      <c r="AA73" s="41"/>
      <c r="AB73" s="51"/>
      <c r="AC73" s="51"/>
      <c r="AD73" s="51"/>
      <c r="AE73" s="51"/>
      <c r="AF73" s="51"/>
      <c r="AG73" s="51"/>
      <c r="AH73" s="51"/>
      <c r="AI73" s="106"/>
      <c r="AJ73" s="61"/>
      <c r="AK73" s="106"/>
      <c r="AL73" s="61"/>
      <c r="AM73" s="107"/>
      <c r="AN73" s="99"/>
      <c r="AO73" s="99"/>
      <c r="AP73" s="51"/>
      <c r="AQ73" s="51"/>
      <c r="AR73" s="51"/>
      <c r="AS73" s="101"/>
      <c r="AT73" s="101"/>
      <c r="AU73" s="51"/>
      <c r="AV73" s="51"/>
      <c r="AW73" s="51"/>
      <c r="AX73" s="51"/>
      <c r="AY73" s="106"/>
      <c r="AZ73" s="106"/>
      <c r="BA73" s="106"/>
      <c r="BB73" s="106"/>
      <c r="BC73" s="38"/>
      <c r="BD73" s="38"/>
      <c r="BE73" s="34"/>
      <c r="BF73" s="51"/>
      <c r="BG73" s="36"/>
      <c r="BH73" s="51"/>
      <c r="BI73" s="99"/>
      <c r="BJ73" s="99"/>
      <c r="BK73" s="51"/>
      <c r="BL73" s="51"/>
      <c r="BM73" s="51"/>
      <c r="BN73" s="51"/>
      <c r="BO73" s="99"/>
      <c r="BP73" s="99"/>
      <c r="BQ73" s="99"/>
      <c r="BR73" s="99"/>
      <c r="BS73" s="51"/>
      <c r="BT73" s="99"/>
      <c r="BU73" s="99"/>
      <c r="BV73" s="99"/>
      <c r="BW73" s="51"/>
      <c r="BX73" s="51"/>
      <c r="BY73" s="100"/>
      <c r="BZ73" s="100"/>
      <c r="CA73" s="36"/>
      <c r="CB73" s="36"/>
      <c r="CC73" s="51"/>
      <c r="CD73" s="36"/>
      <c r="CE73" s="36"/>
      <c r="CF73" s="36"/>
      <c r="CG73" s="36"/>
      <c r="CH73" s="51"/>
      <c r="CI73" s="36"/>
      <c r="CJ73" s="36"/>
      <c r="CK73" s="36"/>
      <c r="CL73" s="36"/>
      <c r="CM73" s="51"/>
      <c r="CN73" s="36"/>
      <c r="CO73" s="36"/>
      <c r="CP73" s="36"/>
      <c r="CQ73" s="36"/>
      <c r="CR73" s="51"/>
      <c r="CS73" s="36"/>
      <c r="CT73" s="36"/>
      <c r="CU73" s="36"/>
      <c r="CV73" s="36"/>
      <c r="CW73" s="51"/>
      <c r="CX73" s="36"/>
      <c r="CY73" s="36"/>
      <c r="CZ73" s="36"/>
      <c r="DA73" s="36"/>
      <c r="DB73" s="51"/>
      <c r="DC73" s="36"/>
      <c r="DD73" s="36"/>
      <c r="DE73" s="36"/>
      <c r="DF73" s="36"/>
      <c r="DG73" s="51"/>
      <c r="DH73" s="36"/>
      <c r="DI73" s="36"/>
      <c r="DJ73" s="36"/>
      <c r="DK73" s="36"/>
      <c r="DL73" s="51"/>
      <c r="DM73" s="51"/>
      <c r="DN73" s="51"/>
    </row>
    <row r="74" spans="1:118" ht="15.75" customHeight="1">
      <c r="A74" s="174"/>
      <c r="B74" s="51"/>
      <c r="C74" s="99"/>
      <c r="D74" s="101"/>
      <c r="E74" s="102"/>
      <c r="F74" s="51"/>
      <c r="G74" s="103"/>
      <c r="H74" s="103"/>
      <c r="I74" s="104"/>
      <c r="J74" s="101"/>
      <c r="K74" s="101"/>
      <c r="M74" s="51"/>
      <c r="N74" s="51"/>
      <c r="O74" s="51"/>
      <c r="P74" s="51"/>
      <c r="Q74" s="51"/>
      <c r="R74" s="36"/>
      <c r="S74" s="51"/>
      <c r="T74" s="59"/>
      <c r="U74" s="112"/>
      <c r="V74" s="39"/>
      <c r="W74" s="39"/>
      <c r="X74" s="40"/>
      <c r="Y74" s="39"/>
      <c r="Z74" s="41"/>
      <c r="AA74" s="41"/>
      <c r="AB74" s="51"/>
      <c r="AC74" s="51"/>
      <c r="AD74" s="51"/>
      <c r="AE74" s="51"/>
      <c r="AF74" s="51"/>
      <c r="AG74" s="51"/>
      <c r="AH74" s="51"/>
      <c r="AI74" s="106"/>
      <c r="AJ74" s="61"/>
      <c r="AK74" s="106"/>
      <c r="AL74" s="61"/>
      <c r="AM74" s="107"/>
      <c r="AN74" s="99"/>
      <c r="AO74" s="99"/>
      <c r="AP74" s="51"/>
      <c r="AQ74" s="51"/>
      <c r="AR74" s="51"/>
      <c r="AS74" s="101"/>
      <c r="AT74" s="101"/>
      <c r="AU74" s="51"/>
      <c r="AV74" s="51"/>
      <c r="AW74" s="51"/>
      <c r="AX74" s="51"/>
      <c r="AY74" s="106"/>
      <c r="AZ74" s="106"/>
      <c r="BA74" s="106"/>
      <c r="BB74" s="106"/>
      <c r="BC74" s="38"/>
      <c r="BD74" s="38"/>
      <c r="BE74" s="34"/>
      <c r="BF74" s="51"/>
      <c r="BG74" s="36"/>
      <c r="BH74" s="51"/>
      <c r="BI74" s="99"/>
      <c r="BJ74" s="99"/>
      <c r="BK74" s="51"/>
      <c r="BL74" s="51"/>
      <c r="BM74" s="51"/>
      <c r="BN74" s="51"/>
      <c r="BO74" s="99"/>
      <c r="BP74" s="99"/>
      <c r="BQ74" s="99"/>
      <c r="BR74" s="99"/>
      <c r="BS74" s="51"/>
      <c r="BT74" s="99"/>
      <c r="BU74" s="99"/>
      <c r="BV74" s="99"/>
      <c r="BW74" s="51"/>
      <c r="BX74" s="51"/>
      <c r="BY74" s="100"/>
      <c r="BZ74" s="100"/>
      <c r="CA74" s="36"/>
      <c r="CB74" s="36"/>
      <c r="CC74" s="51"/>
      <c r="CD74" s="36"/>
      <c r="CE74" s="36"/>
      <c r="CF74" s="36"/>
      <c r="CG74" s="36"/>
      <c r="CH74" s="51"/>
      <c r="CI74" s="36"/>
      <c r="CJ74" s="36"/>
      <c r="CK74" s="36"/>
      <c r="CL74" s="36"/>
      <c r="CM74" s="51"/>
      <c r="CN74" s="36"/>
      <c r="CO74" s="36"/>
      <c r="CP74" s="36"/>
      <c r="CQ74" s="36"/>
      <c r="CR74" s="51"/>
      <c r="CS74" s="36"/>
      <c r="CT74" s="36"/>
      <c r="CU74" s="36"/>
      <c r="CV74" s="36"/>
      <c r="CW74" s="51"/>
      <c r="CX74" s="36"/>
      <c r="CY74" s="36"/>
      <c r="CZ74" s="36"/>
      <c r="DA74" s="36"/>
      <c r="DB74" s="51"/>
      <c r="DC74" s="36"/>
      <c r="DD74" s="36"/>
      <c r="DE74" s="36"/>
      <c r="DF74" s="36"/>
      <c r="DG74" s="51"/>
      <c r="DH74" s="36"/>
      <c r="DI74" s="36"/>
      <c r="DJ74" s="36"/>
      <c r="DK74" s="36"/>
      <c r="DL74" s="51"/>
      <c r="DM74" s="51"/>
      <c r="DN74" s="51"/>
    </row>
    <row r="75" spans="1:118" ht="15.75" customHeight="1">
      <c r="A75" s="174"/>
      <c r="B75" s="51"/>
      <c r="C75" s="99"/>
      <c r="D75" s="101"/>
      <c r="E75" s="102"/>
      <c r="F75" s="51"/>
      <c r="G75" s="103"/>
      <c r="H75" s="103"/>
      <c r="I75" s="104"/>
      <c r="J75" s="101"/>
      <c r="K75" s="101"/>
      <c r="M75" s="51"/>
      <c r="N75" s="51"/>
      <c r="O75" s="51"/>
      <c r="P75" s="51"/>
      <c r="Q75" s="51"/>
      <c r="R75" s="36"/>
      <c r="S75" s="51"/>
      <c r="T75" s="59"/>
      <c r="U75" s="112"/>
      <c r="V75" s="39"/>
      <c r="W75" s="39"/>
      <c r="X75" s="40"/>
      <c r="Y75" s="39"/>
      <c r="Z75" s="41"/>
      <c r="AA75" s="41"/>
      <c r="AB75" s="51"/>
      <c r="AC75" s="51"/>
      <c r="AD75" s="51"/>
      <c r="AE75" s="51"/>
      <c r="AF75" s="51"/>
      <c r="AG75" s="51"/>
      <c r="AH75" s="51"/>
      <c r="AI75" s="106"/>
      <c r="AJ75" s="61"/>
      <c r="AK75" s="106"/>
      <c r="AL75" s="61"/>
      <c r="AM75" s="107"/>
      <c r="AN75" s="99"/>
      <c r="AO75" s="99"/>
      <c r="AP75" s="51"/>
      <c r="AQ75" s="51"/>
      <c r="AR75" s="51"/>
      <c r="AS75" s="101"/>
      <c r="AT75" s="101"/>
      <c r="AU75" s="51"/>
      <c r="AV75" s="51"/>
      <c r="AW75" s="51"/>
      <c r="AX75" s="51"/>
      <c r="AY75" s="106"/>
      <c r="AZ75" s="106"/>
      <c r="BA75" s="106"/>
      <c r="BB75" s="106"/>
      <c r="BC75" s="38"/>
      <c r="BD75" s="38"/>
      <c r="BE75" s="34"/>
      <c r="BF75" s="51"/>
      <c r="BG75" s="36"/>
      <c r="BH75" s="51"/>
      <c r="BI75" s="99"/>
      <c r="BJ75" s="99"/>
      <c r="BK75" s="51"/>
      <c r="BL75" s="51"/>
      <c r="BM75" s="51"/>
      <c r="BN75" s="51"/>
      <c r="BO75" s="99"/>
      <c r="BP75" s="99"/>
      <c r="BQ75" s="99"/>
      <c r="BR75" s="99"/>
      <c r="BS75" s="51"/>
      <c r="BT75" s="99"/>
      <c r="BU75" s="99"/>
      <c r="BV75" s="99"/>
      <c r="BW75" s="51"/>
      <c r="BX75" s="51"/>
      <c r="BY75" s="100"/>
      <c r="BZ75" s="100"/>
      <c r="CA75" s="36"/>
      <c r="CB75" s="36"/>
      <c r="CC75" s="51"/>
      <c r="CD75" s="36"/>
      <c r="CE75" s="36"/>
      <c r="CF75" s="36"/>
      <c r="CG75" s="36"/>
      <c r="CH75" s="51"/>
      <c r="CI75" s="36"/>
      <c r="CJ75" s="36"/>
      <c r="CK75" s="36"/>
      <c r="CL75" s="36"/>
      <c r="CM75" s="51"/>
      <c r="CN75" s="36"/>
      <c r="CO75" s="36"/>
      <c r="CP75" s="36"/>
      <c r="CQ75" s="36"/>
      <c r="CR75" s="51"/>
      <c r="CS75" s="36"/>
      <c r="CT75" s="36"/>
      <c r="CU75" s="36"/>
      <c r="CV75" s="36"/>
      <c r="CW75" s="51"/>
      <c r="CX75" s="36"/>
      <c r="CY75" s="36"/>
      <c r="CZ75" s="36"/>
      <c r="DA75" s="36"/>
      <c r="DB75" s="51"/>
      <c r="DC75" s="36"/>
      <c r="DD75" s="36"/>
      <c r="DE75" s="36"/>
      <c r="DF75" s="36"/>
      <c r="DG75" s="51"/>
      <c r="DH75" s="36"/>
      <c r="DI75" s="36"/>
      <c r="DJ75" s="36"/>
      <c r="DK75" s="36"/>
      <c r="DL75" s="51"/>
      <c r="DM75" s="51"/>
      <c r="DN75" s="51"/>
    </row>
    <row r="76" spans="1:118" ht="15.75" customHeight="1">
      <c r="A76" s="174"/>
      <c r="B76" s="51"/>
      <c r="C76" s="99"/>
      <c r="D76" s="101"/>
      <c r="E76" s="102"/>
      <c r="F76" s="51"/>
      <c r="G76" s="103"/>
      <c r="H76" s="103"/>
      <c r="I76" s="104"/>
      <c r="J76" s="101"/>
      <c r="K76" s="101"/>
      <c r="M76" s="51"/>
      <c r="N76" s="51"/>
      <c r="O76" s="51"/>
      <c r="P76" s="51"/>
      <c r="Q76" s="51"/>
      <c r="R76" s="36"/>
      <c r="S76" s="51"/>
      <c r="T76" s="59"/>
      <c r="U76" s="112"/>
      <c r="V76" s="39"/>
      <c r="W76" s="39"/>
      <c r="X76" s="40"/>
      <c r="Y76" s="39"/>
      <c r="Z76" s="41"/>
      <c r="AA76" s="41"/>
      <c r="AB76" s="51"/>
      <c r="AC76" s="51"/>
      <c r="AD76" s="51"/>
      <c r="AE76" s="51"/>
      <c r="AF76" s="51"/>
      <c r="AG76" s="51"/>
      <c r="AH76" s="51"/>
      <c r="AI76" s="106"/>
      <c r="AJ76" s="61"/>
      <c r="AK76" s="106"/>
      <c r="AL76" s="61"/>
      <c r="AM76" s="107"/>
      <c r="AN76" s="99"/>
      <c r="AO76" s="99"/>
      <c r="AP76" s="51"/>
      <c r="AQ76" s="51"/>
      <c r="AR76" s="51"/>
      <c r="AS76" s="101"/>
      <c r="AT76" s="101"/>
      <c r="AU76" s="51"/>
      <c r="AV76" s="51"/>
      <c r="AW76" s="51"/>
      <c r="AX76" s="51"/>
      <c r="AY76" s="106"/>
      <c r="AZ76" s="106"/>
      <c r="BA76" s="106"/>
      <c r="BB76" s="106"/>
      <c r="BC76" s="38"/>
      <c r="BD76" s="38"/>
      <c r="BE76" s="34"/>
      <c r="BF76" s="51"/>
      <c r="BG76" s="36"/>
      <c r="BH76" s="51"/>
      <c r="BI76" s="99"/>
      <c r="BJ76" s="99"/>
      <c r="BK76" s="51"/>
      <c r="BL76" s="51"/>
      <c r="BM76" s="51"/>
      <c r="BN76" s="51"/>
      <c r="BO76" s="99"/>
      <c r="BP76" s="99"/>
      <c r="BQ76" s="99"/>
      <c r="BR76" s="99"/>
      <c r="BS76" s="51"/>
      <c r="BT76" s="99"/>
      <c r="BU76" s="99"/>
      <c r="BV76" s="99"/>
      <c r="BW76" s="51"/>
      <c r="BX76" s="51"/>
      <c r="BY76" s="100"/>
      <c r="BZ76" s="100"/>
      <c r="CA76" s="36"/>
      <c r="CB76" s="36"/>
      <c r="CC76" s="51"/>
      <c r="CD76" s="36"/>
      <c r="CE76" s="36"/>
      <c r="CF76" s="36"/>
      <c r="CG76" s="36"/>
      <c r="CH76" s="51"/>
      <c r="CI76" s="36"/>
      <c r="CJ76" s="36"/>
      <c r="CK76" s="36"/>
      <c r="CL76" s="36"/>
      <c r="CM76" s="51"/>
      <c r="CN76" s="36"/>
      <c r="CO76" s="36"/>
      <c r="CP76" s="36"/>
      <c r="CQ76" s="36"/>
      <c r="CR76" s="51"/>
      <c r="CS76" s="36"/>
      <c r="CT76" s="36"/>
      <c r="CU76" s="36"/>
      <c r="CV76" s="36"/>
      <c r="CW76" s="51"/>
      <c r="CX76" s="36"/>
      <c r="CY76" s="36"/>
      <c r="CZ76" s="36"/>
      <c r="DA76" s="36"/>
      <c r="DB76" s="51"/>
      <c r="DC76" s="36"/>
      <c r="DD76" s="36"/>
      <c r="DE76" s="36"/>
      <c r="DF76" s="36"/>
      <c r="DG76" s="51"/>
      <c r="DH76" s="36"/>
      <c r="DI76" s="36"/>
      <c r="DJ76" s="36"/>
      <c r="DK76" s="36"/>
      <c r="DL76" s="51"/>
      <c r="DM76" s="51"/>
      <c r="DN76" s="51"/>
    </row>
    <row r="77" spans="1:118" ht="15.75" customHeight="1">
      <c r="A77" s="182"/>
      <c r="B77" s="51"/>
      <c r="C77" s="99"/>
      <c r="D77" s="101"/>
      <c r="E77" s="102"/>
      <c r="F77" s="51"/>
      <c r="G77" s="103"/>
      <c r="H77" s="103"/>
      <c r="I77" s="104"/>
      <c r="J77" s="101"/>
      <c r="K77" s="101"/>
      <c r="M77" s="51"/>
      <c r="N77" s="51"/>
      <c r="O77" s="51"/>
      <c r="P77" s="51"/>
      <c r="Q77" s="51"/>
      <c r="R77" s="36"/>
      <c r="S77" s="51"/>
      <c r="T77" s="59"/>
      <c r="U77" s="112"/>
      <c r="V77" s="39"/>
      <c r="W77" s="39"/>
      <c r="X77" s="40"/>
      <c r="Y77" s="39"/>
      <c r="Z77" s="41"/>
      <c r="AA77" s="41"/>
      <c r="AB77" s="51"/>
      <c r="AC77" s="51"/>
      <c r="AD77" s="51"/>
      <c r="AE77" s="51"/>
      <c r="AF77" s="51"/>
      <c r="AG77" s="51"/>
      <c r="AH77" s="51"/>
      <c r="AI77" s="106"/>
      <c r="AJ77" s="61"/>
      <c r="AK77" s="106"/>
      <c r="AL77" s="61"/>
      <c r="AM77" s="107"/>
      <c r="AN77" s="99"/>
      <c r="AO77" s="99"/>
      <c r="AP77" s="51"/>
      <c r="AQ77" s="51"/>
      <c r="AR77" s="51"/>
      <c r="AS77" s="101"/>
      <c r="AT77" s="101"/>
      <c r="AU77" s="51"/>
      <c r="AV77" s="51"/>
      <c r="AW77" s="51"/>
      <c r="AX77" s="51"/>
      <c r="AY77" s="106"/>
      <c r="AZ77" s="106"/>
      <c r="BA77" s="106"/>
      <c r="BB77" s="106"/>
      <c r="BC77" s="38"/>
      <c r="BD77" s="38"/>
      <c r="BE77" s="34"/>
      <c r="BF77" s="51"/>
      <c r="BG77" s="36"/>
      <c r="BH77" s="51"/>
      <c r="BI77" s="99"/>
      <c r="BJ77" s="99"/>
      <c r="BK77" s="51"/>
      <c r="BL77" s="51"/>
      <c r="BM77" s="51"/>
      <c r="BN77" s="51"/>
      <c r="BO77" s="99"/>
      <c r="BP77" s="99"/>
      <c r="BQ77" s="99"/>
      <c r="BR77" s="99"/>
      <c r="BS77" s="51"/>
      <c r="BT77" s="99"/>
      <c r="BU77" s="99"/>
      <c r="BV77" s="99"/>
      <c r="BW77" s="51"/>
      <c r="BX77" s="51"/>
      <c r="BY77" s="100"/>
      <c r="BZ77" s="100"/>
      <c r="CA77" s="36"/>
      <c r="CB77" s="36"/>
      <c r="CC77" s="51"/>
      <c r="CD77" s="36"/>
      <c r="CE77" s="36"/>
      <c r="CF77" s="36"/>
      <c r="CG77" s="36"/>
      <c r="CH77" s="51"/>
      <c r="CI77" s="36"/>
      <c r="CJ77" s="36"/>
      <c r="CK77" s="36"/>
      <c r="CL77" s="36"/>
      <c r="CM77" s="51"/>
      <c r="CN77" s="36"/>
      <c r="CO77" s="36"/>
      <c r="CP77" s="36"/>
      <c r="CQ77" s="36"/>
      <c r="CR77" s="51"/>
      <c r="CS77" s="36"/>
      <c r="CT77" s="36"/>
      <c r="CU77" s="36"/>
      <c r="CV77" s="36"/>
      <c r="CW77" s="51"/>
      <c r="CX77" s="36"/>
      <c r="CY77" s="36"/>
      <c r="CZ77" s="36"/>
      <c r="DA77" s="36"/>
      <c r="DB77" s="51"/>
      <c r="DC77" s="36"/>
      <c r="DD77" s="36"/>
      <c r="DE77" s="36"/>
      <c r="DF77" s="36"/>
      <c r="DG77" s="51"/>
      <c r="DH77" s="36"/>
      <c r="DI77" s="36"/>
      <c r="DJ77" s="36"/>
      <c r="DK77" s="36"/>
      <c r="DL77" s="51"/>
      <c r="DM77" s="51"/>
      <c r="DN77" s="51"/>
    </row>
    <row r="78" spans="1:118" ht="15.75" customHeight="1">
      <c r="A78" s="174"/>
      <c r="B78" s="51"/>
      <c r="C78" s="99"/>
      <c r="D78" s="101"/>
      <c r="E78" s="102"/>
      <c r="F78" s="51"/>
      <c r="G78" s="103"/>
      <c r="H78" s="103"/>
      <c r="I78" s="104"/>
      <c r="J78" s="101"/>
      <c r="K78" s="101"/>
      <c r="M78" s="51"/>
      <c r="N78" s="51"/>
      <c r="O78" s="51"/>
      <c r="P78" s="51"/>
      <c r="Q78" s="51"/>
      <c r="R78" s="36"/>
      <c r="S78" s="51"/>
      <c r="T78" s="59"/>
      <c r="U78" s="112"/>
      <c r="V78" s="39"/>
      <c r="W78" s="39"/>
      <c r="X78" s="40"/>
      <c r="Y78" s="39"/>
      <c r="Z78" s="41"/>
      <c r="AA78" s="41"/>
      <c r="AB78" s="51"/>
      <c r="AC78" s="51"/>
      <c r="AD78" s="51"/>
      <c r="AE78" s="51"/>
      <c r="AF78" s="51"/>
      <c r="AG78" s="51"/>
      <c r="AH78" s="51"/>
      <c r="AI78" s="106"/>
      <c r="AJ78" s="61"/>
      <c r="AK78" s="106"/>
      <c r="AL78" s="61"/>
      <c r="AM78" s="107"/>
      <c r="AN78" s="99"/>
      <c r="AO78" s="99"/>
      <c r="AP78" s="51"/>
      <c r="AQ78" s="51"/>
      <c r="AR78" s="51"/>
      <c r="AS78" s="101"/>
      <c r="AT78" s="101"/>
      <c r="AU78" s="51"/>
      <c r="AV78" s="51"/>
      <c r="AW78" s="51"/>
      <c r="AX78" s="51"/>
      <c r="AY78" s="106"/>
      <c r="AZ78" s="106"/>
      <c r="BA78" s="106"/>
      <c r="BB78" s="106"/>
      <c r="BC78" s="38"/>
      <c r="BD78" s="38"/>
      <c r="BE78" s="34"/>
      <c r="BF78" s="51"/>
      <c r="BG78" s="36"/>
      <c r="BH78" s="51"/>
      <c r="BI78" s="99"/>
      <c r="BJ78" s="99"/>
      <c r="BK78" s="51"/>
      <c r="BL78" s="51"/>
      <c r="BM78" s="51"/>
      <c r="BN78" s="51"/>
      <c r="BO78" s="99"/>
      <c r="BP78" s="99"/>
      <c r="BQ78" s="99"/>
      <c r="BR78" s="99"/>
      <c r="BS78" s="51"/>
      <c r="BT78" s="99"/>
      <c r="BU78" s="99"/>
      <c r="BV78" s="99"/>
      <c r="BW78" s="51"/>
      <c r="BX78" s="51"/>
      <c r="BY78" s="100"/>
      <c r="BZ78" s="100"/>
      <c r="CA78" s="36"/>
      <c r="CB78" s="36"/>
      <c r="CC78" s="51"/>
      <c r="CD78" s="36"/>
      <c r="CE78" s="36"/>
      <c r="CF78" s="36"/>
      <c r="CG78" s="36"/>
      <c r="CH78" s="51"/>
      <c r="CI78" s="36"/>
      <c r="CJ78" s="36"/>
      <c r="CK78" s="36"/>
      <c r="CL78" s="36"/>
      <c r="CM78" s="51"/>
      <c r="CN78" s="36"/>
      <c r="CO78" s="36"/>
      <c r="CP78" s="36"/>
      <c r="CQ78" s="36"/>
      <c r="CR78" s="51"/>
      <c r="CS78" s="36"/>
      <c r="CT78" s="36"/>
      <c r="CU78" s="36"/>
      <c r="CV78" s="36"/>
      <c r="CW78" s="51"/>
      <c r="CX78" s="36"/>
      <c r="CY78" s="36"/>
      <c r="CZ78" s="36"/>
      <c r="DA78" s="36"/>
      <c r="DB78" s="51"/>
      <c r="DC78" s="36"/>
      <c r="DD78" s="36"/>
      <c r="DE78" s="36"/>
      <c r="DF78" s="36"/>
      <c r="DG78" s="51"/>
      <c r="DH78" s="36"/>
      <c r="DI78" s="36"/>
      <c r="DJ78" s="36"/>
      <c r="DK78" s="36"/>
      <c r="DL78" s="51"/>
      <c r="DM78" s="51"/>
      <c r="DN78" s="51"/>
    </row>
    <row r="79" spans="1:118" ht="15.75" customHeight="1">
      <c r="A79" s="174"/>
      <c r="B79" s="51"/>
      <c r="C79" s="99"/>
      <c r="D79" s="101"/>
      <c r="E79" s="102"/>
      <c r="F79" s="51"/>
      <c r="G79" s="103"/>
      <c r="H79" s="103"/>
      <c r="I79" s="104"/>
      <c r="J79" s="101"/>
      <c r="K79" s="101"/>
      <c r="M79" s="51"/>
      <c r="N79" s="51"/>
      <c r="O79" s="51"/>
      <c r="P79" s="51"/>
      <c r="Q79" s="51"/>
      <c r="R79" s="36"/>
      <c r="S79" s="51"/>
      <c r="T79" s="59"/>
      <c r="U79" s="112"/>
      <c r="V79" s="39"/>
      <c r="W79" s="39"/>
      <c r="X79" s="40"/>
      <c r="Y79" s="39"/>
      <c r="Z79" s="41"/>
      <c r="AA79" s="41"/>
      <c r="AB79" s="51"/>
      <c r="AC79" s="51"/>
      <c r="AD79" s="51"/>
      <c r="AE79" s="51"/>
      <c r="AF79" s="51"/>
      <c r="AG79" s="51"/>
      <c r="AH79" s="51"/>
      <c r="AI79" s="106"/>
      <c r="AJ79" s="61"/>
      <c r="AK79" s="106"/>
      <c r="AL79" s="61"/>
      <c r="AM79" s="107"/>
      <c r="AN79" s="99"/>
      <c r="AO79" s="99"/>
      <c r="AP79" s="51"/>
      <c r="AQ79" s="51"/>
      <c r="AR79" s="51"/>
      <c r="AS79" s="101"/>
      <c r="AT79" s="101"/>
      <c r="AU79" s="51"/>
      <c r="AV79" s="51"/>
      <c r="AW79" s="51"/>
      <c r="AX79" s="51"/>
      <c r="AY79" s="106"/>
      <c r="AZ79" s="106"/>
      <c r="BA79" s="106"/>
      <c r="BB79" s="106"/>
      <c r="BC79" s="38"/>
      <c r="BD79" s="38"/>
      <c r="BE79" s="34"/>
      <c r="BF79" s="51"/>
      <c r="BG79" s="36"/>
      <c r="BH79" s="51"/>
      <c r="BI79" s="99"/>
      <c r="BJ79" s="99"/>
      <c r="BK79" s="51"/>
      <c r="BL79" s="51"/>
      <c r="BM79" s="51"/>
      <c r="BN79" s="51"/>
      <c r="BO79" s="99"/>
      <c r="BP79" s="99"/>
      <c r="BQ79" s="99"/>
      <c r="BR79" s="99"/>
      <c r="BS79" s="51"/>
      <c r="BT79" s="99"/>
      <c r="BU79" s="99"/>
      <c r="BV79" s="99"/>
      <c r="BW79" s="51"/>
      <c r="BX79" s="51"/>
      <c r="BY79" s="100"/>
      <c r="BZ79" s="100"/>
      <c r="CA79" s="36"/>
      <c r="CB79" s="36"/>
      <c r="CC79" s="51"/>
      <c r="CD79" s="36"/>
      <c r="CE79" s="36"/>
      <c r="CF79" s="36"/>
      <c r="CG79" s="36"/>
      <c r="CH79" s="51"/>
      <c r="CI79" s="36"/>
      <c r="CJ79" s="36"/>
      <c r="CK79" s="36"/>
      <c r="CL79" s="36"/>
      <c r="CM79" s="51"/>
      <c r="CN79" s="36"/>
      <c r="CO79" s="36"/>
      <c r="CP79" s="36"/>
      <c r="CQ79" s="36"/>
      <c r="CR79" s="51"/>
      <c r="CS79" s="36"/>
      <c r="CT79" s="36"/>
      <c r="CU79" s="36"/>
      <c r="CV79" s="36"/>
      <c r="CW79" s="51"/>
      <c r="CX79" s="36"/>
      <c r="CY79" s="36"/>
      <c r="CZ79" s="36"/>
      <c r="DA79" s="36"/>
      <c r="DB79" s="51"/>
      <c r="DC79" s="36"/>
      <c r="DD79" s="36"/>
      <c r="DE79" s="36"/>
      <c r="DF79" s="36"/>
      <c r="DG79" s="51"/>
      <c r="DH79" s="36"/>
      <c r="DI79" s="36"/>
      <c r="DJ79" s="36"/>
      <c r="DK79" s="36"/>
      <c r="DL79" s="51"/>
      <c r="DM79" s="51"/>
      <c r="DN79" s="51"/>
    </row>
    <row r="80" spans="1:118" ht="15.75" customHeight="1">
      <c r="A80" s="174"/>
      <c r="B80" s="51"/>
      <c r="C80" s="99"/>
      <c r="D80" s="101"/>
      <c r="E80" s="102"/>
      <c r="F80" s="51"/>
      <c r="G80" s="103"/>
      <c r="H80" s="103"/>
      <c r="I80" s="104"/>
      <c r="J80" s="101"/>
      <c r="K80" s="101"/>
      <c r="M80" s="51"/>
      <c r="N80" s="51"/>
      <c r="O80" s="51"/>
      <c r="P80" s="51"/>
      <c r="Q80" s="51"/>
      <c r="R80" s="36"/>
      <c r="S80" s="51"/>
      <c r="T80" s="59"/>
      <c r="U80" s="112"/>
      <c r="V80" s="39"/>
      <c r="W80" s="39"/>
      <c r="X80" s="40"/>
      <c r="Y80" s="39"/>
      <c r="Z80" s="41"/>
      <c r="AA80" s="41"/>
      <c r="AB80" s="51"/>
      <c r="AC80" s="51"/>
      <c r="AD80" s="51"/>
      <c r="AE80" s="51"/>
      <c r="AF80" s="51"/>
      <c r="AG80" s="51"/>
      <c r="AH80" s="51"/>
      <c r="AI80" s="106"/>
      <c r="AJ80" s="61"/>
      <c r="AK80" s="106"/>
      <c r="AL80" s="61"/>
      <c r="AM80" s="107"/>
      <c r="AN80" s="99"/>
      <c r="AO80" s="99"/>
      <c r="AP80" s="51"/>
      <c r="AQ80" s="51"/>
      <c r="AR80" s="51"/>
      <c r="AS80" s="101"/>
      <c r="AT80" s="101"/>
      <c r="AU80" s="51"/>
      <c r="AV80" s="51"/>
      <c r="AW80" s="51"/>
      <c r="AX80" s="51"/>
      <c r="AY80" s="106"/>
      <c r="AZ80" s="106"/>
      <c r="BA80" s="106"/>
      <c r="BB80" s="106"/>
      <c r="BC80" s="38"/>
      <c r="BD80" s="38"/>
      <c r="BE80" s="34"/>
      <c r="BF80" s="51"/>
      <c r="BG80" s="36"/>
      <c r="BH80" s="51"/>
      <c r="BI80" s="99"/>
      <c r="BJ80" s="99"/>
      <c r="BK80" s="51"/>
      <c r="BL80" s="51"/>
      <c r="BM80" s="51"/>
      <c r="BN80" s="51"/>
      <c r="BO80" s="99"/>
      <c r="BP80" s="99"/>
      <c r="BQ80" s="99"/>
      <c r="BR80" s="99"/>
      <c r="BS80" s="51"/>
      <c r="BT80" s="99"/>
      <c r="BU80" s="99"/>
      <c r="BV80" s="99"/>
      <c r="BW80" s="51"/>
      <c r="BX80" s="51"/>
      <c r="BY80" s="100"/>
      <c r="BZ80" s="100"/>
      <c r="CA80" s="36"/>
      <c r="CB80" s="36"/>
      <c r="CC80" s="51"/>
      <c r="CD80" s="36"/>
      <c r="CE80" s="36"/>
      <c r="CF80" s="36"/>
      <c r="CG80" s="36"/>
      <c r="CH80" s="51"/>
      <c r="CI80" s="36"/>
      <c r="CJ80" s="36"/>
      <c r="CK80" s="36"/>
      <c r="CL80" s="36"/>
      <c r="CM80" s="51"/>
      <c r="CN80" s="36"/>
      <c r="CO80" s="36"/>
      <c r="CP80" s="36"/>
      <c r="CQ80" s="36"/>
      <c r="CR80" s="51"/>
      <c r="CS80" s="36"/>
      <c r="CT80" s="36"/>
      <c r="CU80" s="36"/>
      <c r="CV80" s="36"/>
      <c r="CW80" s="51"/>
      <c r="CX80" s="36"/>
      <c r="CY80" s="36"/>
      <c r="CZ80" s="36"/>
      <c r="DA80" s="36"/>
      <c r="DB80" s="51"/>
      <c r="DC80" s="36"/>
      <c r="DD80" s="36"/>
      <c r="DE80" s="36"/>
      <c r="DF80" s="36"/>
      <c r="DG80" s="51"/>
      <c r="DH80" s="36"/>
      <c r="DI80" s="36"/>
      <c r="DJ80" s="36"/>
      <c r="DK80" s="36"/>
      <c r="DL80" s="51"/>
      <c r="DM80" s="51"/>
      <c r="DN80" s="51"/>
    </row>
    <row r="81" spans="1:118" ht="15.75" customHeight="1">
      <c r="A81" s="182"/>
      <c r="B81" s="51"/>
      <c r="C81" s="99"/>
      <c r="D81" s="101"/>
      <c r="E81" s="102"/>
      <c r="F81" s="51"/>
      <c r="G81" s="103"/>
      <c r="H81" s="103"/>
      <c r="I81" s="104"/>
      <c r="J81" s="101"/>
      <c r="K81" s="101"/>
      <c r="M81" s="51"/>
      <c r="N81" s="51"/>
      <c r="O81" s="51"/>
      <c r="P81" s="51"/>
      <c r="Q81" s="51"/>
      <c r="R81" s="36"/>
      <c r="S81" s="51"/>
      <c r="T81" s="59"/>
      <c r="U81" s="112"/>
      <c r="V81" s="39"/>
      <c r="W81" s="39"/>
      <c r="X81" s="40"/>
      <c r="Y81" s="39"/>
      <c r="Z81" s="41"/>
      <c r="AA81" s="41"/>
      <c r="AB81" s="51"/>
      <c r="AC81" s="51"/>
      <c r="AD81" s="51"/>
      <c r="AE81" s="51"/>
      <c r="AF81" s="51"/>
      <c r="AG81" s="51"/>
      <c r="AH81" s="51"/>
      <c r="AI81" s="106"/>
      <c r="AJ81" s="61"/>
      <c r="AK81" s="106"/>
      <c r="AL81" s="61"/>
      <c r="AM81" s="107"/>
      <c r="AN81" s="99"/>
      <c r="AO81" s="99"/>
      <c r="AP81" s="51"/>
      <c r="AQ81" s="51"/>
      <c r="AR81" s="51"/>
      <c r="AS81" s="101"/>
      <c r="AT81" s="101"/>
      <c r="AU81" s="51"/>
      <c r="AV81" s="51"/>
      <c r="AW81" s="51"/>
      <c r="AX81" s="51"/>
      <c r="AY81" s="106"/>
      <c r="AZ81" s="106"/>
      <c r="BA81" s="106"/>
      <c r="BB81" s="106"/>
      <c r="BC81" s="38"/>
      <c r="BD81" s="38"/>
      <c r="BE81" s="34"/>
      <c r="BF81" s="51"/>
      <c r="BG81" s="36"/>
      <c r="BH81" s="51"/>
      <c r="BI81" s="99"/>
      <c r="BJ81" s="99"/>
      <c r="BK81" s="51"/>
      <c r="BL81" s="51"/>
      <c r="BM81" s="51"/>
      <c r="BN81" s="51"/>
      <c r="BO81" s="99"/>
      <c r="BP81" s="99"/>
      <c r="BQ81" s="99"/>
      <c r="BR81" s="99"/>
      <c r="BS81" s="51"/>
      <c r="BT81" s="99"/>
      <c r="BU81" s="99"/>
      <c r="BV81" s="99"/>
      <c r="BW81" s="51"/>
      <c r="BX81" s="51"/>
      <c r="BY81" s="100"/>
      <c r="BZ81" s="100"/>
      <c r="CA81" s="36"/>
      <c r="CB81" s="36"/>
      <c r="CC81" s="51"/>
      <c r="CD81" s="36"/>
      <c r="CE81" s="36"/>
      <c r="CF81" s="36"/>
      <c r="CG81" s="36"/>
      <c r="CH81" s="51"/>
      <c r="CI81" s="36"/>
      <c r="CJ81" s="36"/>
      <c r="CK81" s="36"/>
      <c r="CL81" s="36"/>
      <c r="CM81" s="51"/>
      <c r="CN81" s="36"/>
      <c r="CO81" s="36"/>
      <c r="CP81" s="36"/>
      <c r="CQ81" s="36"/>
      <c r="CR81" s="51"/>
      <c r="CS81" s="36"/>
      <c r="CT81" s="36"/>
      <c r="CU81" s="36"/>
      <c r="CV81" s="36"/>
      <c r="CW81" s="51"/>
      <c r="CX81" s="36"/>
      <c r="CY81" s="36"/>
      <c r="CZ81" s="36"/>
      <c r="DA81" s="36"/>
      <c r="DB81" s="51"/>
      <c r="DC81" s="36"/>
      <c r="DD81" s="36"/>
      <c r="DE81" s="36"/>
      <c r="DF81" s="36"/>
      <c r="DG81" s="51"/>
      <c r="DH81" s="36"/>
      <c r="DI81" s="36"/>
      <c r="DJ81" s="36"/>
      <c r="DK81" s="36"/>
      <c r="DL81" s="51"/>
      <c r="DM81" s="51"/>
      <c r="DN81" s="51"/>
    </row>
    <row r="82" spans="1:118" ht="15.75" customHeight="1">
      <c r="A82" s="182"/>
      <c r="B82" s="51"/>
      <c r="C82" s="99"/>
      <c r="D82" s="101"/>
      <c r="E82" s="102"/>
      <c r="F82" s="51"/>
      <c r="G82" s="103"/>
      <c r="H82" s="103"/>
      <c r="I82" s="104"/>
      <c r="J82" s="101"/>
      <c r="K82" s="101"/>
      <c r="M82" s="51"/>
      <c r="N82" s="51"/>
      <c r="O82" s="51"/>
      <c r="P82" s="51"/>
      <c r="Q82" s="51"/>
      <c r="R82" s="36"/>
      <c r="S82" s="51"/>
      <c r="T82" s="59"/>
      <c r="U82" s="112"/>
      <c r="V82" s="39"/>
      <c r="W82" s="39"/>
      <c r="X82" s="40"/>
      <c r="Y82" s="39"/>
      <c r="Z82" s="41"/>
      <c r="AA82" s="41"/>
      <c r="AB82" s="51"/>
      <c r="AC82" s="51"/>
      <c r="AD82" s="51"/>
      <c r="AE82" s="51"/>
      <c r="AF82" s="51"/>
      <c r="AG82" s="51"/>
      <c r="AH82" s="51"/>
      <c r="AI82" s="106"/>
      <c r="AJ82" s="61"/>
      <c r="AK82" s="106"/>
      <c r="AL82" s="61"/>
      <c r="AM82" s="107"/>
      <c r="AN82" s="99"/>
      <c r="AO82" s="99"/>
      <c r="AP82" s="51"/>
      <c r="AQ82" s="51"/>
      <c r="AR82" s="51"/>
      <c r="AS82" s="101"/>
      <c r="AT82" s="101"/>
      <c r="AU82" s="51"/>
      <c r="AV82" s="51"/>
      <c r="AW82" s="51"/>
      <c r="AX82" s="51"/>
      <c r="AY82" s="106"/>
      <c r="AZ82" s="106"/>
      <c r="BA82" s="106"/>
      <c r="BB82" s="106"/>
      <c r="BC82" s="38"/>
      <c r="BD82" s="38"/>
      <c r="BE82" s="34"/>
      <c r="BF82" s="51"/>
      <c r="BG82" s="36"/>
      <c r="BH82" s="51"/>
      <c r="BI82" s="99"/>
      <c r="BJ82" s="99"/>
      <c r="BK82" s="51"/>
      <c r="BL82" s="51"/>
      <c r="BM82" s="51"/>
      <c r="BN82" s="51"/>
      <c r="BO82" s="99"/>
      <c r="BP82" s="99"/>
      <c r="BQ82" s="99"/>
      <c r="BR82" s="99"/>
      <c r="BS82" s="51"/>
      <c r="BT82" s="99"/>
      <c r="BU82" s="99"/>
      <c r="BV82" s="99"/>
      <c r="BW82" s="51"/>
      <c r="BX82" s="51"/>
      <c r="BY82" s="100"/>
      <c r="BZ82" s="100"/>
      <c r="CA82" s="36"/>
      <c r="CB82" s="36"/>
      <c r="CC82" s="51"/>
      <c r="CD82" s="36"/>
      <c r="CE82" s="36"/>
      <c r="CF82" s="36"/>
      <c r="CG82" s="36"/>
      <c r="CH82" s="51"/>
      <c r="CI82" s="36"/>
      <c r="CJ82" s="36"/>
      <c r="CK82" s="36"/>
      <c r="CL82" s="36"/>
      <c r="CM82" s="51"/>
      <c r="CN82" s="36"/>
      <c r="CO82" s="36"/>
      <c r="CP82" s="36"/>
      <c r="CQ82" s="36"/>
      <c r="CR82" s="51"/>
      <c r="CS82" s="36"/>
      <c r="CT82" s="36"/>
      <c r="CU82" s="36"/>
      <c r="CV82" s="36"/>
      <c r="CW82" s="51"/>
      <c r="CX82" s="36"/>
      <c r="CY82" s="36"/>
      <c r="CZ82" s="36"/>
      <c r="DA82" s="36"/>
      <c r="DB82" s="51"/>
      <c r="DC82" s="36"/>
      <c r="DD82" s="36"/>
      <c r="DE82" s="36"/>
      <c r="DF82" s="36"/>
      <c r="DG82" s="51"/>
      <c r="DH82" s="36"/>
      <c r="DI82" s="36"/>
      <c r="DJ82" s="36"/>
      <c r="DK82" s="36"/>
      <c r="DL82" s="51"/>
      <c r="DM82" s="51"/>
      <c r="DN82" s="51"/>
    </row>
    <row r="83" spans="1:118" ht="15.75" customHeight="1">
      <c r="A83" s="174"/>
      <c r="B83" s="51"/>
      <c r="C83" s="99"/>
      <c r="D83" s="101"/>
      <c r="E83" s="102"/>
      <c r="F83" s="51"/>
      <c r="G83" s="103"/>
      <c r="H83" s="103"/>
      <c r="I83" s="104"/>
      <c r="J83" s="101"/>
      <c r="K83" s="101"/>
      <c r="M83" s="51"/>
      <c r="N83" s="51"/>
      <c r="O83" s="51"/>
      <c r="P83" s="51"/>
      <c r="Q83" s="51"/>
      <c r="R83" s="36"/>
      <c r="S83" s="51"/>
      <c r="T83" s="59"/>
      <c r="U83" s="112"/>
      <c r="V83" s="39"/>
      <c r="W83" s="39"/>
      <c r="X83" s="40"/>
      <c r="Y83" s="39"/>
      <c r="Z83" s="41"/>
      <c r="AA83" s="41"/>
      <c r="AB83" s="51"/>
      <c r="AC83" s="51"/>
      <c r="AD83" s="51"/>
      <c r="AE83" s="51"/>
      <c r="AF83" s="51"/>
      <c r="AG83" s="51"/>
      <c r="AH83" s="51"/>
      <c r="AI83" s="106"/>
      <c r="AJ83" s="61"/>
      <c r="AK83" s="106"/>
      <c r="AL83" s="61"/>
      <c r="AM83" s="107"/>
      <c r="AN83" s="99"/>
      <c r="AO83" s="99"/>
      <c r="AP83" s="51"/>
      <c r="AQ83" s="51"/>
      <c r="AR83" s="51"/>
      <c r="AS83" s="101"/>
      <c r="AT83" s="101"/>
      <c r="AU83" s="51"/>
      <c r="AV83" s="51"/>
      <c r="AW83" s="51"/>
      <c r="AX83" s="51"/>
      <c r="AY83" s="106"/>
      <c r="AZ83" s="106"/>
      <c r="BA83" s="106"/>
      <c r="BB83" s="106"/>
      <c r="BC83" s="38"/>
      <c r="BD83" s="38"/>
      <c r="BE83" s="34"/>
      <c r="BF83" s="51"/>
      <c r="BG83" s="36"/>
      <c r="BH83" s="51"/>
      <c r="BI83" s="99"/>
      <c r="BJ83" s="99"/>
      <c r="BK83" s="51"/>
      <c r="BL83" s="51"/>
      <c r="BM83" s="51"/>
      <c r="BN83" s="51"/>
      <c r="BO83" s="99"/>
      <c r="BP83" s="99"/>
      <c r="BQ83" s="99"/>
      <c r="BR83" s="99"/>
      <c r="BS83" s="51"/>
      <c r="BT83" s="99"/>
      <c r="BU83" s="99"/>
      <c r="BV83" s="99"/>
      <c r="BW83" s="51"/>
      <c r="BX83" s="51"/>
      <c r="BY83" s="100"/>
      <c r="BZ83" s="100"/>
      <c r="CA83" s="36"/>
      <c r="CB83" s="36"/>
      <c r="CC83" s="51"/>
      <c r="CD83" s="36"/>
      <c r="CE83" s="36"/>
      <c r="CF83" s="36"/>
      <c r="CG83" s="36"/>
      <c r="CH83" s="51"/>
      <c r="CI83" s="36"/>
      <c r="CJ83" s="36"/>
      <c r="CK83" s="36"/>
      <c r="CL83" s="36"/>
      <c r="CM83" s="51"/>
      <c r="CN83" s="36"/>
      <c r="CO83" s="36"/>
      <c r="CP83" s="36"/>
      <c r="CQ83" s="36"/>
      <c r="CR83" s="51"/>
      <c r="CS83" s="36"/>
      <c r="CT83" s="36"/>
      <c r="CU83" s="36"/>
      <c r="CV83" s="36"/>
      <c r="CW83" s="51"/>
      <c r="CX83" s="36"/>
      <c r="CY83" s="36"/>
      <c r="CZ83" s="36"/>
      <c r="DA83" s="36"/>
      <c r="DB83" s="51"/>
      <c r="DC83" s="36"/>
      <c r="DD83" s="36"/>
      <c r="DE83" s="36"/>
      <c r="DF83" s="36"/>
      <c r="DG83" s="51"/>
      <c r="DH83" s="36"/>
      <c r="DI83" s="36"/>
      <c r="DJ83" s="36"/>
      <c r="DK83" s="36"/>
      <c r="DL83" s="51"/>
      <c r="DM83" s="51"/>
      <c r="DN83" s="51"/>
    </row>
    <row r="84" spans="1:118" ht="15.75" customHeight="1">
      <c r="A84" s="174"/>
      <c r="B84" s="51"/>
      <c r="C84" s="99"/>
      <c r="D84" s="101"/>
      <c r="E84" s="102"/>
      <c r="F84" s="51"/>
      <c r="G84" s="103"/>
      <c r="H84" s="103"/>
      <c r="I84" s="104"/>
      <c r="J84" s="101"/>
      <c r="K84" s="101"/>
      <c r="M84" s="51"/>
      <c r="N84" s="51"/>
      <c r="O84" s="51"/>
      <c r="P84" s="51"/>
      <c r="Q84" s="51"/>
      <c r="R84" s="36"/>
      <c r="S84" s="51"/>
      <c r="T84" s="59"/>
      <c r="U84" s="112"/>
      <c r="V84" s="39"/>
      <c r="W84" s="39"/>
      <c r="X84" s="40"/>
      <c r="Y84" s="39"/>
      <c r="Z84" s="41"/>
      <c r="AA84" s="41"/>
      <c r="AB84" s="51"/>
      <c r="AC84" s="51"/>
      <c r="AD84" s="51"/>
      <c r="AE84" s="51"/>
      <c r="AF84" s="51"/>
      <c r="AG84" s="51"/>
      <c r="AH84" s="51"/>
      <c r="AI84" s="106"/>
      <c r="AJ84" s="61"/>
      <c r="AK84" s="106"/>
      <c r="AL84" s="61"/>
      <c r="AM84" s="107"/>
      <c r="AN84" s="99"/>
      <c r="AO84" s="99"/>
      <c r="AP84" s="51"/>
      <c r="AQ84" s="51"/>
      <c r="AR84" s="51"/>
      <c r="AS84" s="101"/>
      <c r="AT84" s="101"/>
      <c r="AU84" s="51"/>
      <c r="AV84" s="51"/>
      <c r="AW84" s="51"/>
      <c r="AX84" s="51"/>
      <c r="AY84" s="106"/>
      <c r="AZ84" s="106"/>
      <c r="BA84" s="106"/>
      <c r="BB84" s="106"/>
      <c r="BC84" s="38"/>
      <c r="BD84" s="38"/>
      <c r="BE84" s="34"/>
      <c r="BF84" s="51"/>
      <c r="BG84" s="36"/>
      <c r="BH84" s="51"/>
      <c r="BI84" s="99"/>
      <c r="BJ84" s="99"/>
      <c r="BK84" s="51"/>
      <c r="BL84" s="51"/>
      <c r="BM84" s="51"/>
      <c r="BN84" s="51"/>
      <c r="BO84" s="99"/>
      <c r="BP84" s="99"/>
      <c r="BQ84" s="99"/>
      <c r="BR84" s="99"/>
      <c r="BS84" s="51"/>
      <c r="BT84" s="99"/>
      <c r="BU84" s="99"/>
      <c r="BV84" s="99"/>
      <c r="BW84" s="51"/>
      <c r="BX84" s="51"/>
      <c r="BY84" s="100"/>
      <c r="BZ84" s="100"/>
      <c r="CA84" s="36"/>
      <c r="CB84" s="36"/>
      <c r="CC84" s="51"/>
      <c r="CD84" s="36"/>
      <c r="CE84" s="36"/>
      <c r="CF84" s="36"/>
      <c r="CG84" s="36"/>
      <c r="CH84" s="51"/>
      <c r="CI84" s="36"/>
      <c r="CJ84" s="36"/>
      <c r="CK84" s="36"/>
      <c r="CL84" s="36"/>
      <c r="CM84" s="51"/>
      <c r="CN84" s="36"/>
      <c r="CO84" s="36"/>
      <c r="CP84" s="36"/>
      <c r="CQ84" s="36"/>
      <c r="CR84" s="51"/>
      <c r="CS84" s="36"/>
      <c r="CT84" s="36"/>
      <c r="CU84" s="36"/>
      <c r="CV84" s="36"/>
      <c r="CW84" s="51"/>
      <c r="CX84" s="36"/>
      <c r="CY84" s="36"/>
      <c r="CZ84" s="36"/>
      <c r="DA84" s="36"/>
      <c r="DB84" s="51"/>
      <c r="DC84" s="36"/>
      <c r="DD84" s="36"/>
      <c r="DE84" s="36"/>
      <c r="DF84" s="36"/>
      <c r="DG84" s="51"/>
      <c r="DH84" s="36"/>
      <c r="DI84" s="36"/>
      <c r="DJ84" s="36"/>
      <c r="DK84" s="36"/>
      <c r="DL84" s="51"/>
      <c r="DM84" s="51"/>
      <c r="DN84" s="51"/>
    </row>
    <row r="85" spans="1:118" ht="15.75" customHeight="1">
      <c r="A85" s="182"/>
      <c r="B85" s="51"/>
      <c r="C85" s="99"/>
      <c r="D85" s="101"/>
      <c r="E85" s="102"/>
      <c r="F85" s="51"/>
      <c r="G85" s="103"/>
      <c r="H85" s="103"/>
      <c r="I85" s="104"/>
      <c r="J85" s="101"/>
      <c r="K85" s="101"/>
      <c r="M85" s="51"/>
      <c r="N85" s="51"/>
      <c r="O85" s="51"/>
      <c r="P85" s="51"/>
      <c r="Q85" s="51"/>
      <c r="R85" s="36"/>
      <c r="S85" s="51"/>
      <c r="T85" s="59"/>
      <c r="U85" s="112"/>
      <c r="V85" s="39"/>
      <c r="W85" s="39"/>
      <c r="X85" s="40"/>
      <c r="Y85" s="39"/>
      <c r="Z85" s="41"/>
      <c r="AA85" s="41"/>
      <c r="AB85" s="51"/>
      <c r="AC85" s="51"/>
      <c r="AD85" s="51"/>
      <c r="AE85" s="51"/>
      <c r="AF85" s="51"/>
      <c r="AG85" s="51"/>
      <c r="AH85" s="51"/>
      <c r="AI85" s="106"/>
      <c r="AJ85" s="61"/>
      <c r="AK85" s="106"/>
      <c r="AL85" s="61"/>
      <c r="AM85" s="107"/>
      <c r="AN85" s="99"/>
      <c r="AO85" s="99"/>
      <c r="AP85" s="51"/>
      <c r="AQ85" s="51"/>
      <c r="AR85" s="51"/>
      <c r="AS85" s="101"/>
      <c r="AT85" s="101"/>
      <c r="AU85" s="51"/>
      <c r="AV85" s="51"/>
      <c r="AW85" s="51"/>
      <c r="AX85" s="51"/>
      <c r="AY85" s="106"/>
      <c r="AZ85" s="106"/>
      <c r="BA85" s="106"/>
      <c r="BB85" s="106"/>
      <c r="BC85" s="38"/>
      <c r="BD85" s="38"/>
      <c r="BE85" s="34"/>
      <c r="BF85" s="51"/>
      <c r="BG85" s="36"/>
      <c r="BH85" s="51"/>
      <c r="BI85" s="99"/>
      <c r="BJ85" s="99"/>
      <c r="BK85" s="51"/>
      <c r="BL85" s="51"/>
      <c r="BM85" s="51"/>
      <c r="BN85" s="51"/>
      <c r="BO85" s="99"/>
      <c r="BP85" s="99"/>
      <c r="BQ85" s="99"/>
      <c r="BR85" s="99"/>
      <c r="BS85" s="51"/>
      <c r="BT85" s="99"/>
      <c r="BU85" s="99"/>
      <c r="BV85" s="99"/>
      <c r="BW85" s="51"/>
      <c r="BX85" s="51"/>
      <c r="BY85" s="100"/>
      <c r="BZ85" s="100"/>
      <c r="CA85" s="36"/>
      <c r="CB85" s="36"/>
      <c r="CC85" s="51"/>
      <c r="CD85" s="36"/>
      <c r="CE85" s="36"/>
      <c r="CF85" s="36"/>
      <c r="CG85" s="36"/>
      <c r="CH85" s="51"/>
      <c r="CI85" s="36"/>
      <c r="CJ85" s="36"/>
      <c r="CK85" s="36"/>
      <c r="CL85" s="36"/>
      <c r="CM85" s="51"/>
      <c r="CN85" s="36"/>
      <c r="CO85" s="36"/>
      <c r="CP85" s="36"/>
      <c r="CQ85" s="36"/>
      <c r="CR85" s="51"/>
      <c r="CS85" s="36"/>
      <c r="CT85" s="36"/>
      <c r="CU85" s="36"/>
      <c r="CV85" s="36"/>
      <c r="CW85" s="51"/>
      <c r="CX85" s="36"/>
      <c r="CY85" s="36"/>
      <c r="CZ85" s="36"/>
      <c r="DA85" s="36"/>
      <c r="DB85" s="51"/>
      <c r="DC85" s="36"/>
      <c r="DD85" s="36"/>
      <c r="DE85" s="36"/>
      <c r="DF85" s="36"/>
      <c r="DG85" s="51"/>
      <c r="DH85" s="36"/>
      <c r="DI85" s="36"/>
      <c r="DJ85" s="36"/>
      <c r="DK85" s="36"/>
      <c r="DL85" s="51"/>
      <c r="DM85" s="51"/>
      <c r="DN85" s="51"/>
    </row>
    <row r="86" spans="1:118" ht="15.75" customHeight="1">
      <c r="A86" s="182"/>
      <c r="B86" s="51"/>
      <c r="C86" s="99"/>
      <c r="D86" s="101"/>
      <c r="E86" s="102"/>
      <c r="F86" s="51"/>
      <c r="G86" s="103"/>
      <c r="H86" s="103"/>
      <c r="I86" s="104"/>
      <c r="J86" s="101"/>
      <c r="K86" s="101"/>
      <c r="M86" s="51"/>
      <c r="N86" s="51"/>
      <c r="O86" s="51"/>
      <c r="P86" s="51"/>
      <c r="Q86" s="51"/>
      <c r="R86" s="36"/>
      <c r="S86" s="51"/>
      <c r="T86" s="59"/>
      <c r="U86" s="112"/>
      <c r="V86" s="39"/>
      <c r="W86" s="39"/>
      <c r="X86" s="40"/>
      <c r="Y86" s="39"/>
      <c r="Z86" s="41"/>
      <c r="AA86" s="41"/>
      <c r="AB86" s="51"/>
      <c r="AC86" s="51"/>
      <c r="AD86" s="51"/>
      <c r="AE86" s="51"/>
      <c r="AF86" s="51"/>
      <c r="AG86" s="51"/>
      <c r="AH86" s="51"/>
      <c r="AI86" s="106"/>
      <c r="AJ86" s="61"/>
      <c r="AK86" s="106"/>
      <c r="AL86" s="61"/>
      <c r="AM86" s="107"/>
      <c r="AN86" s="99"/>
      <c r="AO86" s="99"/>
      <c r="AP86" s="51"/>
      <c r="AQ86" s="51"/>
      <c r="AR86" s="51"/>
      <c r="AS86" s="101"/>
      <c r="AT86" s="101"/>
      <c r="AU86" s="51"/>
      <c r="AV86" s="51"/>
      <c r="AW86" s="51"/>
      <c r="AX86" s="51"/>
      <c r="AY86" s="106"/>
      <c r="AZ86" s="106"/>
      <c r="BA86" s="106"/>
      <c r="BB86" s="106"/>
      <c r="BC86" s="38"/>
      <c r="BD86" s="38"/>
      <c r="BE86" s="34"/>
      <c r="BF86" s="51"/>
      <c r="BG86" s="36"/>
      <c r="BH86" s="51"/>
      <c r="BI86" s="99"/>
      <c r="BJ86" s="99"/>
      <c r="BK86" s="51"/>
      <c r="BL86" s="51"/>
      <c r="BM86" s="51"/>
      <c r="BN86" s="51"/>
      <c r="BO86" s="99"/>
      <c r="BP86" s="99"/>
      <c r="BQ86" s="99"/>
      <c r="BR86" s="99"/>
      <c r="BS86" s="51"/>
      <c r="BT86" s="99"/>
      <c r="BU86" s="99"/>
      <c r="BV86" s="99"/>
      <c r="BW86" s="51"/>
      <c r="BX86" s="51"/>
      <c r="BY86" s="100"/>
      <c r="BZ86" s="100"/>
      <c r="CA86" s="36"/>
      <c r="CB86" s="36"/>
      <c r="CC86" s="51"/>
      <c r="CD86" s="36"/>
      <c r="CE86" s="36"/>
      <c r="CF86" s="36"/>
      <c r="CG86" s="36"/>
      <c r="CH86" s="51"/>
      <c r="CI86" s="36"/>
      <c r="CJ86" s="36"/>
      <c r="CK86" s="36"/>
      <c r="CL86" s="36"/>
      <c r="CM86" s="51"/>
      <c r="CN86" s="36"/>
      <c r="CO86" s="36"/>
      <c r="CP86" s="36"/>
      <c r="CQ86" s="36"/>
      <c r="CR86" s="51"/>
      <c r="CS86" s="36"/>
      <c r="CT86" s="36"/>
      <c r="CU86" s="36"/>
      <c r="CV86" s="36"/>
      <c r="CW86" s="51"/>
      <c r="CX86" s="36"/>
      <c r="CY86" s="36"/>
      <c r="CZ86" s="36"/>
      <c r="DA86" s="36"/>
      <c r="DB86" s="51"/>
      <c r="DC86" s="36"/>
      <c r="DD86" s="36"/>
      <c r="DE86" s="36"/>
      <c r="DF86" s="36"/>
      <c r="DG86" s="51"/>
      <c r="DH86" s="36"/>
      <c r="DI86" s="36"/>
      <c r="DJ86" s="36"/>
      <c r="DK86" s="36"/>
      <c r="DL86" s="51"/>
      <c r="DM86" s="51"/>
      <c r="DN86" s="51"/>
    </row>
    <row r="87" spans="1:118" ht="15.75" customHeight="1">
      <c r="A87" s="174"/>
      <c r="B87" s="51"/>
      <c r="C87" s="99"/>
      <c r="D87" s="101"/>
      <c r="E87" s="102"/>
      <c r="F87" s="51"/>
      <c r="G87" s="103"/>
      <c r="H87" s="103"/>
      <c r="I87" s="104"/>
      <c r="J87" s="101"/>
      <c r="K87" s="101"/>
      <c r="M87" s="51"/>
      <c r="N87" s="51"/>
      <c r="O87" s="51"/>
      <c r="P87" s="51"/>
      <c r="Q87" s="51"/>
      <c r="R87" s="36"/>
      <c r="S87" s="51"/>
      <c r="T87" s="59"/>
      <c r="U87" s="112"/>
      <c r="V87" s="39"/>
      <c r="W87" s="39"/>
      <c r="X87" s="40"/>
      <c r="Y87" s="39"/>
      <c r="Z87" s="41"/>
      <c r="AA87" s="41"/>
      <c r="AB87" s="51"/>
      <c r="AC87" s="51"/>
      <c r="AD87" s="51"/>
      <c r="AE87" s="51"/>
      <c r="AF87" s="51"/>
      <c r="AG87" s="51"/>
      <c r="AH87" s="51"/>
      <c r="AI87" s="106"/>
      <c r="AJ87" s="61"/>
      <c r="AK87" s="106"/>
      <c r="AL87" s="61"/>
      <c r="AM87" s="107"/>
      <c r="AN87" s="99"/>
      <c r="AO87" s="99"/>
      <c r="AP87" s="51"/>
      <c r="AQ87" s="51"/>
      <c r="AR87" s="51"/>
      <c r="AS87" s="101"/>
      <c r="AT87" s="101"/>
      <c r="AU87" s="51"/>
      <c r="AV87" s="51"/>
      <c r="AW87" s="51"/>
      <c r="AX87" s="51"/>
      <c r="AY87" s="106"/>
      <c r="AZ87" s="106"/>
      <c r="BA87" s="106"/>
      <c r="BB87" s="106"/>
      <c r="BC87" s="38"/>
      <c r="BD87" s="38"/>
      <c r="BE87" s="34"/>
      <c r="BF87" s="51"/>
      <c r="BG87" s="36"/>
      <c r="BH87" s="51"/>
      <c r="BI87" s="99"/>
      <c r="BJ87" s="99"/>
      <c r="BK87" s="51"/>
      <c r="BL87" s="51"/>
      <c r="BM87" s="51"/>
      <c r="BN87" s="51"/>
      <c r="BO87" s="99"/>
      <c r="BP87" s="99"/>
      <c r="BQ87" s="99"/>
      <c r="BR87" s="99"/>
      <c r="BS87" s="51"/>
      <c r="BT87" s="99"/>
      <c r="BU87" s="99"/>
      <c r="BV87" s="99"/>
      <c r="BW87" s="51"/>
      <c r="BX87" s="51"/>
      <c r="BY87" s="100"/>
      <c r="BZ87" s="100"/>
      <c r="CA87" s="36"/>
      <c r="CB87" s="36"/>
      <c r="CC87" s="51"/>
      <c r="CD87" s="36"/>
      <c r="CE87" s="36"/>
      <c r="CF87" s="36"/>
      <c r="CG87" s="36"/>
      <c r="CH87" s="51"/>
      <c r="CI87" s="36"/>
      <c r="CJ87" s="36"/>
      <c r="CK87" s="36"/>
      <c r="CL87" s="36"/>
      <c r="CM87" s="51"/>
      <c r="CN87" s="36"/>
      <c r="CO87" s="36"/>
      <c r="CP87" s="36"/>
      <c r="CQ87" s="36"/>
      <c r="CR87" s="51"/>
      <c r="CS87" s="36"/>
      <c r="CT87" s="36"/>
      <c r="CU87" s="36"/>
      <c r="CV87" s="36"/>
      <c r="CW87" s="51"/>
      <c r="CX87" s="36"/>
      <c r="CY87" s="36"/>
      <c r="CZ87" s="36"/>
      <c r="DA87" s="36"/>
      <c r="DB87" s="51"/>
      <c r="DC87" s="36"/>
      <c r="DD87" s="36"/>
      <c r="DE87" s="36"/>
      <c r="DF87" s="36"/>
      <c r="DG87" s="51"/>
      <c r="DH87" s="36"/>
      <c r="DI87" s="36"/>
      <c r="DJ87" s="36"/>
      <c r="DK87" s="36"/>
      <c r="DL87" s="51"/>
      <c r="DM87" s="51"/>
      <c r="DN87" s="51"/>
    </row>
    <row r="88" spans="1:118" ht="15.75" customHeight="1">
      <c r="A88" s="182"/>
      <c r="B88" s="51"/>
      <c r="C88" s="99"/>
      <c r="D88" s="101"/>
      <c r="E88" s="102"/>
      <c r="F88" s="51"/>
      <c r="G88" s="103"/>
      <c r="H88" s="103"/>
      <c r="I88" s="104"/>
      <c r="J88" s="101"/>
      <c r="K88" s="101"/>
      <c r="M88" s="51"/>
      <c r="N88" s="51"/>
      <c r="O88" s="51"/>
      <c r="P88" s="51"/>
      <c r="Q88" s="51"/>
      <c r="R88" s="36"/>
      <c r="S88" s="51"/>
      <c r="T88" s="59"/>
      <c r="U88" s="112"/>
      <c r="V88" s="39"/>
      <c r="W88" s="39"/>
      <c r="X88" s="40"/>
      <c r="Y88" s="39"/>
      <c r="Z88" s="41"/>
      <c r="AA88" s="41"/>
      <c r="AB88" s="51"/>
      <c r="AC88" s="51"/>
      <c r="AD88" s="51"/>
      <c r="AE88" s="51"/>
      <c r="AF88" s="51"/>
      <c r="AG88" s="51"/>
      <c r="AH88" s="51"/>
      <c r="AI88" s="106"/>
      <c r="AJ88" s="61"/>
      <c r="AK88" s="106"/>
      <c r="AL88" s="61"/>
      <c r="AM88" s="107"/>
      <c r="AN88" s="99"/>
      <c r="AO88" s="99"/>
      <c r="AP88" s="51"/>
      <c r="AQ88" s="51"/>
      <c r="AR88" s="51"/>
      <c r="AS88" s="101"/>
      <c r="AT88" s="101"/>
      <c r="AU88" s="51"/>
      <c r="AV88" s="51"/>
      <c r="AW88" s="51"/>
      <c r="AX88" s="51"/>
      <c r="AY88" s="106"/>
      <c r="AZ88" s="106"/>
      <c r="BA88" s="106"/>
      <c r="BB88" s="106"/>
      <c r="BC88" s="38"/>
      <c r="BD88" s="38"/>
      <c r="BE88" s="34"/>
      <c r="BF88" s="51"/>
      <c r="BG88" s="36"/>
      <c r="BH88" s="51"/>
      <c r="BI88" s="99"/>
      <c r="BJ88" s="99"/>
      <c r="BK88" s="51"/>
      <c r="BL88" s="51"/>
      <c r="BM88" s="51"/>
      <c r="BN88" s="51"/>
      <c r="BO88" s="99"/>
      <c r="BP88" s="99"/>
      <c r="BQ88" s="99"/>
      <c r="BR88" s="99"/>
      <c r="BS88" s="51"/>
      <c r="BT88" s="99"/>
      <c r="BU88" s="99"/>
      <c r="BV88" s="99"/>
      <c r="BW88" s="51"/>
      <c r="BX88" s="51"/>
      <c r="BY88" s="100"/>
      <c r="BZ88" s="100"/>
      <c r="CA88" s="36"/>
      <c r="CB88" s="36"/>
      <c r="CC88" s="51"/>
      <c r="CD88" s="36"/>
      <c r="CE88" s="36"/>
      <c r="CF88" s="36"/>
      <c r="CG88" s="36"/>
      <c r="CH88" s="51"/>
      <c r="CI88" s="36"/>
      <c r="CJ88" s="36"/>
      <c r="CK88" s="36"/>
      <c r="CL88" s="36"/>
      <c r="CM88" s="51"/>
      <c r="CN88" s="36"/>
      <c r="CO88" s="36"/>
      <c r="CP88" s="36"/>
      <c r="CQ88" s="36"/>
      <c r="CR88" s="51"/>
      <c r="CS88" s="36"/>
      <c r="CT88" s="36"/>
      <c r="CU88" s="36"/>
      <c r="CV88" s="36"/>
      <c r="CW88" s="51"/>
      <c r="CX88" s="36"/>
      <c r="CY88" s="36"/>
      <c r="CZ88" s="36"/>
      <c r="DA88" s="36"/>
      <c r="DB88" s="51"/>
      <c r="DC88" s="36"/>
      <c r="DD88" s="36"/>
      <c r="DE88" s="36"/>
      <c r="DF88" s="36"/>
      <c r="DG88" s="51"/>
      <c r="DH88" s="36"/>
      <c r="DI88" s="36"/>
      <c r="DJ88" s="36"/>
      <c r="DK88" s="36"/>
      <c r="DL88" s="51"/>
      <c r="DM88" s="51"/>
      <c r="DN88" s="51"/>
    </row>
    <row r="89" spans="1:118" ht="15.75" customHeight="1">
      <c r="A89" s="182"/>
      <c r="B89" s="51"/>
      <c r="C89" s="99"/>
      <c r="D89" s="101"/>
      <c r="E89" s="102"/>
      <c r="F89" s="51"/>
      <c r="G89" s="103"/>
      <c r="H89" s="103"/>
      <c r="I89" s="104"/>
      <c r="J89" s="101"/>
      <c r="K89" s="101"/>
      <c r="M89" s="51"/>
      <c r="N89" s="51"/>
      <c r="O89" s="51"/>
      <c r="P89" s="51"/>
      <c r="Q89" s="51"/>
      <c r="R89" s="36"/>
      <c r="S89" s="51"/>
      <c r="T89" s="59"/>
      <c r="U89" s="112"/>
      <c r="V89" s="39"/>
      <c r="W89" s="39"/>
      <c r="X89" s="40"/>
      <c r="Y89" s="39"/>
      <c r="Z89" s="41"/>
      <c r="AA89" s="41"/>
      <c r="AB89" s="51"/>
      <c r="AC89" s="51"/>
      <c r="AD89" s="51"/>
      <c r="AE89" s="51"/>
      <c r="AF89" s="51"/>
      <c r="AG89" s="51"/>
      <c r="AH89" s="51"/>
      <c r="AI89" s="106"/>
      <c r="AJ89" s="61"/>
      <c r="AK89" s="106"/>
      <c r="AL89" s="61"/>
      <c r="AM89" s="107"/>
      <c r="AN89" s="99"/>
      <c r="AO89" s="99"/>
      <c r="AP89" s="51"/>
      <c r="AQ89" s="51"/>
      <c r="AR89" s="51"/>
      <c r="AS89" s="101"/>
      <c r="AT89" s="101"/>
      <c r="AU89" s="51"/>
      <c r="AV89" s="51"/>
      <c r="AW89" s="51"/>
      <c r="AX89" s="51"/>
      <c r="AY89" s="106"/>
      <c r="AZ89" s="106"/>
      <c r="BA89" s="106"/>
      <c r="BB89" s="106"/>
      <c r="BC89" s="38"/>
      <c r="BD89" s="38"/>
      <c r="BE89" s="34"/>
      <c r="BF89" s="51"/>
      <c r="BG89" s="36"/>
      <c r="BH89" s="51"/>
      <c r="BI89" s="99"/>
      <c r="BJ89" s="99"/>
      <c r="BK89" s="51"/>
      <c r="BL89" s="51"/>
      <c r="BM89" s="51"/>
      <c r="BN89" s="51"/>
      <c r="BO89" s="99"/>
      <c r="BP89" s="99"/>
      <c r="BQ89" s="99"/>
      <c r="BR89" s="99"/>
      <c r="BS89" s="51"/>
      <c r="BT89" s="99"/>
      <c r="BU89" s="99"/>
      <c r="BV89" s="99"/>
      <c r="BW89" s="51"/>
      <c r="BX89" s="51"/>
      <c r="BY89" s="100"/>
      <c r="BZ89" s="100"/>
      <c r="CA89" s="36"/>
      <c r="CB89" s="36"/>
      <c r="CC89" s="51"/>
      <c r="CD89" s="36"/>
      <c r="CE89" s="36"/>
      <c r="CF89" s="36"/>
      <c r="CG89" s="36"/>
      <c r="CH89" s="51"/>
      <c r="CI89" s="36"/>
      <c r="CJ89" s="36"/>
      <c r="CK89" s="36"/>
      <c r="CL89" s="36"/>
      <c r="CM89" s="51"/>
      <c r="CN89" s="36"/>
      <c r="CO89" s="36"/>
      <c r="CP89" s="36"/>
      <c r="CQ89" s="36"/>
      <c r="CR89" s="51"/>
      <c r="CS89" s="36"/>
      <c r="CT89" s="36"/>
      <c r="CU89" s="36"/>
      <c r="CV89" s="36"/>
      <c r="CW89" s="51"/>
      <c r="CX89" s="36"/>
      <c r="CY89" s="36"/>
      <c r="CZ89" s="36"/>
      <c r="DA89" s="36"/>
      <c r="DB89" s="51"/>
      <c r="DC89" s="36"/>
      <c r="DD89" s="36"/>
      <c r="DE89" s="36"/>
      <c r="DF89" s="36"/>
      <c r="DG89" s="51"/>
      <c r="DH89" s="36"/>
      <c r="DI89" s="36"/>
      <c r="DJ89" s="36"/>
      <c r="DK89" s="36"/>
      <c r="DL89" s="51"/>
      <c r="DM89" s="51"/>
      <c r="DN89" s="51"/>
    </row>
    <row r="90" spans="1:118" ht="15.75" customHeight="1">
      <c r="A90" s="174"/>
      <c r="B90" s="51"/>
      <c r="C90" s="99"/>
      <c r="D90" s="101"/>
      <c r="E90" s="102"/>
      <c r="F90" s="51"/>
      <c r="G90" s="103"/>
      <c r="H90" s="103"/>
      <c r="I90" s="104"/>
      <c r="J90" s="101"/>
      <c r="K90" s="101"/>
      <c r="M90" s="51"/>
      <c r="N90" s="51"/>
      <c r="O90" s="51"/>
      <c r="P90" s="51"/>
      <c r="Q90" s="51"/>
      <c r="R90" s="36"/>
      <c r="S90" s="51"/>
      <c r="T90" s="59"/>
      <c r="U90" s="112"/>
      <c r="V90" s="39"/>
      <c r="W90" s="39"/>
      <c r="X90" s="40"/>
      <c r="Y90" s="39"/>
      <c r="Z90" s="41"/>
      <c r="AA90" s="41"/>
      <c r="AB90" s="51"/>
      <c r="AC90" s="51"/>
      <c r="AD90" s="51"/>
      <c r="AE90" s="51"/>
      <c r="AF90" s="51"/>
      <c r="AG90" s="51"/>
      <c r="AH90" s="51"/>
      <c r="AI90" s="106"/>
      <c r="AJ90" s="61"/>
      <c r="AK90" s="106"/>
      <c r="AL90" s="61"/>
      <c r="AM90" s="107"/>
      <c r="AN90" s="99"/>
      <c r="AO90" s="99"/>
      <c r="AP90" s="51"/>
      <c r="AQ90" s="51"/>
      <c r="AR90" s="51"/>
      <c r="AS90" s="101"/>
      <c r="AT90" s="101"/>
      <c r="AU90" s="51"/>
      <c r="AV90" s="51"/>
      <c r="AW90" s="51"/>
      <c r="AX90" s="51"/>
      <c r="AY90" s="106"/>
      <c r="AZ90" s="106"/>
      <c r="BA90" s="106"/>
      <c r="BB90" s="106"/>
      <c r="BC90" s="38"/>
      <c r="BD90" s="38"/>
      <c r="BE90" s="34"/>
      <c r="BF90" s="51"/>
      <c r="BG90" s="36"/>
      <c r="BH90" s="51"/>
      <c r="BI90" s="99"/>
      <c r="BJ90" s="99"/>
      <c r="BK90" s="51"/>
      <c r="BL90" s="51"/>
      <c r="BM90" s="51"/>
      <c r="BN90" s="51"/>
      <c r="BO90" s="99"/>
      <c r="BP90" s="99"/>
      <c r="BQ90" s="99"/>
      <c r="BR90" s="99"/>
      <c r="BS90" s="51"/>
      <c r="BT90" s="99"/>
      <c r="BU90" s="99"/>
      <c r="BV90" s="99"/>
      <c r="BW90" s="51"/>
      <c r="BX90" s="51"/>
      <c r="BY90" s="100"/>
      <c r="BZ90" s="100"/>
      <c r="CA90" s="36"/>
      <c r="CB90" s="36"/>
      <c r="CC90" s="51"/>
      <c r="CD90" s="36"/>
      <c r="CE90" s="36"/>
      <c r="CF90" s="36"/>
      <c r="CG90" s="36"/>
      <c r="CH90" s="51"/>
      <c r="CI90" s="36"/>
      <c r="CJ90" s="36"/>
      <c r="CK90" s="36"/>
      <c r="CL90" s="36"/>
      <c r="CM90" s="51"/>
      <c r="CN90" s="36"/>
      <c r="CO90" s="36"/>
      <c r="CP90" s="36"/>
      <c r="CQ90" s="36"/>
      <c r="CR90" s="51"/>
      <c r="CS90" s="36"/>
      <c r="CT90" s="36"/>
      <c r="CU90" s="36"/>
      <c r="CV90" s="36"/>
      <c r="CW90" s="51"/>
      <c r="CX90" s="36"/>
      <c r="CY90" s="36"/>
      <c r="CZ90" s="36"/>
      <c r="DA90" s="36"/>
      <c r="DB90" s="51"/>
      <c r="DC90" s="36"/>
      <c r="DD90" s="36"/>
      <c r="DE90" s="36"/>
      <c r="DF90" s="36"/>
      <c r="DG90" s="51"/>
      <c r="DH90" s="36"/>
      <c r="DI90" s="36"/>
      <c r="DJ90" s="36"/>
      <c r="DK90" s="36"/>
      <c r="DL90" s="51"/>
      <c r="DM90" s="51"/>
      <c r="DN90" s="51"/>
    </row>
    <row r="91" spans="1:118" ht="15.75" customHeight="1">
      <c r="A91" s="174"/>
      <c r="B91" s="51"/>
      <c r="C91" s="99"/>
      <c r="D91" s="101"/>
      <c r="E91" s="102"/>
      <c r="F91" s="51"/>
      <c r="G91" s="103"/>
      <c r="H91" s="103"/>
      <c r="I91" s="104"/>
      <c r="J91" s="101"/>
      <c r="K91" s="101"/>
      <c r="M91" s="51"/>
      <c r="N91" s="51"/>
      <c r="O91" s="51"/>
      <c r="P91" s="51"/>
      <c r="Q91" s="51"/>
      <c r="R91" s="36"/>
      <c r="S91" s="51"/>
      <c r="T91" s="59"/>
      <c r="U91" s="112"/>
      <c r="V91" s="39"/>
      <c r="W91" s="39"/>
      <c r="X91" s="40"/>
      <c r="Y91" s="39"/>
      <c r="Z91" s="41"/>
      <c r="AA91" s="41"/>
      <c r="AB91" s="51"/>
      <c r="AC91" s="51"/>
      <c r="AD91" s="51"/>
      <c r="AE91" s="51"/>
      <c r="AF91" s="51"/>
      <c r="AG91" s="51"/>
      <c r="AH91" s="51"/>
      <c r="AI91" s="106"/>
      <c r="AJ91" s="61"/>
      <c r="AK91" s="106"/>
      <c r="AL91" s="61"/>
      <c r="AM91" s="107"/>
      <c r="AN91" s="99"/>
      <c r="AO91" s="99"/>
      <c r="AP91" s="51"/>
      <c r="AQ91" s="51"/>
      <c r="AR91" s="51"/>
      <c r="AS91" s="101"/>
      <c r="AT91" s="101"/>
      <c r="AU91" s="51"/>
      <c r="AV91" s="51"/>
      <c r="AW91" s="51"/>
      <c r="AX91" s="51"/>
      <c r="AY91" s="106"/>
      <c r="AZ91" s="106"/>
      <c r="BA91" s="106"/>
      <c r="BB91" s="106"/>
      <c r="BC91" s="38"/>
      <c r="BD91" s="38"/>
      <c r="BE91" s="34"/>
      <c r="BF91" s="51"/>
      <c r="BG91" s="36"/>
      <c r="BH91" s="51"/>
      <c r="BI91" s="99"/>
      <c r="BJ91" s="99"/>
      <c r="BK91" s="51"/>
      <c r="BL91" s="51"/>
      <c r="BM91" s="51"/>
      <c r="BN91" s="51"/>
      <c r="BO91" s="99"/>
      <c r="BP91" s="99"/>
      <c r="BQ91" s="99"/>
      <c r="BR91" s="99"/>
      <c r="BS91" s="51"/>
      <c r="BT91" s="99"/>
      <c r="BU91" s="99"/>
      <c r="BV91" s="99"/>
      <c r="BW91" s="51"/>
      <c r="BX91" s="51"/>
      <c r="BY91" s="100"/>
      <c r="BZ91" s="100"/>
      <c r="CA91" s="36"/>
      <c r="CB91" s="36"/>
      <c r="CC91" s="51"/>
      <c r="CD91" s="36"/>
      <c r="CE91" s="36"/>
      <c r="CF91" s="36"/>
      <c r="CG91" s="36"/>
      <c r="CH91" s="51"/>
      <c r="CI91" s="36"/>
      <c r="CJ91" s="36"/>
      <c r="CK91" s="36"/>
      <c r="CL91" s="36"/>
      <c r="CM91" s="51"/>
      <c r="CN91" s="36"/>
      <c r="CO91" s="36"/>
      <c r="CP91" s="36"/>
      <c r="CQ91" s="36"/>
      <c r="CR91" s="51"/>
      <c r="CS91" s="36"/>
      <c r="CT91" s="36"/>
      <c r="CU91" s="36"/>
      <c r="CV91" s="36"/>
      <c r="CW91" s="51"/>
      <c r="CX91" s="36"/>
      <c r="CY91" s="36"/>
      <c r="CZ91" s="36"/>
      <c r="DA91" s="36"/>
      <c r="DB91" s="51"/>
      <c r="DC91" s="36"/>
      <c r="DD91" s="36"/>
      <c r="DE91" s="36"/>
      <c r="DF91" s="36"/>
      <c r="DG91" s="51"/>
      <c r="DH91" s="36"/>
      <c r="DI91" s="36"/>
      <c r="DJ91" s="36"/>
      <c r="DK91" s="36"/>
      <c r="DL91" s="51"/>
      <c r="DM91" s="51"/>
      <c r="DN91" s="51"/>
    </row>
    <row r="92" spans="1:118" ht="15.75" customHeight="1">
      <c r="A92" s="174"/>
      <c r="B92" s="51"/>
      <c r="C92" s="99"/>
      <c r="D92" s="101"/>
      <c r="E92" s="102"/>
      <c r="F92" s="51"/>
      <c r="G92" s="103"/>
      <c r="H92" s="103"/>
      <c r="I92" s="104"/>
      <c r="J92" s="101"/>
      <c r="K92" s="101"/>
      <c r="M92" s="51"/>
      <c r="N92" s="51"/>
      <c r="O92" s="51"/>
      <c r="P92" s="51"/>
      <c r="Q92" s="51"/>
      <c r="R92" s="36"/>
      <c r="S92" s="51"/>
      <c r="T92" s="59"/>
      <c r="U92" s="112"/>
      <c r="V92" s="39"/>
      <c r="W92" s="39"/>
      <c r="X92" s="40"/>
      <c r="Y92" s="39"/>
      <c r="Z92" s="41"/>
      <c r="AA92" s="41"/>
      <c r="AB92" s="51"/>
      <c r="AC92" s="51"/>
      <c r="AD92" s="51"/>
      <c r="AE92" s="51"/>
      <c r="AF92" s="51"/>
      <c r="AG92" s="51"/>
      <c r="AH92" s="51"/>
      <c r="AI92" s="106"/>
      <c r="AJ92" s="61"/>
      <c r="AK92" s="106"/>
      <c r="AL92" s="61"/>
      <c r="AM92" s="107"/>
      <c r="AN92" s="99"/>
      <c r="AO92" s="99"/>
      <c r="AP92" s="51"/>
      <c r="AQ92" s="51"/>
      <c r="AR92" s="51"/>
      <c r="AS92" s="101"/>
      <c r="AT92" s="101"/>
      <c r="AU92" s="51"/>
      <c r="AV92" s="51"/>
      <c r="AW92" s="51"/>
      <c r="AX92" s="51"/>
      <c r="AY92" s="106"/>
      <c r="AZ92" s="106"/>
      <c r="BA92" s="106"/>
      <c r="BB92" s="106"/>
      <c r="BC92" s="38"/>
      <c r="BD92" s="38"/>
      <c r="BE92" s="34"/>
      <c r="BF92" s="51"/>
      <c r="BG92" s="36"/>
      <c r="BH92" s="51"/>
      <c r="BI92" s="99"/>
      <c r="BJ92" s="99"/>
      <c r="BK92" s="51"/>
      <c r="BL92" s="51"/>
      <c r="BM92" s="51"/>
      <c r="BN92" s="51"/>
      <c r="BO92" s="99"/>
      <c r="BP92" s="99"/>
      <c r="BQ92" s="99"/>
      <c r="BR92" s="99"/>
      <c r="BS92" s="51"/>
      <c r="BT92" s="99"/>
      <c r="BU92" s="99"/>
      <c r="BV92" s="99"/>
      <c r="BW92" s="51"/>
      <c r="BX92" s="51"/>
      <c r="BY92" s="100"/>
      <c r="BZ92" s="100"/>
      <c r="CA92" s="36"/>
      <c r="CB92" s="36"/>
      <c r="CC92" s="51"/>
      <c r="CD92" s="36"/>
      <c r="CE92" s="36"/>
      <c r="CF92" s="36"/>
      <c r="CG92" s="36"/>
      <c r="CH92" s="51"/>
      <c r="CI92" s="36"/>
      <c r="CJ92" s="36"/>
      <c r="CK92" s="36"/>
      <c r="CL92" s="36"/>
      <c r="CM92" s="51"/>
      <c r="CN92" s="36"/>
      <c r="CO92" s="36"/>
      <c r="CP92" s="36"/>
      <c r="CQ92" s="36"/>
      <c r="CR92" s="51"/>
      <c r="CS92" s="36"/>
      <c r="CT92" s="36"/>
      <c r="CU92" s="36"/>
      <c r="CV92" s="36"/>
      <c r="CW92" s="51"/>
      <c r="CX92" s="36"/>
      <c r="CY92" s="36"/>
      <c r="CZ92" s="36"/>
      <c r="DA92" s="36"/>
      <c r="DB92" s="51"/>
      <c r="DC92" s="36"/>
      <c r="DD92" s="36"/>
      <c r="DE92" s="36"/>
      <c r="DF92" s="36"/>
      <c r="DG92" s="51"/>
      <c r="DH92" s="36"/>
      <c r="DI92" s="36"/>
      <c r="DJ92" s="36"/>
      <c r="DK92" s="36"/>
      <c r="DL92" s="51"/>
      <c r="DM92" s="51"/>
      <c r="DN92" s="51"/>
    </row>
    <row r="93" spans="1:118" ht="15.75" customHeight="1">
      <c r="A93" s="182"/>
      <c r="B93" s="51"/>
      <c r="C93" s="99"/>
      <c r="D93" s="101"/>
      <c r="E93" s="102"/>
      <c r="F93" s="51"/>
      <c r="G93" s="103"/>
      <c r="H93" s="103"/>
      <c r="I93" s="104"/>
      <c r="J93" s="101"/>
      <c r="K93" s="101"/>
      <c r="M93" s="51"/>
      <c r="N93" s="51"/>
      <c r="O93" s="51"/>
      <c r="P93" s="51"/>
      <c r="Q93" s="51"/>
      <c r="R93" s="36"/>
      <c r="S93" s="51"/>
      <c r="T93" s="59"/>
      <c r="U93" s="112"/>
      <c r="V93" s="39"/>
      <c r="W93" s="39"/>
      <c r="X93" s="40"/>
      <c r="Y93" s="39"/>
      <c r="Z93" s="41"/>
      <c r="AA93" s="41"/>
      <c r="AB93" s="51"/>
      <c r="AC93" s="51"/>
      <c r="AD93" s="51"/>
      <c r="AE93" s="51"/>
      <c r="AF93" s="51"/>
      <c r="AG93" s="51"/>
      <c r="AH93" s="51"/>
      <c r="AI93" s="106"/>
      <c r="AJ93" s="61"/>
      <c r="AK93" s="106"/>
      <c r="AL93" s="61"/>
      <c r="AM93" s="107"/>
      <c r="AN93" s="99"/>
      <c r="AO93" s="99"/>
      <c r="AP93" s="51"/>
      <c r="AQ93" s="51"/>
      <c r="AR93" s="51"/>
      <c r="AS93" s="101"/>
      <c r="AT93" s="101"/>
      <c r="AU93" s="51"/>
      <c r="AV93" s="51"/>
      <c r="AW93" s="51"/>
      <c r="AX93" s="51"/>
      <c r="AY93" s="106"/>
      <c r="AZ93" s="106"/>
      <c r="BA93" s="106"/>
      <c r="BB93" s="106"/>
      <c r="BC93" s="38"/>
      <c r="BD93" s="38"/>
      <c r="BE93" s="34"/>
      <c r="BF93" s="51"/>
      <c r="BG93" s="36"/>
      <c r="BH93" s="51"/>
      <c r="BI93" s="99"/>
      <c r="BJ93" s="99"/>
      <c r="BK93" s="51"/>
      <c r="BL93" s="51"/>
      <c r="BM93" s="51"/>
      <c r="BN93" s="51"/>
      <c r="BO93" s="99"/>
      <c r="BP93" s="99"/>
      <c r="BQ93" s="99"/>
      <c r="BR93" s="99"/>
      <c r="BS93" s="51"/>
      <c r="BT93" s="99"/>
      <c r="BU93" s="99"/>
      <c r="BV93" s="99"/>
      <c r="BW93" s="51"/>
      <c r="BX93" s="51"/>
      <c r="BY93" s="100"/>
      <c r="BZ93" s="100"/>
      <c r="CA93" s="36"/>
      <c r="CB93" s="36"/>
      <c r="CC93" s="51"/>
      <c r="CD93" s="36"/>
      <c r="CE93" s="36"/>
      <c r="CF93" s="36"/>
      <c r="CG93" s="36"/>
      <c r="CH93" s="51"/>
      <c r="CI93" s="36"/>
      <c r="CJ93" s="36"/>
      <c r="CK93" s="36"/>
      <c r="CL93" s="36"/>
      <c r="CM93" s="51"/>
      <c r="CN93" s="36"/>
      <c r="CO93" s="36"/>
      <c r="CP93" s="36"/>
      <c r="CQ93" s="36"/>
      <c r="CR93" s="51"/>
      <c r="CS93" s="36"/>
      <c r="CT93" s="36"/>
      <c r="CU93" s="36"/>
      <c r="CV93" s="36"/>
      <c r="CW93" s="51"/>
      <c r="CX93" s="36"/>
      <c r="CY93" s="36"/>
      <c r="CZ93" s="36"/>
      <c r="DA93" s="36"/>
      <c r="DB93" s="51"/>
      <c r="DC93" s="36"/>
      <c r="DD93" s="36"/>
      <c r="DE93" s="36"/>
      <c r="DF93" s="36"/>
      <c r="DG93" s="51"/>
      <c r="DH93" s="36"/>
      <c r="DI93" s="36"/>
      <c r="DJ93" s="36"/>
      <c r="DK93" s="36"/>
      <c r="DL93" s="51"/>
      <c r="DM93" s="51"/>
      <c r="DN93" s="51"/>
    </row>
    <row r="94" spans="1:118" ht="15.75" customHeight="1">
      <c r="A94" s="182"/>
      <c r="B94" s="51"/>
      <c r="C94" s="99"/>
      <c r="D94" s="101"/>
      <c r="E94" s="102"/>
      <c r="F94" s="51"/>
      <c r="G94" s="103"/>
      <c r="H94" s="103"/>
      <c r="I94" s="104"/>
      <c r="J94" s="101"/>
      <c r="K94" s="101"/>
      <c r="M94" s="51"/>
      <c r="N94" s="51"/>
      <c r="O94" s="51"/>
      <c r="P94" s="51"/>
      <c r="Q94" s="51"/>
      <c r="R94" s="36"/>
      <c r="S94" s="51"/>
      <c r="T94" s="59"/>
      <c r="U94" s="112"/>
      <c r="V94" s="39"/>
      <c r="W94" s="39"/>
      <c r="X94" s="40"/>
      <c r="Y94" s="39"/>
      <c r="Z94" s="41"/>
      <c r="AA94" s="41"/>
      <c r="AB94" s="51"/>
      <c r="AC94" s="51"/>
      <c r="AD94" s="51"/>
      <c r="AE94" s="51"/>
      <c r="AF94" s="51"/>
      <c r="AG94" s="51"/>
      <c r="AH94" s="51"/>
      <c r="AI94" s="106"/>
      <c r="AJ94" s="61"/>
      <c r="AK94" s="106"/>
      <c r="AL94" s="61"/>
      <c r="AM94" s="107"/>
      <c r="AN94" s="99"/>
      <c r="AO94" s="99"/>
      <c r="AP94" s="51"/>
      <c r="AQ94" s="51"/>
      <c r="AR94" s="51"/>
      <c r="AS94" s="101"/>
      <c r="AT94" s="101"/>
      <c r="AU94" s="51"/>
      <c r="AV94" s="51"/>
      <c r="AW94" s="51"/>
      <c r="AX94" s="51"/>
      <c r="AY94" s="106"/>
      <c r="AZ94" s="106"/>
      <c r="BA94" s="106"/>
      <c r="BB94" s="106"/>
      <c r="BC94" s="38"/>
      <c r="BD94" s="38"/>
      <c r="BE94" s="34"/>
      <c r="BF94" s="51"/>
      <c r="BG94" s="36"/>
      <c r="BH94" s="51"/>
      <c r="BI94" s="99"/>
      <c r="BJ94" s="99"/>
      <c r="BK94" s="51"/>
      <c r="BL94" s="51"/>
      <c r="BM94" s="51"/>
      <c r="BN94" s="51"/>
      <c r="BO94" s="99"/>
      <c r="BP94" s="99"/>
      <c r="BQ94" s="99"/>
      <c r="BR94" s="99"/>
      <c r="BS94" s="51"/>
      <c r="BT94" s="99"/>
      <c r="BU94" s="99"/>
      <c r="BV94" s="99"/>
      <c r="BW94" s="51"/>
      <c r="BX94" s="51"/>
      <c r="BY94" s="100"/>
      <c r="BZ94" s="100"/>
      <c r="CA94" s="36"/>
      <c r="CB94" s="36"/>
      <c r="CC94" s="51"/>
      <c r="CD94" s="36"/>
      <c r="CE94" s="36"/>
      <c r="CF94" s="36"/>
      <c r="CG94" s="36"/>
      <c r="CH94" s="51"/>
      <c r="CI94" s="36"/>
      <c r="CJ94" s="36"/>
      <c r="CK94" s="36"/>
      <c r="CL94" s="36"/>
      <c r="CM94" s="51"/>
      <c r="CN94" s="36"/>
      <c r="CO94" s="36"/>
      <c r="CP94" s="36"/>
      <c r="CQ94" s="36"/>
      <c r="CR94" s="51"/>
      <c r="CS94" s="36"/>
      <c r="CT94" s="36"/>
      <c r="CU94" s="36"/>
      <c r="CV94" s="36"/>
      <c r="CW94" s="51"/>
      <c r="CX94" s="36"/>
      <c r="CY94" s="36"/>
      <c r="CZ94" s="36"/>
      <c r="DA94" s="36"/>
      <c r="DB94" s="51"/>
      <c r="DC94" s="36"/>
      <c r="DD94" s="36"/>
      <c r="DE94" s="36"/>
      <c r="DF94" s="36"/>
      <c r="DG94" s="51"/>
      <c r="DH94" s="36"/>
      <c r="DI94" s="36"/>
      <c r="DJ94" s="36"/>
      <c r="DK94" s="36"/>
      <c r="DL94" s="51"/>
      <c r="DM94" s="51"/>
      <c r="DN94" s="51"/>
    </row>
    <row r="95" spans="1:118" ht="15.75" customHeight="1">
      <c r="A95" s="174"/>
      <c r="B95" s="51"/>
      <c r="C95" s="99"/>
      <c r="D95" s="101"/>
      <c r="E95" s="102"/>
      <c r="F95" s="51"/>
      <c r="G95" s="103"/>
      <c r="H95" s="103"/>
      <c r="I95" s="104"/>
      <c r="J95" s="101"/>
      <c r="K95" s="101"/>
      <c r="M95" s="51"/>
      <c r="N95" s="51"/>
      <c r="O95" s="51"/>
      <c r="P95" s="51"/>
      <c r="Q95" s="51"/>
      <c r="R95" s="36"/>
      <c r="S95" s="51"/>
      <c r="T95" s="59"/>
      <c r="U95" s="112"/>
      <c r="V95" s="39"/>
      <c r="W95" s="39"/>
      <c r="X95" s="40"/>
      <c r="Y95" s="39"/>
      <c r="Z95" s="41"/>
      <c r="AA95" s="41"/>
      <c r="AB95" s="51"/>
      <c r="AC95" s="51"/>
      <c r="AD95" s="51"/>
      <c r="AE95" s="51"/>
      <c r="AF95" s="51"/>
      <c r="AG95" s="51"/>
      <c r="AH95" s="51"/>
      <c r="AI95" s="106"/>
      <c r="AJ95" s="61"/>
      <c r="AK95" s="106"/>
      <c r="AL95" s="61"/>
      <c r="AM95" s="107"/>
      <c r="AN95" s="99"/>
      <c r="AO95" s="99"/>
      <c r="AP95" s="51"/>
      <c r="AQ95" s="51"/>
      <c r="AR95" s="51"/>
      <c r="AS95" s="101"/>
      <c r="AT95" s="101"/>
      <c r="AU95" s="51"/>
      <c r="AV95" s="51"/>
      <c r="AW95" s="51"/>
      <c r="AX95" s="51"/>
      <c r="AY95" s="106"/>
      <c r="AZ95" s="106"/>
      <c r="BA95" s="106"/>
      <c r="BB95" s="106"/>
      <c r="BC95" s="38"/>
      <c r="BD95" s="38"/>
      <c r="BE95" s="34"/>
      <c r="BF95" s="51"/>
      <c r="BG95" s="36"/>
      <c r="BH95" s="51"/>
      <c r="BI95" s="99"/>
      <c r="BJ95" s="99"/>
      <c r="BK95" s="51"/>
      <c r="BL95" s="51"/>
      <c r="BM95" s="51"/>
      <c r="BN95" s="51"/>
      <c r="BO95" s="99"/>
      <c r="BP95" s="99"/>
      <c r="BQ95" s="99"/>
      <c r="BR95" s="99"/>
      <c r="BS95" s="51"/>
      <c r="BT95" s="99"/>
      <c r="BU95" s="99"/>
      <c r="BV95" s="99"/>
      <c r="BW95" s="51"/>
      <c r="BX95" s="51"/>
      <c r="BY95" s="100"/>
      <c r="BZ95" s="100"/>
      <c r="CA95" s="36"/>
      <c r="CB95" s="36"/>
      <c r="CC95" s="51"/>
      <c r="CD95" s="36"/>
      <c r="CE95" s="36"/>
      <c r="CF95" s="36"/>
      <c r="CG95" s="36"/>
      <c r="CH95" s="51"/>
      <c r="CI95" s="36"/>
      <c r="CJ95" s="36"/>
      <c r="CK95" s="36"/>
      <c r="CL95" s="36"/>
      <c r="CM95" s="51"/>
      <c r="CN95" s="36"/>
      <c r="CO95" s="36"/>
      <c r="CP95" s="36"/>
      <c r="CQ95" s="36"/>
      <c r="CR95" s="51"/>
      <c r="CS95" s="36"/>
      <c r="CT95" s="36"/>
      <c r="CU95" s="36"/>
      <c r="CV95" s="36"/>
      <c r="CW95" s="51"/>
      <c r="CX95" s="36"/>
      <c r="CY95" s="36"/>
      <c r="CZ95" s="36"/>
      <c r="DA95" s="36"/>
      <c r="DB95" s="51"/>
      <c r="DC95" s="36"/>
      <c r="DD95" s="36"/>
      <c r="DE95" s="36"/>
      <c r="DF95" s="36"/>
      <c r="DG95" s="51"/>
      <c r="DH95" s="36"/>
      <c r="DI95" s="36"/>
      <c r="DJ95" s="36"/>
      <c r="DK95" s="36"/>
      <c r="DL95" s="51"/>
      <c r="DM95" s="51"/>
      <c r="DN95" s="51"/>
    </row>
    <row r="96" spans="1:118" ht="15.75" customHeight="1">
      <c r="A96" s="174"/>
      <c r="B96" s="51"/>
      <c r="C96" s="99"/>
      <c r="D96" s="101"/>
      <c r="E96" s="102"/>
      <c r="F96" s="51"/>
      <c r="G96" s="103"/>
      <c r="H96" s="103"/>
      <c r="I96" s="104"/>
      <c r="J96" s="101"/>
      <c r="K96" s="101"/>
      <c r="M96" s="51"/>
      <c r="N96" s="51"/>
      <c r="O96" s="51"/>
      <c r="P96" s="51"/>
      <c r="Q96" s="51"/>
      <c r="R96" s="36"/>
      <c r="S96" s="51"/>
      <c r="T96" s="59"/>
      <c r="U96" s="112"/>
      <c r="V96" s="39"/>
      <c r="W96" s="39"/>
      <c r="X96" s="40"/>
      <c r="Y96" s="39"/>
      <c r="Z96" s="41"/>
      <c r="AA96" s="41"/>
      <c r="AB96" s="51"/>
      <c r="AC96" s="51"/>
      <c r="AD96" s="51"/>
      <c r="AE96" s="51"/>
      <c r="AF96" s="51"/>
      <c r="AG96" s="51"/>
      <c r="AH96" s="51"/>
      <c r="AI96" s="106"/>
      <c r="AJ96" s="61"/>
      <c r="AK96" s="106"/>
      <c r="AL96" s="61"/>
      <c r="AM96" s="107"/>
      <c r="AN96" s="99"/>
      <c r="AO96" s="99"/>
      <c r="AP96" s="51"/>
      <c r="AQ96" s="51"/>
      <c r="AR96" s="51"/>
      <c r="AS96" s="101"/>
      <c r="AT96" s="101"/>
      <c r="AU96" s="51"/>
      <c r="AV96" s="51"/>
      <c r="AW96" s="51"/>
      <c r="AX96" s="51"/>
      <c r="AY96" s="106"/>
      <c r="AZ96" s="106"/>
      <c r="BA96" s="106"/>
      <c r="BB96" s="106"/>
      <c r="BC96" s="38"/>
      <c r="BD96" s="38"/>
      <c r="BE96" s="34"/>
      <c r="BF96" s="51"/>
      <c r="BG96" s="36"/>
      <c r="BH96" s="51"/>
      <c r="BI96" s="99"/>
      <c r="BJ96" s="99"/>
      <c r="BK96" s="51"/>
      <c r="BL96" s="51"/>
      <c r="BM96" s="51"/>
      <c r="BN96" s="51"/>
      <c r="BO96" s="99"/>
      <c r="BP96" s="99"/>
      <c r="BQ96" s="99"/>
      <c r="BR96" s="99"/>
      <c r="BS96" s="51"/>
      <c r="BT96" s="99"/>
      <c r="BU96" s="99"/>
      <c r="BV96" s="99"/>
      <c r="BW96" s="51"/>
      <c r="BX96" s="51"/>
      <c r="BY96" s="100"/>
      <c r="BZ96" s="100"/>
      <c r="CA96" s="36"/>
      <c r="CB96" s="36"/>
      <c r="CC96" s="51"/>
      <c r="CD96" s="36"/>
      <c r="CE96" s="36"/>
      <c r="CF96" s="36"/>
      <c r="CG96" s="36"/>
      <c r="CH96" s="51"/>
      <c r="CI96" s="36"/>
      <c r="CJ96" s="36"/>
      <c r="CK96" s="36"/>
      <c r="CL96" s="36"/>
      <c r="CM96" s="51"/>
      <c r="CN96" s="36"/>
      <c r="CO96" s="36"/>
      <c r="CP96" s="36"/>
      <c r="CQ96" s="36"/>
      <c r="CR96" s="51"/>
      <c r="CS96" s="36"/>
      <c r="CT96" s="36"/>
      <c r="CU96" s="36"/>
      <c r="CV96" s="36"/>
      <c r="CW96" s="51"/>
      <c r="CX96" s="36"/>
      <c r="CY96" s="36"/>
      <c r="CZ96" s="36"/>
      <c r="DA96" s="36"/>
      <c r="DB96" s="51"/>
      <c r="DC96" s="36"/>
      <c r="DD96" s="36"/>
      <c r="DE96" s="36"/>
      <c r="DF96" s="36"/>
      <c r="DG96" s="51"/>
      <c r="DH96" s="36"/>
      <c r="DI96" s="36"/>
      <c r="DJ96" s="36"/>
      <c r="DK96" s="36"/>
      <c r="DL96" s="51"/>
      <c r="DM96" s="51"/>
      <c r="DN96" s="51"/>
    </row>
    <row r="97" spans="1:118" ht="15.75" customHeight="1">
      <c r="A97" s="174"/>
      <c r="B97" s="51"/>
      <c r="C97" s="99"/>
      <c r="D97" s="101"/>
      <c r="E97" s="102"/>
      <c r="F97" s="51"/>
      <c r="G97" s="103"/>
      <c r="H97" s="103"/>
      <c r="I97" s="104"/>
      <c r="J97" s="101"/>
      <c r="K97" s="101"/>
      <c r="M97" s="51"/>
      <c r="N97" s="51"/>
      <c r="O97" s="51"/>
      <c r="P97" s="51"/>
      <c r="Q97" s="51"/>
      <c r="R97" s="36"/>
      <c r="S97" s="51"/>
      <c r="T97" s="59"/>
      <c r="U97" s="112"/>
      <c r="V97" s="39"/>
      <c r="W97" s="39"/>
      <c r="X97" s="40"/>
      <c r="Y97" s="39"/>
      <c r="Z97" s="41"/>
      <c r="AA97" s="41"/>
      <c r="AB97" s="51"/>
      <c r="AC97" s="51"/>
      <c r="AD97" s="51"/>
      <c r="AE97" s="51"/>
      <c r="AF97" s="51"/>
      <c r="AG97" s="51"/>
      <c r="AH97" s="51"/>
      <c r="AI97" s="106"/>
      <c r="AJ97" s="61"/>
      <c r="AK97" s="106"/>
      <c r="AL97" s="61"/>
      <c r="AM97" s="107"/>
      <c r="AN97" s="99"/>
      <c r="AO97" s="99"/>
      <c r="AP97" s="51"/>
      <c r="AQ97" s="51"/>
      <c r="AR97" s="51"/>
      <c r="AS97" s="101"/>
      <c r="AT97" s="101"/>
      <c r="AU97" s="51"/>
      <c r="AV97" s="51"/>
      <c r="AW97" s="51"/>
      <c r="AX97" s="51"/>
      <c r="AY97" s="106"/>
      <c r="AZ97" s="106"/>
      <c r="BA97" s="106"/>
      <c r="BB97" s="106"/>
      <c r="BC97" s="38"/>
      <c r="BD97" s="38"/>
      <c r="BE97" s="34"/>
      <c r="BF97" s="51"/>
      <c r="BG97" s="36"/>
      <c r="BH97" s="51"/>
      <c r="BI97" s="99"/>
      <c r="BJ97" s="99"/>
      <c r="BK97" s="51"/>
      <c r="BL97" s="51"/>
      <c r="BM97" s="51"/>
      <c r="BN97" s="51"/>
      <c r="BO97" s="99"/>
      <c r="BP97" s="99"/>
      <c r="BQ97" s="99"/>
      <c r="BR97" s="99"/>
      <c r="BS97" s="51"/>
      <c r="BT97" s="99"/>
      <c r="BU97" s="99"/>
      <c r="BV97" s="99"/>
      <c r="BW97" s="51"/>
      <c r="BX97" s="51"/>
      <c r="BY97" s="100"/>
      <c r="BZ97" s="100"/>
      <c r="CA97" s="36"/>
      <c r="CB97" s="36"/>
      <c r="CC97" s="51"/>
      <c r="CD97" s="36"/>
      <c r="CE97" s="36"/>
      <c r="CF97" s="36"/>
      <c r="CG97" s="36"/>
      <c r="CH97" s="51"/>
      <c r="CI97" s="36"/>
      <c r="CJ97" s="36"/>
      <c r="CK97" s="36"/>
      <c r="CL97" s="36"/>
      <c r="CM97" s="51"/>
      <c r="CN97" s="36"/>
      <c r="CO97" s="36"/>
      <c r="CP97" s="36"/>
      <c r="CQ97" s="36"/>
      <c r="CR97" s="51"/>
      <c r="CS97" s="36"/>
      <c r="CT97" s="36"/>
      <c r="CU97" s="36"/>
      <c r="CV97" s="36"/>
      <c r="CW97" s="51"/>
      <c r="CX97" s="36"/>
      <c r="CY97" s="36"/>
      <c r="CZ97" s="36"/>
      <c r="DA97" s="36"/>
      <c r="DB97" s="51"/>
      <c r="DC97" s="36"/>
      <c r="DD97" s="36"/>
      <c r="DE97" s="36"/>
      <c r="DF97" s="36"/>
      <c r="DG97" s="51"/>
      <c r="DH97" s="36"/>
      <c r="DI97" s="36"/>
      <c r="DJ97" s="36"/>
      <c r="DK97" s="36"/>
      <c r="DL97" s="51"/>
      <c r="DM97" s="51"/>
      <c r="DN97" s="51"/>
    </row>
    <row r="98" spans="1:118" ht="15.75" customHeight="1">
      <c r="A98" s="182"/>
      <c r="B98" s="51"/>
      <c r="C98" s="99"/>
      <c r="D98" s="101"/>
      <c r="E98" s="102"/>
      <c r="F98" s="51"/>
      <c r="G98" s="103"/>
      <c r="H98" s="103"/>
      <c r="I98" s="104"/>
      <c r="J98" s="101"/>
      <c r="K98" s="101"/>
      <c r="M98" s="51"/>
      <c r="N98" s="51"/>
      <c r="O98" s="51"/>
      <c r="P98" s="51"/>
      <c r="Q98" s="51"/>
      <c r="R98" s="36"/>
      <c r="S98" s="51"/>
      <c r="T98" s="59"/>
      <c r="U98" s="112"/>
      <c r="V98" s="39"/>
      <c r="W98" s="39"/>
      <c r="X98" s="40"/>
      <c r="Y98" s="39"/>
      <c r="Z98" s="41"/>
      <c r="AA98" s="41"/>
      <c r="AB98" s="51"/>
      <c r="AC98" s="51"/>
      <c r="AD98" s="51"/>
      <c r="AE98" s="51"/>
      <c r="AF98" s="51"/>
      <c r="AG98" s="51"/>
      <c r="AH98" s="51"/>
      <c r="AI98" s="106"/>
      <c r="AJ98" s="61"/>
      <c r="AK98" s="106"/>
      <c r="AL98" s="61"/>
      <c r="AM98" s="107"/>
      <c r="AN98" s="99"/>
      <c r="AO98" s="99"/>
      <c r="AP98" s="51"/>
      <c r="AQ98" s="51"/>
      <c r="AR98" s="51"/>
      <c r="AS98" s="101"/>
      <c r="AT98" s="101"/>
      <c r="AU98" s="51"/>
      <c r="AV98" s="51"/>
      <c r="AW98" s="51"/>
      <c r="AX98" s="51"/>
      <c r="AY98" s="106"/>
      <c r="AZ98" s="106"/>
      <c r="BA98" s="106"/>
      <c r="BB98" s="106"/>
      <c r="BC98" s="38"/>
      <c r="BD98" s="38"/>
      <c r="BE98" s="34"/>
      <c r="BF98" s="51"/>
      <c r="BG98" s="36"/>
      <c r="BH98" s="51"/>
      <c r="BI98" s="99"/>
      <c r="BJ98" s="99"/>
      <c r="BK98" s="51"/>
      <c r="BL98" s="51"/>
      <c r="BM98" s="51"/>
      <c r="BN98" s="51"/>
      <c r="BO98" s="99"/>
      <c r="BP98" s="99"/>
      <c r="BQ98" s="99"/>
      <c r="BR98" s="99"/>
      <c r="BS98" s="51"/>
      <c r="BT98" s="99"/>
      <c r="BU98" s="99"/>
      <c r="BV98" s="99"/>
      <c r="BW98" s="51"/>
      <c r="BX98" s="51"/>
      <c r="BY98" s="100"/>
      <c r="BZ98" s="100"/>
      <c r="CA98" s="36"/>
      <c r="CB98" s="36"/>
      <c r="CC98" s="51"/>
      <c r="CD98" s="36"/>
      <c r="CE98" s="36"/>
      <c r="CF98" s="36"/>
      <c r="CG98" s="36"/>
      <c r="CH98" s="51"/>
      <c r="CI98" s="36"/>
      <c r="CJ98" s="36"/>
      <c r="CK98" s="36"/>
      <c r="CL98" s="36"/>
      <c r="CM98" s="51"/>
      <c r="CN98" s="36"/>
      <c r="CO98" s="36"/>
      <c r="CP98" s="36"/>
      <c r="CQ98" s="36"/>
      <c r="CR98" s="51"/>
      <c r="CS98" s="36"/>
      <c r="CT98" s="36"/>
      <c r="CU98" s="36"/>
      <c r="CV98" s="36"/>
      <c r="CW98" s="51"/>
      <c r="CX98" s="36"/>
      <c r="CY98" s="36"/>
      <c r="CZ98" s="36"/>
      <c r="DA98" s="36"/>
      <c r="DB98" s="51"/>
      <c r="DC98" s="36"/>
      <c r="DD98" s="36"/>
      <c r="DE98" s="36"/>
      <c r="DF98" s="36"/>
      <c r="DG98" s="51"/>
      <c r="DH98" s="36"/>
      <c r="DI98" s="36"/>
      <c r="DJ98" s="36"/>
      <c r="DK98" s="36"/>
      <c r="DL98" s="51"/>
      <c r="DM98" s="51"/>
      <c r="DN98" s="51"/>
    </row>
    <row r="99" spans="1:118" ht="15.75" customHeight="1">
      <c r="A99" s="182"/>
      <c r="B99" s="51"/>
      <c r="C99" s="99"/>
      <c r="D99" s="101"/>
      <c r="E99" s="102"/>
      <c r="F99" s="51"/>
      <c r="G99" s="103"/>
      <c r="H99" s="103"/>
      <c r="I99" s="104"/>
      <c r="J99" s="101"/>
      <c r="K99" s="101"/>
      <c r="M99" s="51"/>
      <c r="N99" s="51"/>
      <c r="O99" s="51"/>
      <c r="P99" s="51"/>
      <c r="Q99" s="51"/>
      <c r="R99" s="36"/>
      <c r="S99" s="51"/>
      <c r="T99" s="59"/>
      <c r="U99" s="112"/>
      <c r="V99" s="39"/>
      <c r="W99" s="39"/>
      <c r="X99" s="40"/>
      <c r="Y99" s="39"/>
      <c r="Z99" s="41"/>
      <c r="AA99" s="41"/>
      <c r="AB99" s="51"/>
      <c r="AC99" s="51"/>
      <c r="AD99" s="51"/>
      <c r="AE99" s="51"/>
      <c r="AF99" s="51"/>
      <c r="AG99" s="51"/>
      <c r="AH99" s="51"/>
      <c r="AI99" s="106"/>
      <c r="AJ99" s="61"/>
      <c r="AK99" s="106"/>
      <c r="AL99" s="61"/>
      <c r="AM99" s="107"/>
      <c r="AN99" s="99"/>
      <c r="AO99" s="99"/>
      <c r="AP99" s="51"/>
      <c r="AQ99" s="51"/>
      <c r="AR99" s="51"/>
      <c r="AS99" s="101"/>
      <c r="AT99" s="101"/>
      <c r="AU99" s="51"/>
      <c r="AV99" s="51"/>
      <c r="AW99" s="51"/>
      <c r="AX99" s="51"/>
      <c r="AY99" s="106"/>
      <c r="AZ99" s="106"/>
      <c r="BA99" s="106"/>
      <c r="BB99" s="106"/>
      <c r="BC99" s="38"/>
      <c r="BD99" s="38"/>
      <c r="BE99" s="34"/>
      <c r="BF99" s="51"/>
      <c r="BG99" s="36"/>
      <c r="BH99" s="51"/>
      <c r="BI99" s="99"/>
      <c r="BJ99" s="99"/>
      <c r="BK99" s="51"/>
      <c r="BL99" s="51"/>
      <c r="BM99" s="51"/>
      <c r="BN99" s="51"/>
      <c r="BO99" s="99"/>
      <c r="BP99" s="99"/>
      <c r="BQ99" s="99"/>
      <c r="BR99" s="99"/>
      <c r="BS99" s="51"/>
      <c r="BT99" s="99"/>
      <c r="BU99" s="99"/>
      <c r="BV99" s="99"/>
      <c r="BW99" s="51"/>
      <c r="BX99" s="51"/>
      <c r="BY99" s="100"/>
      <c r="BZ99" s="100"/>
      <c r="CA99" s="36"/>
      <c r="CB99" s="36"/>
      <c r="CC99" s="51"/>
      <c r="CD99" s="36"/>
      <c r="CE99" s="36"/>
      <c r="CF99" s="36"/>
      <c r="CG99" s="36"/>
      <c r="CH99" s="51"/>
      <c r="CI99" s="36"/>
      <c r="CJ99" s="36"/>
      <c r="CK99" s="36"/>
      <c r="CL99" s="36"/>
      <c r="CM99" s="51"/>
      <c r="CN99" s="36"/>
      <c r="CO99" s="36"/>
      <c r="CP99" s="36"/>
      <c r="CQ99" s="36"/>
      <c r="CR99" s="51"/>
      <c r="CS99" s="36"/>
      <c r="CT99" s="36"/>
      <c r="CU99" s="36"/>
      <c r="CV99" s="36"/>
      <c r="CW99" s="51"/>
      <c r="CX99" s="36"/>
      <c r="CY99" s="36"/>
      <c r="CZ99" s="36"/>
      <c r="DA99" s="36"/>
      <c r="DB99" s="51"/>
      <c r="DC99" s="36"/>
      <c r="DD99" s="36"/>
      <c r="DE99" s="36"/>
      <c r="DF99" s="36"/>
      <c r="DG99" s="51"/>
      <c r="DH99" s="36"/>
      <c r="DI99" s="36"/>
      <c r="DJ99" s="36"/>
      <c r="DK99" s="36"/>
      <c r="DL99" s="51"/>
      <c r="DM99" s="51"/>
      <c r="DN99" s="51"/>
    </row>
    <row r="100" spans="1:118" ht="15.75" customHeight="1">
      <c r="A100" s="182"/>
      <c r="B100" s="51"/>
      <c r="C100" s="99"/>
      <c r="D100" s="101"/>
      <c r="E100" s="102"/>
      <c r="F100" s="51"/>
      <c r="G100" s="103"/>
      <c r="H100" s="103"/>
      <c r="I100" s="104"/>
      <c r="J100" s="101"/>
      <c r="K100" s="101"/>
      <c r="M100" s="51"/>
      <c r="N100" s="51"/>
      <c r="O100" s="51"/>
      <c r="P100" s="51"/>
      <c r="Q100" s="51"/>
      <c r="R100" s="36"/>
      <c r="S100" s="51"/>
      <c r="T100" s="59"/>
      <c r="U100" s="112"/>
      <c r="V100" s="39"/>
      <c r="W100" s="39"/>
      <c r="X100" s="40"/>
      <c r="Y100" s="39"/>
      <c r="Z100" s="41"/>
      <c r="AA100" s="41"/>
      <c r="AB100" s="51"/>
      <c r="AC100" s="51"/>
      <c r="AD100" s="51"/>
      <c r="AE100" s="51"/>
      <c r="AF100" s="51"/>
      <c r="AG100" s="51"/>
      <c r="AH100" s="51"/>
      <c r="AI100" s="106"/>
      <c r="AJ100" s="61"/>
      <c r="AK100" s="106"/>
      <c r="AL100" s="61"/>
      <c r="AM100" s="107"/>
      <c r="AN100" s="99"/>
      <c r="AO100" s="99"/>
      <c r="AP100" s="51"/>
      <c r="AQ100" s="51"/>
      <c r="AR100" s="51"/>
      <c r="AS100" s="101"/>
      <c r="AT100" s="101"/>
      <c r="AU100" s="51"/>
      <c r="AV100" s="51"/>
      <c r="AW100" s="51"/>
      <c r="AX100" s="51"/>
      <c r="AY100" s="106"/>
      <c r="AZ100" s="106"/>
      <c r="BA100" s="106"/>
      <c r="BB100" s="106"/>
      <c r="BC100" s="38"/>
      <c r="BD100" s="38"/>
      <c r="BE100" s="34"/>
      <c r="BF100" s="51"/>
      <c r="BG100" s="36"/>
      <c r="BH100" s="51"/>
      <c r="BI100" s="99"/>
      <c r="BJ100" s="99"/>
      <c r="BK100" s="51"/>
      <c r="BL100" s="51"/>
      <c r="BM100" s="51"/>
      <c r="BN100" s="51"/>
      <c r="BO100" s="99"/>
      <c r="BP100" s="99"/>
      <c r="BQ100" s="99"/>
      <c r="BR100" s="99"/>
      <c r="BS100" s="51"/>
      <c r="BT100" s="99"/>
      <c r="BU100" s="99"/>
      <c r="BV100" s="99"/>
      <c r="BW100" s="51"/>
      <c r="BX100" s="51"/>
      <c r="BY100" s="100"/>
      <c r="BZ100" s="100"/>
      <c r="CA100" s="36"/>
      <c r="CB100" s="36"/>
      <c r="CC100" s="51"/>
      <c r="CD100" s="36"/>
      <c r="CE100" s="36"/>
      <c r="CF100" s="36"/>
      <c r="CG100" s="36"/>
      <c r="CH100" s="51"/>
      <c r="CI100" s="36"/>
      <c r="CJ100" s="36"/>
      <c r="CK100" s="36"/>
      <c r="CL100" s="36"/>
      <c r="CM100" s="51"/>
      <c r="CN100" s="36"/>
      <c r="CO100" s="36"/>
      <c r="CP100" s="36"/>
      <c r="CQ100" s="36"/>
      <c r="CR100" s="51"/>
      <c r="CS100" s="36"/>
      <c r="CT100" s="36"/>
      <c r="CU100" s="36"/>
      <c r="CV100" s="36"/>
      <c r="CW100" s="51"/>
      <c r="CX100" s="36"/>
      <c r="CY100" s="36"/>
      <c r="CZ100" s="36"/>
      <c r="DA100" s="36"/>
      <c r="DB100" s="51"/>
      <c r="DC100" s="36"/>
      <c r="DD100" s="36"/>
      <c r="DE100" s="36"/>
      <c r="DF100" s="36"/>
      <c r="DG100" s="51"/>
      <c r="DH100" s="36"/>
      <c r="DI100" s="36"/>
      <c r="DJ100" s="36"/>
      <c r="DK100" s="36"/>
      <c r="DL100" s="51"/>
      <c r="DM100" s="51"/>
      <c r="DN100" s="51"/>
    </row>
    <row r="101" spans="1:118" ht="15.75" customHeight="1">
      <c r="A101" s="182"/>
      <c r="B101" s="51"/>
      <c r="C101" s="99"/>
      <c r="D101" s="101"/>
      <c r="E101" s="102"/>
      <c r="F101" s="51"/>
      <c r="G101" s="103"/>
      <c r="H101" s="103"/>
      <c r="I101" s="104"/>
      <c r="J101" s="101"/>
      <c r="K101" s="101"/>
      <c r="M101" s="51"/>
      <c r="N101" s="51"/>
      <c r="O101" s="51"/>
      <c r="P101" s="51"/>
      <c r="Q101" s="51"/>
      <c r="R101" s="36"/>
      <c r="S101" s="51"/>
      <c r="T101" s="59"/>
      <c r="U101" s="112"/>
      <c r="V101" s="39"/>
      <c r="W101" s="39"/>
      <c r="X101" s="40"/>
      <c r="Y101" s="39"/>
      <c r="Z101" s="41"/>
      <c r="AA101" s="41"/>
      <c r="AB101" s="51"/>
      <c r="AC101" s="51"/>
      <c r="AD101" s="51"/>
      <c r="AE101" s="51"/>
      <c r="AF101" s="51"/>
      <c r="AG101" s="51"/>
      <c r="AH101" s="51"/>
      <c r="AI101" s="106"/>
      <c r="AJ101" s="61"/>
      <c r="AK101" s="106"/>
      <c r="AL101" s="61"/>
      <c r="AM101" s="107"/>
      <c r="AN101" s="99"/>
      <c r="AO101" s="99"/>
      <c r="AP101" s="51"/>
      <c r="AQ101" s="51"/>
      <c r="AR101" s="51"/>
      <c r="AS101" s="101"/>
      <c r="AT101" s="101"/>
      <c r="AU101" s="51"/>
      <c r="AV101" s="51"/>
      <c r="AW101" s="51"/>
      <c r="AX101" s="51"/>
      <c r="AY101" s="106"/>
      <c r="AZ101" s="106"/>
      <c r="BA101" s="106"/>
      <c r="BB101" s="106"/>
      <c r="BC101" s="38"/>
      <c r="BD101" s="38"/>
      <c r="BE101" s="34"/>
      <c r="BF101" s="51"/>
      <c r="BG101" s="36"/>
      <c r="BH101" s="51"/>
      <c r="BI101" s="99"/>
      <c r="BJ101" s="99"/>
      <c r="BK101" s="51"/>
      <c r="BL101" s="51"/>
      <c r="BM101" s="51"/>
      <c r="BN101" s="51"/>
      <c r="BO101" s="99"/>
      <c r="BP101" s="99"/>
      <c r="BQ101" s="99"/>
      <c r="BR101" s="99"/>
      <c r="BS101" s="51"/>
      <c r="BT101" s="99"/>
      <c r="BU101" s="99"/>
      <c r="BV101" s="99"/>
      <c r="BW101" s="51"/>
      <c r="BX101" s="51"/>
      <c r="BY101" s="100"/>
      <c r="BZ101" s="100"/>
      <c r="CA101" s="36"/>
      <c r="CB101" s="36"/>
      <c r="CC101" s="51"/>
      <c r="CD101" s="36"/>
      <c r="CE101" s="36"/>
      <c r="CF101" s="36"/>
      <c r="CG101" s="36"/>
      <c r="CH101" s="51"/>
      <c r="CI101" s="36"/>
      <c r="CJ101" s="36"/>
      <c r="CK101" s="36"/>
      <c r="CL101" s="36"/>
      <c r="CM101" s="51"/>
      <c r="CN101" s="36"/>
      <c r="CO101" s="36"/>
      <c r="CP101" s="36"/>
      <c r="CQ101" s="36"/>
      <c r="CR101" s="51"/>
      <c r="CS101" s="36"/>
      <c r="CT101" s="36"/>
      <c r="CU101" s="36"/>
      <c r="CV101" s="36"/>
      <c r="CW101" s="51"/>
      <c r="CX101" s="36"/>
      <c r="CY101" s="36"/>
      <c r="CZ101" s="36"/>
      <c r="DA101" s="36"/>
      <c r="DB101" s="51"/>
      <c r="DC101" s="36"/>
      <c r="DD101" s="36"/>
      <c r="DE101" s="36"/>
      <c r="DF101" s="36"/>
      <c r="DG101" s="51"/>
      <c r="DH101" s="36"/>
      <c r="DI101" s="36"/>
      <c r="DJ101" s="36"/>
      <c r="DK101" s="36"/>
      <c r="DL101" s="51"/>
      <c r="DM101" s="51"/>
      <c r="DN101" s="51"/>
    </row>
    <row r="102" spans="1:118" ht="15.75" customHeight="1">
      <c r="A102" s="174"/>
      <c r="B102" s="51"/>
      <c r="C102" s="99"/>
      <c r="D102" s="101"/>
      <c r="E102" s="102"/>
      <c r="F102" s="51"/>
      <c r="G102" s="103"/>
      <c r="H102" s="103"/>
      <c r="I102" s="104"/>
      <c r="J102" s="101"/>
      <c r="K102" s="101"/>
      <c r="M102" s="51"/>
      <c r="N102" s="51"/>
      <c r="O102" s="51"/>
      <c r="P102" s="51"/>
      <c r="Q102" s="51"/>
      <c r="R102" s="36"/>
      <c r="S102" s="51"/>
      <c r="T102" s="59"/>
      <c r="U102" s="112"/>
      <c r="V102" s="39"/>
      <c r="W102" s="39"/>
      <c r="X102" s="40"/>
      <c r="Y102" s="39"/>
      <c r="Z102" s="41"/>
      <c r="AA102" s="41"/>
      <c r="AB102" s="51"/>
      <c r="AC102" s="51"/>
      <c r="AD102" s="51"/>
      <c r="AE102" s="51"/>
      <c r="AF102" s="51"/>
      <c r="AG102" s="51"/>
      <c r="AH102" s="51"/>
      <c r="AI102" s="106"/>
      <c r="AJ102" s="61"/>
      <c r="AK102" s="106"/>
      <c r="AL102" s="61"/>
      <c r="AM102" s="107"/>
      <c r="AN102" s="99"/>
      <c r="AO102" s="99"/>
      <c r="AP102" s="51"/>
      <c r="AQ102" s="51"/>
      <c r="AR102" s="51"/>
      <c r="AS102" s="101"/>
      <c r="AT102" s="101"/>
      <c r="AU102" s="51"/>
      <c r="AV102" s="51"/>
      <c r="AW102" s="51"/>
      <c r="AX102" s="51"/>
      <c r="AY102" s="106"/>
      <c r="AZ102" s="106"/>
      <c r="BA102" s="106"/>
      <c r="BB102" s="106"/>
      <c r="BC102" s="38"/>
      <c r="BD102" s="38"/>
      <c r="BE102" s="34"/>
      <c r="BF102" s="51"/>
      <c r="BG102" s="36"/>
      <c r="BH102" s="51"/>
      <c r="BI102" s="99"/>
      <c r="BJ102" s="99"/>
      <c r="BK102" s="51"/>
      <c r="BL102" s="51"/>
      <c r="BM102" s="51"/>
      <c r="BN102" s="51"/>
      <c r="BO102" s="99"/>
      <c r="BP102" s="99"/>
      <c r="BQ102" s="99"/>
      <c r="BR102" s="99"/>
      <c r="BS102" s="51"/>
      <c r="BT102" s="99"/>
      <c r="BU102" s="99"/>
      <c r="BV102" s="99"/>
      <c r="BW102" s="51"/>
      <c r="BX102" s="51"/>
      <c r="BY102" s="100"/>
      <c r="BZ102" s="100"/>
      <c r="CA102" s="36"/>
      <c r="CB102" s="36"/>
      <c r="CC102" s="51"/>
      <c r="CD102" s="36"/>
      <c r="CE102" s="36"/>
      <c r="CF102" s="36"/>
      <c r="CG102" s="36"/>
      <c r="CH102" s="51"/>
      <c r="CI102" s="36"/>
      <c r="CJ102" s="36"/>
      <c r="CK102" s="36"/>
      <c r="CL102" s="36"/>
      <c r="CM102" s="51"/>
      <c r="CN102" s="36"/>
      <c r="CO102" s="36"/>
      <c r="CP102" s="36"/>
      <c r="CQ102" s="36"/>
      <c r="CR102" s="51"/>
      <c r="CS102" s="36"/>
      <c r="CT102" s="36"/>
      <c r="CU102" s="36"/>
      <c r="CV102" s="36"/>
      <c r="CW102" s="51"/>
      <c r="CX102" s="36"/>
      <c r="CY102" s="36"/>
      <c r="CZ102" s="36"/>
      <c r="DA102" s="36"/>
      <c r="DB102" s="51"/>
      <c r="DC102" s="36"/>
      <c r="DD102" s="36"/>
      <c r="DE102" s="36"/>
      <c r="DF102" s="36"/>
      <c r="DG102" s="51"/>
      <c r="DH102" s="36"/>
      <c r="DI102" s="36"/>
      <c r="DJ102" s="36"/>
      <c r="DK102" s="36"/>
      <c r="DL102" s="51"/>
      <c r="DM102" s="51"/>
      <c r="DN102" s="51"/>
    </row>
    <row r="103" spans="1:118" ht="15.75" customHeight="1">
      <c r="A103" s="174"/>
      <c r="B103" s="51"/>
      <c r="C103" s="99"/>
      <c r="D103" s="101"/>
      <c r="E103" s="102"/>
      <c r="F103" s="51"/>
      <c r="G103" s="103"/>
      <c r="H103" s="103"/>
      <c r="I103" s="104"/>
      <c r="J103" s="101"/>
      <c r="K103" s="101"/>
      <c r="M103" s="51"/>
      <c r="N103" s="51"/>
      <c r="O103" s="51"/>
      <c r="P103" s="51"/>
      <c r="Q103" s="51"/>
      <c r="R103" s="36"/>
      <c r="S103" s="51"/>
      <c r="T103" s="59"/>
      <c r="U103" s="112"/>
      <c r="V103" s="39"/>
      <c r="W103" s="39"/>
      <c r="X103" s="40"/>
      <c r="Y103" s="39"/>
      <c r="Z103" s="41"/>
      <c r="AA103" s="41"/>
      <c r="AB103" s="51"/>
      <c r="AC103" s="51"/>
      <c r="AD103" s="51"/>
      <c r="AE103" s="51"/>
      <c r="AF103" s="51"/>
      <c r="AG103" s="51"/>
      <c r="AH103" s="51"/>
      <c r="AI103" s="106"/>
      <c r="AJ103" s="61"/>
      <c r="AK103" s="106"/>
      <c r="AL103" s="61"/>
      <c r="AM103" s="107"/>
      <c r="AN103" s="99"/>
      <c r="AO103" s="99"/>
      <c r="AP103" s="51"/>
      <c r="AQ103" s="51"/>
      <c r="AR103" s="51"/>
      <c r="AS103" s="101"/>
      <c r="AT103" s="101"/>
      <c r="AU103" s="51"/>
      <c r="AV103" s="51"/>
      <c r="AW103" s="51"/>
      <c r="AX103" s="51"/>
      <c r="AY103" s="106"/>
      <c r="AZ103" s="106"/>
      <c r="BA103" s="106"/>
      <c r="BB103" s="106"/>
      <c r="BC103" s="38"/>
      <c r="BD103" s="38"/>
      <c r="BE103" s="34"/>
      <c r="BF103" s="51"/>
      <c r="BG103" s="36"/>
      <c r="BH103" s="51"/>
      <c r="BI103" s="99"/>
      <c r="BJ103" s="99"/>
      <c r="BK103" s="51"/>
      <c r="BL103" s="51"/>
      <c r="BM103" s="51"/>
      <c r="BN103" s="51"/>
      <c r="BO103" s="99"/>
      <c r="BP103" s="99"/>
      <c r="BQ103" s="99"/>
      <c r="BR103" s="99"/>
      <c r="BS103" s="51"/>
      <c r="BT103" s="99"/>
      <c r="BU103" s="99"/>
      <c r="BV103" s="99"/>
      <c r="BW103" s="51"/>
      <c r="BX103" s="51"/>
      <c r="BY103" s="100"/>
      <c r="BZ103" s="100"/>
      <c r="CA103" s="36"/>
      <c r="CB103" s="36"/>
      <c r="CC103" s="51"/>
      <c r="CD103" s="36"/>
      <c r="CE103" s="36"/>
      <c r="CF103" s="36"/>
      <c r="CG103" s="36"/>
      <c r="CH103" s="51"/>
      <c r="CI103" s="36"/>
      <c r="CJ103" s="36"/>
      <c r="CK103" s="36"/>
      <c r="CL103" s="36"/>
      <c r="CM103" s="51"/>
      <c r="CN103" s="36"/>
      <c r="CO103" s="36"/>
      <c r="CP103" s="36"/>
      <c r="CQ103" s="36"/>
      <c r="CR103" s="51"/>
      <c r="CS103" s="36"/>
      <c r="CT103" s="36"/>
      <c r="CU103" s="36"/>
      <c r="CV103" s="36"/>
      <c r="CW103" s="51"/>
      <c r="CX103" s="36"/>
      <c r="CY103" s="36"/>
      <c r="CZ103" s="36"/>
      <c r="DA103" s="36"/>
      <c r="DB103" s="51"/>
      <c r="DC103" s="36"/>
      <c r="DD103" s="36"/>
      <c r="DE103" s="36"/>
      <c r="DF103" s="36"/>
      <c r="DG103" s="51"/>
      <c r="DH103" s="36"/>
      <c r="DI103" s="36"/>
      <c r="DJ103" s="36"/>
      <c r="DK103" s="36"/>
      <c r="DL103" s="51"/>
      <c r="DM103" s="51"/>
      <c r="DN103" s="51"/>
    </row>
    <row r="104" spans="1:118" ht="15.75" customHeight="1">
      <c r="A104" s="174"/>
      <c r="B104" s="51"/>
      <c r="C104" s="99"/>
      <c r="D104" s="101"/>
      <c r="E104" s="102"/>
      <c r="F104" s="51"/>
      <c r="G104" s="103"/>
      <c r="H104" s="103"/>
      <c r="I104" s="104"/>
      <c r="J104" s="101"/>
      <c r="K104" s="101"/>
      <c r="M104" s="51"/>
      <c r="N104" s="51"/>
      <c r="O104" s="51"/>
      <c r="P104" s="51"/>
      <c r="Q104" s="51"/>
      <c r="R104" s="36"/>
      <c r="S104" s="51"/>
      <c r="T104" s="59"/>
      <c r="U104" s="112"/>
      <c r="V104" s="39"/>
      <c r="W104" s="39"/>
      <c r="X104" s="40"/>
      <c r="Y104" s="39"/>
      <c r="Z104" s="41"/>
      <c r="AA104" s="41"/>
      <c r="AB104" s="51"/>
      <c r="AC104" s="51"/>
      <c r="AD104" s="51"/>
      <c r="AE104" s="51"/>
      <c r="AF104" s="51"/>
      <c r="AG104" s="51"/>
      <c r="AH104" s="51"/>
      <c r="AI104" s="106"/>
      <c r="AJ104" s="61"/>
      <c r="AK104" s="106"/>
      <c r="AL104" s="61"/>
      <c r="AM104" s="107"/>
      <c r="AN104" s="99"/>
      <c r="AO104" s="99"/>
      <c r="AP104" s="51"/>
      <c r="AQ104" s="51"/>
      <c r="AR104" s="51"/>
      <c r="AS104" s="101"/>
      <c r="AT104" s="101"/>
      <c r="AU104" s="51"/>
      <c r="AV104" s="51"/>
      <c r="AW104" s="51"/>
      <c r="AX104" s="51"/>
      <c r="AY104" s="106"/>
      <c r="AZ104" s="106"/>
      <c r="BA104" s="106"/>
      <c r="BB104" s="106"/>
      <c r="BC104" s="38"/>
      <c r="BD104" s="38"/>
      <c r="BE104" s="34"/>
      <c r="BF104" s="51"/>
      <c r="BG104" s="36"/>
      <c r="BH104" s="51"/>
      <c r="BI104" s="99"/>
      <c r="BJ104" s="99"/>
      <c r="BK104" s="51"/>
      <c r="BL104" s="51"/>
      <c r="BM104" s="51"/>
      <c r="BN104" s="51"/>
      <c r="BO104" s="99"/>
      <c r="BP104" s="99"/>
      <c r="BQ104" s="99"/>
      <c r="BR104" s="99"/>
      <c r="BS104" s="51"/>
      <c r="BT104" s="99"/>
      <c r="BU104" s="99"/>
      <c r="BV104" s="99"/>
      <c r="BW104" s="51"/>
      <c r="BX104" s="51"/>
      <c r="BY104" s="100"/>
      <c r="BZ104" s="100"/>
      <c r="CA104" s="36"/>
      <c r="CB104" s="36"/>
      <c r="CC104" s="51"/>
      <c r="CD104" s="36"/>
      <c r="CE104" s="36"/>
      <c r="CF104" s="36"/>
      <c r="CG104" s="36"/>
      <c r="CH104" s="51"/>
      <c r="CI104" s="36"/>
      <c r="CJ104" s="36"/>
      <c r="CK104" s="36"/>
      <c r="CL104" s="36"/>
      <c r="CM104" s="51"/>
      <c r="CN104" s="36"/>
      <c r="CO104" s="36"/>
      <c r="CP104" s="36"/>
      <c r="CQ104" s="36"/>
      <c r="CR104" s="51"/>
      <c r="CS104" s="36"/>
      <c r="CT104" s="36"/>
      <c r="CU104" s="36"/>
      <c r="CV104" s="36"/>
      <c r="CW104" s="51"/>
      <c r="CX104" s="36"/>
      <c r="CY104" s="36"/>
      <c r="CZ104" s="36"/>
      <c r="DA104" s="36"/>
      <c r="DB104" s="51"/>
      <c r="DC104" s="36"/>
      <c r="DD104" s="36"/>
      <c r="DE104" s="36"/>
      <c r="DF104" s="36"/>
      <c r="DG104" s="51"/>
      <c r="DH104" s="36"/>
      <c r="DI104" s="36"/>
      <c r="DJ104" s="36"/>
      <c r="DK104" s="36"/>
      <c r="DL104" s="51"/>
      <c r="DM104" s="51"/>
      <c r="DN104" s="51"/>
    </row>
    <row r="105" spans="1:118" ht="15.75" customHeight="1">
      <c r="A105" s="174"/>
      <c r="B105" s="51"/>
      <c r="C105" s="99"/>
      <c r="D105" s="101"/>
      <c r="E105" s="102"/>
      <c r="F105" s="51"/>
      <c r="G105" s="103"/>
      <c r="H105" s="103"/>
      <c r="I105" s="104"/>
      <c r="J105" s="101"/>
      <c r="K105" s="101"/>
      <c r="M105" s="51"/>
      <c r="N105" s="51"/>
      <c r="O105" s="51"/>
      <c r="P105" s="51"/>
      <c r="Q105" s="51"/>
      <c r="R105" s="36"/>
      <c r="S105" s="51"/>
      <c r="T105" s="59"/>
      <c r="U105" s="112"/>
      <c r="V105" s="39"/>
      <c r="W105" s="39"/>
      <c r="X105" s="40"/>
      <c r="Y105" s="39"/>
      <c r="Z105" s="41"/>
      <c r="AA105" s="41"/>
      <c r="AB105" s="51"/>
      <c r="AC105" s="51"/>
      <c r="AD105" s="51"/>
      <c r="AE105" s="51"/>
      <c r="AF105" s="51"/>
      <c r="AG105" s="51"/>
      <c r="AH105" s="51"/>
      <c r="AI105" s="106"/>
      <c r="AJ105" s="61"/>
      <c r="AK105" s="106"/>
      <c r="AL105" s="61"/>
      <c r="AM105" s="107"/>
      <c r="AN105" s="99"/>
      <c r="AO105" s="99"/>
      <c r="AP105" s="51"/>
      <c r="AQ105" s="51"/>
      <c r="AR105" s="51"/>
      <c r="AS105" s="101"/>
      <c r="AT105" s="101"/>
      <c r="AU105" s="51"/>
      <c r="AV105" s="51"/>
      <c r="AW105" s="51"/>
      <c r="AX105" s="51"/>
      <c r="AY105" s="106"/>
      <c r="AZ105" s="106"/>
      <c r="BA105" s="106"/>
      <c r="BB105" s="106"/>
      <c r="BC105" s="38"/>
      <c r="BD105" s="38"/>
      <c r="BE105" s="34"/>
      <c r="BF105" s="51"/>
      <c r="BG105" s="36"/>
      <c r="BH105" s="51"/>
      <c r="BI105" s="99"/>
      <c r="BJ105" s="99"/>
      <c r="BK105" s="51"/>
      <c r="BL105" s="51"/>
      <c r="BM105" s="51"/>
      <c r="BN105" s="51"/>
      <c r="BO105" s="99"/>
      <c r="BP105" s="99"/>
      <c r="BQ105" s="99"/>
      <c r="BR105" s="99"/>
      <c r="BS105" s="51"/>
      <c r="BT105" s="99"/>
      <c r="BU105" s="99"/>
      <c r="BV105" s="99"/>
      <c r="BW105" s="51"/>
      <c r="BX105" s="51"/>
      <c r="BY105" s="100"/>
      <c r="BZ105" s="100"/>
      <c r="CA105" s="36"/>
      <c r="CB105" s="36"/>
      <c r="CC105" s="51"/>
      <c r="CD105" s="36"/>
      <c r="CE105" s="36"/>
      <c r="CF105" s="36"/>
      <c r="CG105" s="36"/>
      <c r="CH105" s="51"/>
      <c r="CI105" s="36"/>
      <c r="CJ105" s="36"/>
      <c r="CK105" s="36"/>
      <c r="CL105" s="36"/>
      <c r="CM105" s="51"/>
      <c r="CN105" s="36"/>
      <c r="CO105" s="36"/>
      <c r="CP105" s="36"/>
      <c r="CQ105" s="36"/>
      <c r="CR105" s="51"/>
      <c r="CS105" s="36"/>
      <c r="CT105" s="36"/>
      <c r="CU105" s="36"/>
      <c r="CV105" s="36"/>
      <c r="CW105" s="51"/>
      <c r="CX105" s="36"/>
      <c r="CY105" s="36"/>
      <c r="CZ105" s="36"/>
      <c r="DA105" s="36"/>
      <c r="DB105" s="51"/>
      <c r="DC105" s="36"/>
      <c r="DD105" s="36"/>
      <c r="DE105" s="36"/>
      <c r="DF105" s="36"/>
      <c r="DG105" s="51"/>
      <c r="DH105" s="36"/>
      <c r="DI105" s="36"/>
      <c r="DJ105" s="36"/>
      <c r="DK105" s="36"/>
      <c r="DL105" s="51"/>
      <c r="DM105" s="51"/>
      <c r="DN105" s="51"/>
    </row>
    <row r="106" spans="1:118" ht="15.75" customHeight="1">
      <c r="A106" s="174"/>
      <c r="B106" s="51"/>
      <c r="C106" s="99"/>
      <c r="D106" s="101"/>
      <c r="E106" s="102"/>
      <c r="F106" s="51"/>
      <c r="G106" s="103"/>
      <c r="H106" s="103"/>
      <c r="I106" s="104"/>
      <c r="J106" s="101"/>
      <c r="K106" s="101"/>
      <c r="M106" s="51"/>
      <c r="N106" s="51"/>
      <c r="O106" s="51"/>
      <c r="P106" s="51"/>
      <c r="Q106" s="51"/>
      <c r="R106" s="36"/>
      <c r="S106" s="51"/>
      <c r="T106" s="59"/>
      <c r="U106" s="112"/>
      <c r="V106" s="39"/>
      <c r="W106" s="39"/>
      <c r="X106" s="40"/>
      <c r="Y106" s="39"/>
      <c r="Z106" s="41"/>
      <c r="AA106" s="41"/>
      <c r="AB106" s="51"/>
      <c r="AC106" s="51"/>
      <c r="AD106" s="51"/>
      <c r="AE106" s="51"/>
      <c r="AF106" s="51"/>
      <c r="AG106" s="51"/>
      <c r="AH106" s="51"/>
      <c r="AI106" s="106"/>
      <c r="AJ106" s="61"/>
      <c r="AK106" s="106"/>
      <c r="AL106" s="61"/>
      <c r="AM106" s="107"/>
      <c r="AN106" s="99"/>
      <c r="AO106" s="99"/>
      <c r="AP106" s="51"/>
      <c r="AQ106" s="51"/>
      <c r="AR106" s="51"/>
      <c r="AS106" s="101"/>
      <c r="AT106" s="101"/>
      <c r="AU106" s="51"/>
      <c r="AV106" s="51"/>
      <c r="AW106" s="51"/>
      <c r="AX106" s="51"/>
      <c r="AY106" s="106"/>
      <c r="AZ106" s="106"/>
      <c r="BA106" s="106"/>
      <c r="BB106" s="106"/>
      <c r="BC106" s="38"/>
      <c r="BD106" s="38"/>
      <c r="BE106" s="34"/>
      <c r="BF106" s="51"/>
      <c r="BG106" s="36"/>
      <c r="BH106" s="51"/>
      <c r="BI106" s="99"/>
      <c r="BJ106" s="99"/>
      <c r="BK106" s="51"/>
      <c r="BL106" s="51"/>
      <c r="BM106" s="51"/>
      <c r="BN106" s="51"/>
      <c r="BO106" s="99"/>
      <c r="BP106" s="99"/>
      <c r="BQ106" s="99"/>
      <c r="BR106" s="99"/>
      <c r="BS106" s="51"/>
      <c r="BT106" s="99"/>
      <c r="BU106" s="99"/>
      <c r="BV106" s="99"/>
      <c r="BW106" s="51"/>
      <c r="BX106" s="51"/>
      <c r="BY106" s="100"/>
      <c r="BZ106" s="100"/>
      <c r="CA106" s="36"/>
      <c r="CB106" s="36"/>
      <c r="CC106" s="51"/>
      <c r="CD106" s="36"/>
      <c r="CE106" s="36"/>
      <c r="CF106" s="36"/>
      <c r="CG106" s="36"/>
      <c r="CH106" s="51"/>
      <c r="CI106" s="36"/>
      <c r="CJ106" s="36"/>
      <c r="CK106" s="36"/>
      <c r="CL106" s="36"/>
      <c r="CM106" s="51"/>
      <c r="CN106" s="36"/>
      <c r="CO106" s="36"/>
      <c r="CP106" s="36"/>
      <c r="CQ106" s="36"/>
      <c r="CR106" s="51"/>
      <c r="CS106" s="36"/>
      <c r="CT106" s="36"/>
      <c r="CU106" s="36"/>
      <c r="CV106" s="36"/>
      <c r="CW106" s="51"/>
      <c r="CX106" s="36"/>
      <c r="CY106" s="36"/>
      <c r="CZ106" s="36"/>
      <c r="DA106" s="36"/>
      <c r="DB106" s="51"/>
      <c r="DC106" s="36"/>
      <c r="DD106" s="36"/>
      <c r="DE106" s="36"/>
      <c r="DF106" s="36"/>
      <c r="DG106" s="51"/>
      <c r="DH106" s="36"/>
      <c r="DI106" s="36"/>
      <c r="DJ106" s="36"/>
      <c r="DK106" s="36"/>
      <c r="DL106" s="51"/>
      <c r="DM106" s="51"/>
      <c r="DN106" s="51"/>
    </row>
    <row r="107" spans="1:118" ht="15.75" customHeight="1">
      <c r="A107" s="174"/>
      <c r="B107" s="51"/>
      <c r="C107" s="99"/>
      <c r="D107" s="101"/>
      <c r="E107" s="102"/>
      <c r="F107" s="51"/>
      <c r="G107" s="103"/>
      <c r="H107" s="103"/>
      <c r="I107" s="104"/>
      <c r="J107" s="101"/>
      <c r="K107" s="101"/>
      <c r="M107" s="51"/>
      <c r="N107" s="51"/>
      <c r="O107" s="51"/>
      <c r="P107" s="51"/>
      <c r="Q107" s="51"/>
      <c r="R107" s="36"/>
      <c r="S107" s="51"/>
      <c r="T107" s="59"/>
      <c r="U107" s="112"/>
      <c r="V107" s="39"/>
      <c r="W107" s="39"/>
      <c r="X107" s="40"/>
      <c r="Y107" s="39"/>
      <c r="Z107" s="41"/>
      <c r="AA107" s="41"/>
      <c r="AB107" s="51"/>
      <c r="AC107" s="51"/>
      <c r="AD107" s="51"/>
      <c r="AE107" s="51"/>
      <c r="AF107" s="51"/>
      <c r="AG107" s="51"/>
      <c r="AH107" s="51"/>
      <c r="AI107" s="106"/>
      <c r="AJ107" s="61"/>
      <c r="AK107" s="106"/>
      <c r="AL107" s="61"/>
      <c r="AM107" s="107"/>
      <c r="AN107" s="99"/>
      <c r="AO107" s="99"/>
      <c r="AP107" s="51"/>
      <c r="AQ107" s="51"/>
      <c r="AR107" s="51"/>
      <c r="AS107" s="101"/>
      <c r="AT107" s="101"/>
      <c r="AU107" s="51"/>
      <c r="AV107" s="51"/>
      <c r="AW107" s="51"/>
      <c r="AX107" s="51"/>
      <c r="AY107" s="106"/>
      <c r="AZ107" s="106"/>
      <c r="BA107" s="106"/>
      <c r="BB107" s="106"/>
      <c r="BC107" s="38"/>
      <c r="BD107" s="38"/>
      <c r="BE107" s="34"/>
      <c r="BF107" s="51"/>
      <c r="BG107" s="36"/>
      <c r="BH107" s="51"/>
      <c r="BI107" s="99"/>
      <c r="BJ107" s="99"/>
      <c r="BK107" s="51"/>
      <c r="BL107" s="51"/>
      <c r="BM107" s="51"/>
      <c r="BN107" s="51"/>
      <c r="BO107" s="99"/>
      <c r="BP107" s="99"/>
      <c r="BQ107" s="99"/>
      <c r="BR107" s="99"/>
      <c r="BS107" s="51"/>
      <c r="BT107" s="99"/>
      <c r="BU107" s="99"/>
      <c r="BV107" s="99"/>
      <c r="BW107" s="51"/>
      <c r="BX107" s="51"/>
      <c r="BY107" s="100"/>
      <c r="BZ107" s="100"/>
      <c r="CA107" s="36"/>
      <c r="CB107" s="36"/>
      <c r="CC107" s="51"/>
      <c r="CD107" s="36"/>
      <c r="CE107" s="36"/>
      <c r="CF107" s="36"/>
      <c r="CG107" s="36"/>
      <c r="CH107" s="51"/>
      <c r="CI107" s="36"/>
      <c r="CJ107" s="36"/>
      <c r="CK107" s="36"/>
      <c r="CL107" s="36"/>
      <c r="CM107" s="51"/>
      <c r="CN107" s="36"/>
      <c r="CO107" s="36"/>
      <c r="CP107" s="36"/>
      <c r="CQ107" s="36"/>
      <c r="CR107" s="51"/>
      <c r="CS107" s="36"/>
      <c r="CT107" s="36"/>
      <c r="CU107" s="36"/>
      <c r="CV107" s="36"/>
      <c r="CW107" s="51"/>
      <c r="CX107" s="36"/>
      <c r="CY107" s="36"/>
      <c r="CZ107" s="36"/>
      <c r="DA107" s="36"/>
      <c r="DB107" s="51"/>
      <c r="DC107" s="36"/>
      <c r="DD107" s="36"/>
      <c r="DE107" s="36"/>
      <c r="DF107" s="36"/>
      <c r="DG107" s="51"/>
      <c r="DH107" s="36"/>
      <c r="DI107" s="36"/>
      <c r="DJ107" s="36"/>
      <c r="DK107" s="36"/>
      <c r="DL107" s="51"/>
      <c r="DM107" s="51"/>
      <c r="DN107" s="51"/>
    </row>
    <row r="108" spans="1:118" ht="15.75" customHeight="1">
      <c r="A108" s="174"/>
      <c r="B108" s="51"/>
      <c r="C108" s="99"/>
      <c r="D108" s="101"/>
      <c r="E108" s="102"/>
      <c r="F108" s="51"/>
      <c r="G108" s="103"/>
      <c r="H108" s="103"/>
      <c r="I108" s="104"/>
      <c r="J108" s="101"/>
      <c r="K108" s="101"/>
      <c r="M108" s="51"/>
      <c r="N108" s="51"/>
      <c r="O108" s="51"/>
      <c r="P108" s="51"/>
      <c r="Q108" s="51"/>
      <c r="R108" s="36"/>
      <c r="S108" s="51"/>
      <c r="T108" s="59"/>
      <c r="U108" s="112"/>
      <c r="V108" s="39"/>
      <c r="W108" s="39"/>
      <c r="X108" s="40"/>
      <c r="Y108" s="39"/>
      <c r="Z108" s="41"/>
      <c r="AA108" s="41"/>
      <c r="AB108" s="51"/>
      <c r="AC108" s="51"/>
      <c r="AD108" s="51"/>
      <c r="AE108" s="51"/>
      <c r="AF108" s="51"/>
      <c r="AG108" s="51"/>
      <c r="AH108" s="51"/>
      <c r="AI108" s="106"/>
      <c r="AJ108" s="61"/>
      <c r="AK108" s="106"/>
      <c r="AL108" s="61"/>
      <c r="AM108" s="107"/>
      <c r="AN108" s="99"/>
      <c r="AO108" s="99"/>
      <c r="AP108" s="51"/>
      <c r="AQ108" s="51"/>
      <c r="AR108" s="51"/>
      <c r="AS108" s="101"/>
      <c r="AT108" s="101"/>
      <c r="AU108" s="51"/>
      <c r="AV108" s="51"/>
      <c r="AW108" s="51"/>
      <c r="AX108" s="51"/>
      <c r="AY108" s="106"/>
      <c r="AZ108" s="106"/>
      <c r="BA108" s="106"/>
      <c r="BB108" s="106"/>
      <c r="BC108" s="38"/>
      <c r="BD108" s="38"/>
      <c r="BE108" s="34"/>
      <c r="BF108" s="51"/>
      <c r="BG108" s="36"/>
      <c r="BH108" s="51"/>
      <c r="BI108" s="99"/>
      <c r="BJ108" s="99"/>
      <c r="BK108" s="51"/>
      <c r="BL108" s="51"/>
      <c r="BM108" s="51"/>
      <c r="BN108" s="51"/>
      <c r="BO108" s="99"/>
      <c r="BP108" s="99"/>
      <c r="BQ108" s="99"/>
      <c r="BR108" s="99"/>
      <c r="BS108" s="51"/>
      <c r="BT108" s="99"/>
      <c r="BU108" s="99"/>
      <c r="BV108" s="99"/>
      <c r="BW108" s="51"/>
      <c r="BX108" s="51"/>
      <c r="BY108" s="100"/>
      <c r="BZ108" s="100"/>
      <c r="CA108" s="36"/>
      <c r="CB108" s="36"/>
      <c r="CC108" s="51"/>
      <c r="CD108" s="36"/>
      <c r="CE108" s="36"/>
      <c r="CF108" s="36"/>
      <c r="CG108" s="36"/>
      <c r="CH108" s="51"/>
      <c r="CI108" s="36"/>
      <c r="CJ108" s="36"/>
      <c r="CK108" s="36"/>
      <c r="CL108" s="36"/>
      <c r="CM108" s="51"/>
      <c r="CN108" s="36"/>
      <c r="CO108" s="36"/>
      <c r="CP108" s="36"/>
      <c r="CQ108" s="36"/>
      <c r="CR108" s="51"/>
      <c r="CS108" s="36"/>
      <c r="CT108" s="36"/>
      <c r="CU108" s="36"/>
      <c r="CV108" s="36"/>
      <c r="CW108" s="51"/>
      <c r="CX108" s="36"/>
      <c r="CY108" s="36"/>
      <c r="CZ108" s="36"/>
      <c r="DA108" s="36"/>
      <c r="DB108" s="51"/>
      <c r="DC108" s="36"/>
      <c r="DD108" s="36"/>
      <c r="DE108" s="36"/>
      <c r="DF108" s="36"/>
      <c r="DG108" s="51"/>
      <c r="DH108" s="36"/>
      <c r="DI108" s="36"/>
      <c r="DJ108" s="36"/>
      <c r="DK108" s="36"/>
      <c r="DL108" s="51"/>
      <c r="DM108" s="51"/>
      <c r="DN108" s="51"/>
    </row>
    <row r="109" spans="1:118" ht="15.75" customHeight="1">
      <c r="A109" s="174"/>
      <c r="B109" s="51"/>
      <c r="C109" s="99"/>
      <c r="D109" s="101"/>
      <c r="E109" s="102"/>
      <c r="F109" s="51"/>
      <c r="G109" s="103"/>
      <c r="H109" s="103"/>
      <c r="I109" s="104"/>
      <c r="J109" s="101"/>
      <c r="K109" s="101"/>
      <c r="M109" s="51"/>
      <c r="N109" s="51"/>
      <c r="O109" s="51"/>
      <c r="P109" s="51"/>
      <c r="Q109" s="51"/>
      <c r="R109" s="36"/>
      <c r="S109" s="51"/>
      <c r="T109" s="59"/>
      <c r="U109" s="112"/>
      <c r="V109" s="39"/>
      <c r="W109" s="39"/>
      <c r="X109" s="40"/>
      <c r="Y109" s="39"/>
      <c r="Z109" s="41"/>
      <c r="AA109" s="41"/>
      <c r="AB109" s="51"/>
      <c r="AC109" s="51"/>
      <c r="AD109" s="51"/>
      <c r="AE109" s="51"/>
      <c r="AF109" s="51"/>
      <c r="AG109" s="51"/>
      <c r="AH109" s="51"/>
      <c r="AI109" s="106"/>
      <c r="AJ109" s="61"/>
      <c r="AK109" s="106"/>
      <c r="AL109" s="61"/>
      <c r="AM109" s="107"/>
      <c r="AN109" s="99"/>
      <c r="AO109" s="99"/>
      <c r="AP109" s="51"/>
      <c r="AQ109" s="51"/>
      <c r="AR109" s="51"/>
      <c r="AS109" s="101"/>
      <c r="AT109" s="101"/>
      <c r="AU109" s="51"/>
      <c r="AV109" s="51"/>
      <c r="AW109" s="51"/>
      <c r="AX109" s="51"/>
      <c r="AY109" s="106"/>
      <c r="AZ109" s="106"/>
      <c r="BA109" s="106"/>
      <c r="BB109" s="106"/>
      <c r="BC109" s="38"/>
      <c r="BD109" s="38"/>
      <c r="BE109" s="34"/>
      <c r="BF109" s="51"/>
      <c r="BG109" s="36"/>
      <c r="BH109" s="51"/>
      <c r="BI109" s="99"/>
      <c r="BJ109" s="99"/>
      <c r="BK109" s="51"/>
      <c r="BL109" s="51"/>
      <c r="BM109" s="51"/>
      <c r="BN109" s="51"/>
      <c r="BO109" s="99"/>
      <c r="BP109" s="99"/>
      <c r="BQ109" s="99"/>
      <c r="BR109" s="99"/>
      <c r="BS109" s="51"/>
      <c r="BT109" s="99"/>
      <c r="BU109" s="99"/>
      <c r="BV109" s="99"/>
      <c r="BW109" s="51"/>
      <c r="BX109" s="51"/>
      <c r="BY109" s="100"/>
      <c r="BZ109" s="100"/>
      <c r="CA109" s="36"/>
      <c r="CB109" s="36"/>
      <c r="CC109" s="51"/>
      <c r="CD109" s="36"/>
      <c r="CE109" s="36"/>
      <c r="CF109" s="36"/>
      <c r="CG109" s="36"/>
      <c r="CH109" s="51"/>
      <c r="CI109" s="36"/>
      <c r="CJ109" s="36"/>
      <c r="CK109" s="36"/>
      <c r="CL109" s="36"/>
      <c r="CM109" s="51"/>
      <c r="CN109" s="36"/>
      <c r="CO109" s="36"/>
      <c r="CP109" s="36"/>
      <c r="CQ109" s="36"/>
      <c r="CR109" s="51"/>
      <c r="CS109" s="36"/>
      <c r="CT109" s="36"/>
      <c r="CU109" s="36"/>
      <c r="CV109" s="36"/>
      <c r="CW109" s="51"/>
      <c r="CX109" s="36"/>
      <c r="CY109" s="36"/>
      <c r="CZ109" s="36"/>
      <c r="DA109" s="36"/>
      <c r="DB109" s="51"/>
      <c r="DC109" s="36"/>
      <c r="DD109" s="36"/>
      <c r="DE109" s="36"/>
      <c r="DF109" s="36"/>
      <c r="DG109" s="51"/>
      <c r="DH109" s="36"/>
      <c r="DI109" s="36"/>
      <c r="DJ109" s="36"/>
      <c r="DK109" s="36"/>
      <c r="DL109" s="51"/>
      <c r="DM109" s="51"/>
      <c r="DN109" s="51"/>
    </row>
    <row r="110" spans="1:118" ht="15.75" customHeight="1">
      <c r="A110" s="182"/>
      <c r="B110" s="51"/>
      <c r="C110" s="99"/>
      <c r="D110" s="101"/>
      <c r="E110" s="102"/>
      <c r="F110" s="51"/>
      <c r="G110" s="103"/>
      <c r="H110" s="103"/>
      <c r="I110" s="104"/>
      <c r="J110" s="101"/>
      <c r="K110" s="101"/>
      <c r="M110" s="51"/>
      <c r="N110" s="51"/>
      <c r="O110" s="51"/>
      <c r="P110" s="51"/>
      <c r="Q110" s="51"/>
      <c r="R110" s="36"/>
      <c r="S110" s="51"/>
      <c r="T110" s="59"/>
      <c r="U110" s="112"/>
      <c r="V110" s="39"/>
      <c r="W110" s="39"/>
      <c r="X110" s="40"/>
      <c r="Y110" s="39"/>
      <c r="Z110" s="41"/>
      <c r="AA110" s="41"/>
      <c r="AB110" s="51"/>
      <c r="AC110" s="51"/>
      <c r="AD110" s="51"/>
      <c r="AE110" s="51"/>
      <c r="AF110" s="51"/>
      <c r="AG110" s="51"/>
      <c r="AH110" s="51"/>
      <c r="AI110" s="106"/>
      <c r="AJ110" s="61"/>
      <c r="AK110" s="106"/>
      <c r="AL110" s="61"/>
      <c r="AM110" s="107"/>
      <c r="AN110" s="99"/>
      <c r="AO110" s="99"/>
      <c r="AP110" s="51"/>
      <c r="AQ110" s="51"/>
      <c r="AR110" s="51"/>
      <c r="AS110" s="101"/>
      <c r="AT110" s="101"/>
      <c r="AU110" s="51"/>
      <c r="AV110" s="51"/>
      <c r="AW110" s="51"/>
      <c r="AX110" s="51"/>
      <c r="AY110" s="106"/>
      <c r="AZ110" s="106"/>
      <c r="BA110" s="106"/>
      <c r="BB110" s="106"/>
      <c r="BC110" s="38"/>
      <c r="BD110" s="38"/>
      <c r="BE110" s="34"/>
      <c r="BF110" s="51"/>
      <c r="BG110" s="36"/>
      <c r="BH110" s="51"/>
      <c r="BI110" s="99"/>
      <c r="BJ110" s="99"/>
      <c r="BK110" s="51"/>
      <c r="BL110" s="51"/>
      <c r="BM110" s="51"/>
      <c r="BN110" s="51"/>
      <c r="BO110" s="99"/>
      <c r="BP110" s="99"/>
      <c r="BQ110" s="99"/>
      <c r="BR110" s="99"/>
      <c r="BS110" s="51"/>
      <c r="BT110" s="99"/>
      <c r="BU110" s="99"/>
      <c r="BV110" s="99"/>
      <c r="BW110" s="51"/>
      <c r="BX110" s="51"/>
      <c r="BY110" s="100"/>
      <c r="BZ110" s="100"/>
      <c r="CA110" s="36"/>
      <c r="CB110" s="36"/>
      <c r="CC110" s="51"/>
      <c r="CD110" s="36"/>
      <c r="CE110" s="36"/>
      <c r="CF110" s="36"/>
      <c r="CG110" s="36"/>
      <c r="CH110" s="51"/>
      <c r="CI110" s="36"/>
      <c r="CJ110" s="36"/>
      <c r="CK110" s="36"/>
      <c r="CL110" s="36"/>
      <c r="CM110" s="51"/>
      <c r="CN110" s="36"/>
      <c r="CO110" s="36"/>
      <c r="CP110" s="36"/>
      <c r="CQ110" s="36"/>
      <c r="CR110" s="51"/>
      <c r="CS110" s="36"/>
      <c r="CT110" s="36"/>
      <c r="CU110" s="36"/>
      <c r="CV110" s="36"/>
      <c r="CW110" s="51"/>
      <c r="CX110" s="36"/>
      <c r="CY110" s="36"/>
      <c r="CZ110" s="36"/>
      <c r="DA110" s="36"/>
      <c r="DB110" s="51"/>
      <c r="DC110" s="36"/>
      <c r="DD110" s="36"/>
      <c r="DE110" s="36"/>
      <c r="DF110" s="36"/>
      <c r="DG110" s="51"/>
      <c r="DH110" s="36"/>
      <c r="DI110" s="36"/>
      <c r="DJ110" s="36"/>
      <c r="DK110" s="36"/>
      <c r="DL110" s="51"/>
      <c r="DM110" s="51"/>
      <c r="DN110" s="51"/>
    </row>
    <row r="111" spans="1:118" ht="15.75" customHeight="1">
      <c r="A111" s="174"/>
      <c r="B111" s="51"/>
      <c r="C111" s="99"/>
      <c r="D111" s="101"/>
      <c r="E111" s="102"/>
      <c r="F111" s="51"/>
      <c r="G111" s="103"/>
      <c r="H111" s="103"/>
      <c r="I111" s="104"/>
      <c r="J111" s="101"/>
      <c r="K111" s="101"/>
      <c r="M111" s="51"/>
      <c r="N111" s="51"/>
      <c r="O111" s="51"/>
      <c r="P111" s="51"/>
      <c r="Q111" s="51"/>
      <c r="R111" s="36"/>
      <c r="S111" s="51"/>
      <c r="T111" s="59"/>
      <c r="U111" s="112"/>
      <c r="V111" s="39"/>
      <c r="W111" s="39"/>
      <c r="X111" s="40"/>
      <c r="Y111" s="39"/>
      <c r="Z111" s="41"/>
      <c r="AA111" s="41"/>
      <c r="AB111" s="51"/>
      <c r="AC111" s="51"/>
      <c r="AD111" s="51"/>
      <c r="AE111" s="51"/>
      <c r="AF111" s="51"/>
      <c r="AG111" s="51"/>
      <c r="AH111" s="51"/>
      <c r="AI111" s="106"/>
      <c r="AJ111" s="61"/>
      <c r="AK111" s="106"/>
      <c r="AL111" s="61"/>
      <c r="AM111" s="107"/>
      <c r="AN111" s="99"/>
      <c r="AO111" s="99"/>
      <c r="AP111" s="51"/>
      <c r="AQ111" s="51"/>
      <c r="AR111" s="51"/>
      <c r="AS111" s="101"/>
      <c r="AT111" s="101"/>
      <c r="AU111" s="51"/>
      <c r="AV111" s="51"/>
      <c r="AW111" s="51"/>
      <c r="AX111" s="51"/>
      <c r="AY111" s="106"/>
      <c r="AZ111" s="106"/>
      <c r="BA111" s="106"/>
      <c r="BB111" s="106"/>
      <c r="BC111" s="38"/>
      <c r="BD111" s="38"/>
      <c r="BE111" s="34"/>
      <c r="BF111" s="51"/>
      <c r="BG111" s="36"/>
      <c r="BH111" s="51"/>
      <c r="BI111" s="99"/>
      <c r="BJ111" s="99"/>
      <c r="BK111" s="51"/>
      <c r="BL111" s="51"/>
      <c r="BM111" s="51"/>
      <c r="BN111" s="51"/>
      <c r="BO111" s="99"/>
      <c r="BP111" s="99"/>
      <c r="BQ111" s="99"/>
      <c r="BR111" s="99"/>
      <c r="BS111" s="51"/>
      <c r="BT111" s="99"/>
      <c r="BU111" s="99"/>
      <c r="BV111" s="99"/>
      <c r="BW111" s="51"/>
      <c r="BX111" s="51"/>
      <c r="BY111" s="100"/>
      <c r="BZ111" s="100"/>
      <c r="CA111" s="36"/>
      <c r="CB111" s="36"/>
      <c r="CC111" s="51"/>
      <c r="CD111" s="36"/>
      <c r="CE111" s="36"/>
      <c r="CF111" s="36"/>
      <c r="CG111" s="36"/>
      <c r="CH111" s="51"/>
      <c r="CI111" s="36"/>
      <c r="CJ111" s="36"/>
      <c r="CK111" s="36"/>
      <c r="CL111" s="36"/>
      <c r="CM111" s="51"/>
      <c r="CN111" s="36"/>
      <c r="CO111" s="36"/>
      <c r="CP111" s="36"/>
      <c r="CQ111" s="36"/>
      <c r="CR111" s="51"/>
      <c r="CS111" s="36"/>
      <c r="CT111" s="36"/>
      <c r="CU111" s="36"/>
      <c r="CV111" s="36"/>
      <c r="CW111" s="51"/>
      <c r="CX111" s="36"/>
      <c r="CY111" s="36"/>
      <c r="CZ111" s="36"/>
      <c r="DA111" s="36"/>
      <c r="DB111" s="51"/>
      <c r="DC111" s="36"/>
      <c r="DD111" s="36"/>
      <c r="DE111" s="36"/>
      <c r="DF111" s="36"/>
      <c r="DG111" s="51"/>
      <c r="DH111" s="36"/>
      <c r="DI111" s="36"/>
      <c r="DJ111" s="36"/>
      <c r="DK111" s="36"/>
      <c r="DL111" s="51"/>
      <c r="DM111" s="51"/>
      <c r="DN111" s="51"/>
    </row>
    <row r="112" spans="1:118" ht="15.75" customHeight="1">
      <c r="A112" s="174"/>
      <c r="B112" s="51"/>
      <c r="C112" s="99"/>
      <c r="D112" s="101"/>
      <c r="E112" s="102"/>
      <c r="F112" s="51"/>
      <c r="G112" s="103"/>
      <c r="H112" s="103"/>
      <c r="I112" s="104"/>
      <c r="J112" s="101"/>
      <c r="K112" s="101"/>
      <c r="M112" s="51"/>
      <c r="N112" s="51"/>
      <c r="O112" s="51"/>
      <c r="P112" s="51"/>
      <c r="Q112" s="51"/>
      <c r="R112" s="36"/>
      <c r="S112" s="51"/>
      <c r="T112" s="59"/>
      <c r="U112" s="112"/>
      <c r="V112" s="39"/>
      <c r="W112" s="39"/>
      <c r="X112" s="40"/>
      <c r="Y112" s="39"/>
      <c r="Z112" s="41"/>
      <c r="AA112" s="41"/>
      <c r="AB112" s="51"/>
      <c r="AC112" s="51"/>
      <c r="AD112" s="51"/>
      <c r="AE112" s="51"/>
      <c r="AF112" s="51"/>
      <c r="AG112" s="51"/>
      <c r="AH112" s="51"/>
      <c r="AI112" s="106"/>
      <c r="AJ112" s="61"/>
      <c r="AK112" s="106"/>
      <c r="AL112" s="61"/>
      <c r="AM112" s="107"/>
      <c r="AN112" s="99"/>
      <c r="AO112" s="99"/>
      <c r="AP112" s="51"/>
      <c r="AQ112" s="51"/>
      <c r="AR112" s="51"/>
      <c r="AS112" s="101"/>
      <c r="AT112" s="101"/>
      <c r="AU112" s="51"/>
      <c r="AV112" s="51"/>
      <c r="AW112" s="51"/>
      <c r="AX112" s="51"/>
      <c r="AY112" s="106"/>
      <c r="AZ112" s="106"/>
      <c r="BA112" s="106"/>
      <c r="BB112" s="106"/>
      <c r="BC112" s="38"/>
      <c r="BD112" s="38"/>
      <c r="BE112" s="34"/>
      <c r="BF112" s="51"/>
      <c r="BG112" s="36"/>
      <c r="BH112" s="51"/>
      <c r="BI112" s="99"/>
      <c r="BJ112" s="99"/>
      <c r="BK112" s="51"/>
      <c r="BL112" s="51"/>
      <c r="BM112" s="51"/>
      <c r="BN112" s="51"/>
      <c r="BO112" s="99"/>
      <c r="BP112" s="99"/>
      <c r="BQ112" s="99"/>
      <c r="BR112" s="99"/>
      <c r="BS112" s="51"/>
      <c r="BT112" s="99"/>
      <c r="BU112" s="99"/>
      <c r="BV112" s="99"/>
      <c r="BW112" s="51"/>
      <c r="BX112" s="51"/>
      <c r="BY112" s="100"/>
      <c r="BZ112" s="100"/>
      <c r="CA112" s="36"/>
      <c r="CB112" s="36"/>
      <c r="CC112" s="51"/>
      <c r="CD112" s="36"/>
      <c r="CE112" s="36"/>
      <c r="CF112" s="36"/>
      <c r="CG112" s="36"/>
      <c r="CH112" s="51"/>
      <c r="CI112" s="36"/>
      <c r="CJ112" s="36"/>
      <c r="CK112" s="36"/>
      <c r="CL112" s="36"/>
      <c r="CM112" s="51"/>
      <c r="CN112" s="36"/>
      <c r="CO112" s="36"/>
      <c r="CP112" s="36"/>
      <c r="CQ112" s="36"/>
      <c r="CR112" s="51"/>
      <c r="CS112" s="36"/>
      <c r="CT112" s="36"/>
      <c r="CU112" s="36"/>
      <c r="CV112" s="36"/>
      <c r="CW112" s="51"/>
      <c r="CX112" s="36"/>
      <c r="CY112" s="36"/>
      <c r="CZ112" s="36"/>
      <c r="DA112" s="36"/>
      <c r="DB112" s="51"/>
      <c r="DC112" s="36"/>
      <c r="DD112" s="36"/>
      <c r="DE112" s="36"/>
      <c r="DF112" s="36"/>
      <c r="DG112" s="51"/>
      <c r="DH112" s="36"/>
      <c r="DI112" s="36"/>
      <c r="DJ112" s="36"/>
      <c r="DK112" s="36"/>
      <c r="DL112" s="51"/>
      <c r="DM112" s="51"/>
      <c r="DN112" s="51"/>
    </row>
    <row r="113" spans="1:118" ht="15.75" customHeight="1">
      <c r="A113" s="174"/>
      <c r="B113" s="51"/>
      <c r="C113" s="99"/>
      <c r="D113" s="101"/>
      <c r="E113" s="102"/>
      <c r="F113" s="51"/>
      <c r="G113" s="103"/>
      <c r="H113" s="103"/>
      <c r="I113" s="104"/>
      <c r="J113" s="101"/>
      <c r="K113" s="101"/>
      <c r="M113" s="51"/>
      <c r="N113" s="51"/>
      <c r="O113" s="51"/>
      <c r="P113" s="51"/>
      <c r="Q113" s="51"/>
      <c r="R113" s="36"/>
      <c r="S113" s="51"/>
      <c r="T113" s="59"/>
      <c r="U113" s="112"/>
      <c r="V113" s="39"/>
      <c r="W113" s="39"/>
      <c r="X113" s="40"/>
      <c r="Y113" s="39"/>
      <c r="Z113" s="41"/>
      <c r="AA113" s="41"/>
      <c r="AB113" s="51"/>
      <c r="AC113" s="51"/>
      <c r="AD113" s="51"/>
      <c r="AE113" s="51"/>
      <c r="AF113" s="51"/>
      <c r="AG113" s="51"/>
      <c r="AH113" s="51"/>
      <c r="AI113" s="106"/>
      <c r="AJ113" s="61"/>
      <c r="AK113" s="106"/>
      <c r="AL113" s="61"/>
      <c r="AM113" s="107"/>
      <c r="AN113" s="99"/>
      <c r="AO113" s="99"/>
      <c r="AP113" s="51"/>
      <c r="AQ113" s="51"/>
      <c r="AR113" s="51"/>
      <c r="AS113" s="101"/>
      <c r="AT113" s="101"/>
      <c r="AU113" s="51"/>
      <c r="AV113" s="51"/>
      <c r="AW113" s="51"/>
      <c r="AX113" s="51"/>
      <c r="AY113" s="106"/>
      <c r="AZ113" s="106"/>
      <c r="BA113" s="106"/>
      <c r="BB113" s="106"/>
      <c r="BC113" s="38"/>
      <c r="BD113" s="38"/>
      <c r="BE113" s="34"/>
      <c r="BF113" s="51"/>
      <c r="BG113" s="36"/>
      <c r="BH113" s="51"/>
      <c r="BI113" s="99"/>
      <c r="BJ113" s="99"/>
      <c r="BK113" s="51"/>
      <c r="BL113" s="51"/>
      <c r="BM113" s="51"/>
      <c r="BN113" s="51"/>
      <c r="BO113" s="99"/>
      <c r="BP113" s="99"/>
      <c r="BQ113" s="99"/>
      <c r="BR113" s="99"/>
      <c r="BS113" s="51"/>
      <c r="BT113" s="99"/>
      <c r="BU113" s="99"/>
      <c r="BV113" s="99"/>
      <c r="BW113" s="51"/>
      <c r="BX113" s="51"/>
      <c r="BY113" s="100"/>
      <c r="BZ113" s="100"/>
      <c r="CA113" s="36"/>
      <c r="CB113" s="36"/>
      <c r="CC113" s="51"/>
      <c r="CD113" s="36"/>
      <c r="CE113" s="36"/>
      <c r="CF113" s="36"/>
      <c r="CG113" s="36"/>
      <c r="CH113" s="51"/>
      <c r="CI113" s="36"/>
      <c r="CJ113" s="36"/>
      <c r="CK113" s="36"/>
      <c r="CL113" s="36"/>
      <c r="CM113" s="51"/>
      <c r="CN113" s="36"/>
      <c r="CO113" s="36"/>
      <c r="CP113" s="36"/>
      <c r="CQ113" s="36"/>
      <c r="CR113" s="51"/>
      <c r="CS113" s="36"/>
      <c r="CT113" s="36"/>
      <c r="CU113" s="36"/>
      <c r="CV113" s="36"/>
      <c r="CW113" s="51"/>
      <c r="CX113" s="36"/>
      <c r="CY113" s="36"/>
      <c r="CZ113" s="36"/>
      <c r="DA113" s="36"/>
      <c r="DB113" s="51"/>
      <c r="DC113" s="36"/>
      <c r="DD113" s="36"/>
      <c r="DE113" s="36"/>
      <c r="DF113" s="36"/>
      <c r="DG113" s="51"/>
      <c r="DH113" s="36"/>
      <c r="DI113" s="36"/>
      <c r="DJ113" s="36"/>
      <c r="DK113" s="36"/>
      <c r="DL113" s="51"/>
      <c r="DM113" s="51"/>
      <c r="DN113" s="51"/>
    </row>
    <row r="114" spans="1:118" ht="15.75" customHeight="1">
      <c r="A114" s="174"/>
      <c r="B114" s="51"/>
      <c r="C114" s="99"/>
      <c r="D114" s="101"/>
      <c r="E114" s="102"/>
      <c r="F114" s="51"/>
      <c r="G114" s="103"/>
      <c r="H114" s="103"/>
      <c r="I114" s="104"/>
      <c r="J114" s="101"/>
      <c r="K114" s="101"/>
      <c r="M114" s="51"/>
      <c r="N114" s="51"/>
      <c r="O114" s="51"/>
      <c r="P114" s="51"/>
      <c r="Q114" s="51"/>
      <c r="R114" s="36"/>
      <c r="S114" s="51"/>
      <c r="T114" s="59"/>
      <c r="U114" s="112"/>
      <c r="V114" s="39"/>
      <c r="W114" s="39"/>
      <c r="X114" s="40"/>
      <c r="Y114" s="39"/>
      <c r="Z114" s="41"/>
      <c r="AA114" s="41"/>
      <c r="AB114" s="51"/>
      <c r="AC114" s="51"/>
      <c r="AD114" s="51"/>
      <c r="AE114" s="51"/>
      <c r="AF114" s="51"/>
      <c r="AG114" s="51"/>
      <c r="AH114" s="51"/>
      <c r="AI114" s="106"/>
      <c r="AJ114" s="61"/>
      <c r="AK114" s="106"/>
      <c r="AL114" s="61"/>
      <c r="AM114" s="107"/>
      <c r="AN114" s="99"/>
      <c r="AO114" s="99"/>
      <c r="AP114" s="51"/>
      <c r="AQ114" s="51"/>
      <c r="AR114" s="51"/>
      <c r="AS114" s="101"/>
      <c r="AT114" s="101"/>
      <c r="AU114" s="51"/>
      <c r="AV114" s="51"/>
      <c r="AW114" s="51"/>
      <c r="AX114" s="51"/>
      <c r="AY114" s="106"/>
      <c r="AZ114" s="106"/>
      <c r="BA114" s="106"/>
      <c r="BB114" s="106"/>
      <c r="BC114" s="38"/>
      <c r="BD114" s="38"/>
      <c r="BE114" s="34"/>
      <c r="BF114" s="51"/>
      <c r="BG114" s="36"/>
      <c r="BH114" s="51"/>
      <c r="BI114" s="99"/>
      <c r="BJ114" s="99"/>
      <c r="BK114" s="51"/>
      <c r="BL114" s="51"/>
      <c r="BM114" s="51"/>
      <c r="BN114" s="51"/>
      <c r="BO114" s="99"/>
      <c r="BP114" s="99"/>
      <c r="BQ114" s="99"/>
      <c r="BR114" s="99"/>
      <c r="BS114" s="51"/>
      <c r="BT114" s="99"/>
      <c r="BU114" s="99"/>
      <c r="BV114" s="99"/>
      <c r="BW114" s="51"/>
      <c r="BX114" s="51"/>
      <c r="BY114" s="100"/>
      <c r="BZ114" s="100"/>
      <c r="CA114" s="36"/>
      <c r="CB114" s="36"/>
      <c r="CC114" s="51"/>
      <c r="CD114" s="36"/>
      <c r="CE114" s="36"/>
      <c r="CF114" s="36"/>
      <c r="CG114" s="36"/>
      <c r="CH114" s="51"/>
      <c r="CI114" s="36"/>
      <c r="CJ114" s="36"/>
      <c r="CK114" s="36"/>
      <c r="CL114" s="36"/>
      <c r="CM114" s="51"/>
      <c r="CN114" s="36"/>
      <c r="CO114" s="36"/>
      <c r="CP114" s="36"/>
      <c r="CQ114" s="36"/>
      <c r="CR114" s="51"/>
      <c r="CS114" s="36"/>
      <c r="CT114" s="36"/>
      <c r="CU114" s="36"/>
      <c r="CV114" s="36"/>
      <c r="CW114" s="51"/>
      <c r="CX114" s="36"/>
      <c r="CY114" s="36"/>
      <c r="CZ114" s="36"/>
      <c r="DA114" s="36"/>
      <c r="DB114" s="51"/>
      <c r="DC114" s="36"/>
      <c r="DD114" s="36"/>
      <c r="DE114" s="36"/>
      <c r="DF114" s="36"/>
      <c r="DG114" s="51"/>
      <c r="DH114" s="36"/>
      <c r="DI114" s="36"/>
      <c r="DJ114" s="36"/>
      <c r="DK114" s="36"/>
      <c r="DL114" s="51"/>
      <c r="DM114" s="51"/>
      <c r="DN114" s="51"/>
    </row>
    <row r="115" spans="1:118" ht="15.75" customHeight="1">
      <c r="A115" s="174"/>
      <c r="B115" s="51"/>
      <c r="C115" s="99"/>
      <c r="D115" s="101"/>
      <c r="E115" s="102"/>
      <c r="F115" s="51"/>
      <c r="G115" s="103"/>
      <c r="H115" s="103"/>
      <c r="I115" s="104"/>
      <c r="J115" s="101"/>
      <c r="K115" s="101"/>
      <c r="M115" s="51"/>
      <c r="N115" s="51"/>
      <c r="O115" s="51"/>
      <c r="P115" s="51"/>
      <c r="Q115" s="51"/>
      <c r="R115" s="36"/>
      <c r="S115" s="51"/>
      <c r="T115" s="59"/>
      <c r="U115" s="112"/>
      <c r="V115" s="39"/>
      <c r="W115" s="39"/>
      <c r="X115" s="40"/>
      <c r="Y115" s="39"/>
      <c r="Z115" s="41"/>
      <c r="AA115" s="41"/>
      <c r="AB115" s="51"/>
      <c r="AC115" s="51"/>
      <c r="AD115" s="51"/>
      <c r="AE115" s="51"/>
      <c r="AF115" s="51"/>
      <c r="AG115" s="51"/>
      <c r="AH115" s="51"/>
      <c r="AI115" s="106"/>
      <c r="AJ115" s="61"/>
      <c r="AK115" s="106"/>
      <c r="AL115" s="61"/>
      <c r="AM115" s="107"/>
      <c r="AN115" s="99"/>
      <c r="AO115" s="99"/>
      <c r="AP115" s="51"/>
      <c r="AQ115" s="51"/>
      <c r="AR115" s="51"/>
      <c r="AS115" s="101"/>
      <c r="AT115" s="101"/>
      <c r="AU115" s="51"/>
      <c r="AV115" s="51"/>
      <c r="AW115" s="51"/>
      <c r="AX115" s="51"/>
      <c r="AY115" s="106"/>
      <c r="AZ115" s="106"/>
      <c r="BA115" s="106"/>
      <c r="BB115" s="106"/>
      <c r="BC115" s="38"/>
      <c r="BD115" s="38"/>
      <c r="BE115" s="34"/>
      <c r="BF115" s="51"/>
      <c r="BG115" s="36"/>
      <c r="BH115" s="51"/>
      <c r="BI115" s="99"/>
      <c r="BJ115" s="99"/>
      <c r="BK115" s="51"/>
      <c r="BL115" s="51"/>
      <c r="BM115" s="51"/>
      <c r="BN115" s="51"/>
      <c r="BO115" s="99"/>
      <c r="BP115" s="99"/>
      <c r="BQ115" s="99"/>
      <c r="BR115" s="99"/>
      <c r="BS115" s="51"/>
      <c r="BT115" s="99"/>
      <c r="BU115" s="99"/>
      <c r="BV115" s="99"/>
      <c r="BW115" s="51"/>
      <c r="BX115" s="51"/>
      <c r="BY115" s="100"/>
      <c r="BZ115" s="100"/>
      <c r="CA115" s="36"/>
      <c r="CB115" s="36"/>
      <c r="CC115" s="51"/>
      <c r="CD115" s="36"/>
      <c r="CE115" s="36"/>
      <c r="CF115" s="36"/>
      <c r="CG115" s="36"/>
      <c r="CH115" s="51"/>
      <c r="CI115" s="36"/>
      <c r="CJ115" s="36"/>
      <c r="CK115" s="36"/>
      <c r="CL115" s="36"/>
      <c r="CM115" s="51"/>
      <c r="CN115" s="36"/>
      <c r="CO115" s="36"/>
      <c r="CP115" s="36"/>
      <c r="CQ115" s="36"/>
      <c r="CR115" s="51"/>
      <c r="CS115" s="36"/>
      <c r="CT115" s="36"/>
      <c r="CU115" s="36"/>
      <c r="CV115" s="36"/>
      <c r="CW115" s="51"/>
      <c r="CX115" s="36"/>
      <c r="CY115" s="36"/>
      <c r="CZ115" s="36"/>
      <c r="DA115" s="36"/>
      <c r="DB115" s="51"/>
      <c r="DC115" s="36"/>
      <c r="DD115" s="36"/>
      <c r="DE115" s="36"/>
      <c r="DF115" s="36"/>
      <c r="DG115" s="51"/>
      <c r="DH115" s="36"/>
      <c r="DI115" s="36"/>
      <c r="DJ115" s="36"/>
      <c r="DK115" s="36"/>
      <c r="DL115" s="51"/>
      <c r="DM115" s="51"/>
      <c r="DN115" s="51"/>
    </row>
    <row r="116" spans="1:118" ht="15.75" customHeight="1">
      <c r="A116" s="182"/>
      <c r="B116" s="51"/>
      <c r="C116" s="99"/>
      <c r="D116" s="101"/>
      <c r="E116" s="102"/>
      <c r="F116" s="51"/>
      <c r="G116" s="103"/>
      <c r="H116" s="103"/>
      <c r="I116" s="104"/>
      <c r="J116" s="101"/>
      <c r="K116" s="101"/>
      <c r="M116" s="51"/>
      <c r="N116" s="51"/>
      <c r="O116" s="51"/>
      <c r="P116" s="51"/>
      <c r="Q116" s="51"/>
      <c r="R116" s="36"/>
      <c r="S116" s="51"/>
      <c r="T116" s="59"/>
      <c r="U116" s="112"/>
      <c r="V116" s="39"/>
      <c r="W116" s="39"/>
      <c r="X116" s="40"/>
      <c r="Y116" s="39"/>
      <c r="Z116" s="41"/>
      <c r="AA116" s="41"/>
      <c r="AB116" s="51"/>
      <c r="AC116" s="51"/>
      <c r="AD116" s="51"/>
      <c r="AE116" s="51"/>
      <c r="AF116" s="51"/>
      <c r="AG116" s="51"/>
      <c r="AH116" s="51"/>
      <c r="AI116" s="106"/>
      <c r="AJ116" s="61"/>
      <c r="AK116" s="106"/>
      <c r="AL116" s="61"/>
      <c r="AM116" s="107"/>
      <c r="AN116" s="99"/>
      <c r="AO116" s="99"/>
      <c r="AP116" s="51"/>
      <c r="AQ116" s="51"/>
      <c r="AR116" s="51"/>
      <c r="AS116" s="101"/>
      <c r="AT116" s="101"/>
      <c r="AU116" s="51"/>
      <c r="AV116" s="51"/>
      <c r="AW116" s="51"/>
      <c r="AX116" s="51"/>
      <c r="AY116" s="106"/>
      <c r="AZ116" s="106"/>
      <c r="BA116" s="106"/>
      <c r="BB116" s="106"/>
      <c r="BC116" s="38"/>
      <c r="BD116" s="38"/>
      <c r="BE116" s="34"/>
      <c r="BF116" s="51"/>
      <c r="BG116" s="36"/>
      <c r="BH116" s="51"/>
      <c r="BI116" s="99"/>
      <c r="BJ116" s="99"/>
      <c r="BK116" s="51"/>
      <c r="BL116" s="51"/>
      <c r="BM116" s="51"/>
      <c r="BN116" s="51"/>
      <c r="BO116" s="99"/>
      <c r="BP116" s="99"/>
      <c r="BQ116" s="99"/>
      <c r="BR116" s="99"/>
      <c r="BS116" s="51"/>
      <c r="BT116" s="99"/>
      <c r="BU116" s="99"/>
      <c r="BV116" s="99"/>
      <c r="BW116" s="51"/>
      <c r="BX116" s="51"/>
      <c r="BY116" s="100"/>
      <c r="BZ116" s="100"/>
      <c r="CA116" s="36"/>
      <c r="CB116" s="36"/>
      <c r="CC116" s="51"/>
      <c r="CD116" s="36"/>
      <c r="CE116" s="36"/>
      <c r="CF116" s="36"/>
      <c r="CG116" s="36"/>
      <c r="CH116" s="51"/>
      <c r="CI116" s="36"/>
      <c r="CJ116" s="36"/>
      <c r="CK116" s="36"/>
      <c r="CL116" s="36"/>
      <c r="CM116" s="51"/>
      <c r="CN116" s="36"/>
      <c r="CO116" s="36"/>
      <c r="CP116" s="36"/>
      <c r="CQ116" s="36"/>
      <c r="CR116" s="51"/>
      <c r="CS116" s="36"/>
      <c r="CT116" s="36"/>
      <c r="CU116" s="36"/>
      <c r="CV116" s="36"/>
      <c r="CW116" s="51"/>
      <c r="CX116" s="36"/>
      <c r="CY116" s="36"/>
      <c r="CZ116" s="36"/>
      <c r="DA116" s="36"/>
      <c r="DB116" s="51"/>
      <c r="DC116" s="36"/>
      <c r="DD116" s="36"/>
      <c r="DE116" s="36"/>
      <c r="DF116" s="36"/>
      <c r="DG116" s="51"/>
      <c r="DH116" s="36"/>
      <c r="DI116" s="36"/>
      <c r="DJ116" s="36"/>
      <c r="DK116" s="36"/>
      <c r="DL116" s="51"/>
      <c r="DM116" s="51"/>
      <c r="DN116" s="51"/>
    </row>
    <row r="117" spans="1:118" ht="15.75" customHeight="1">
      <c r="A117" s="182"/>
      <c r="B117" s="51"/>
      <c r="C117" s="99"/>
      <c r="D117" s="101"/>
      <c r="E117" s="102"/>
      <c r="F117" s="51"/>
      <c r="G117" s="103"/>
      <c r="H117" s="103"/>
      <c r="I117" s="104"/>
      <c r="J117" s="101"/>
      <c r="K117" s="101"/>
      <c r="M117" s="51"/>
      <c r="N117" s="51"/>
      <c r="O117" s="51"/>
      <c r="P117" s="51"/>
      <c r="Q117" s="51"/>
      <c r="R117" s="36"/>
      <c r="S117" s="51"/>
      <c r="T117" s="59"/>
      <c r="U117" s="112"/>
      <c r="V117" s="39"/>
      <c r="W117" s="39"/>
      <c r="X117" s="40"/>
      <c r="Y117" s="39"/>
      <c r="Z117" s="41"/>
      <c r="AA117" s="41"/>
      <c r="AB117" s="51"/>
      <c r="AC117" s="51"/>
      <c r="AD117" s="51"/>
      <c r="AE117" s="51"/>
      <c r="AF117" s="51"/>
      <c r="AG117" s="51"/>
      <c r="AH117" s="51"/>
      <c r="AI117" s="106"/>
      <c r="AJ117" s="61"/>
      <c r="AK117" s="106"/>
      <c r="AL117" s="61"/>
      <c r="AM117" s="107"/>
      <c r="AN117" s="99"/>
      <c r="AO117" s="99"/>
      <c r="AP117" s="51"/>
      <c r="AQ117" s="51"/>
      <c r="AR117" s="51"/>
      <c r="AS117" s="101"/>
      <c r="AT117" s="101"/>
      <c r="AU117" s="51"/>
      <c r="AV117" s="51"/>
      <c r="AW117" s="51"/>
      <c r="AX117" s="51"/>
      <c r="AY117" s="106"/>
      <c r="AZ117" s="106"/>
      <c r="BA117" s="106"/>
      <c r="BB117" s="106"/>
      <c r="BC117" s="38"/>
      <c r="BD117" s="38"/>
      <c r="BE117" s="34"/>
      <c r="BF117" s="51"/>
      <c r="BG117" s="36"/>
      <c r="BH117" s="51"/>
      <c r="BI117" s="99"/>
      <c r="BJ117" s="99"/>
      <c r="BK117" s="51"/>
      <c r="BL117" s="51"/>
      <c r="BM117" s="51"/>
      <c r="BN117" s="51"/>
      <c r="BO117" s="99"/>
      <c r="BP117" s="99"/>
      <c r="BQ117" s="99"/>
      <c r="BR117" s="99"/>
      <c r="BS117" s="51"/>
      <c r="BT117" s="99"/>
      <c r="BU117" s="99"/>
      <c r="BV117" s="99"/>
      <c r="BW117" s="51"/>
      <c r="BX117" s="51"/>
      <c r="BY117" s="100"/>
      <c r="BZ117" s="100"/>
      <c r="CA117" s="36"/>
      <c r="CB117" s="36"/>
      <c r="CC117" s="51"/>
      <c r="CD117" s="36"/>
      <c r="CE117" s="36"/>
      <c r="CF117" s="36"/>
      <c r="CG117" s="36"/>
      <c r="CH117" s="51"/>
      <c r="CI117" s="36"/>
      <c r="CJ117" s="36"/>
      <c r="CK117" s="36"/>
      <c r="CL117" s="36"/>
      <c r="CM117" s="51"/>
      <c r="CN117" s="36"/>
      <c r="CO117" s="36"/>
      <c r="CP117" s="36"/>
      <c r="CQ117" s="36"/>
      <c r="CR117" s="51"/>
      <c r="CS117" s="36"/>
      <c r="CT117" s="36"/>
      <c r="CU117" s="36"/>
      <c r="CV117" s="36"/>
      <c r="CW117" s="51"/>
      <c r="CX117" s="36"/>
      <c r="CY117" s="36"/>
      <c r="CZ117" s="36"/>
      <c r="DA117" s="36"/>
      <c r="DB117" s="51"/>
      <c r="DC117" s="36"/>
      <c r="DD117" s="36"/>
      <c r="DE117" s="36"/>
      <c r="DF117" s="36"/>
      <c r="DG117" s="51"/>
      <c r="DH117" s="36"/>
      <c r="DI117" s="36"/>
      <c r="DJ117" s="36"/>
      <c r="DK117" s="36"/>
      <c r="DL117" s="51"/>
      <c r="DM117" s="51"/>
      <c r="DN117" s="51"/>
    </row>
    <row r="118" spans="1:118" ht="15.75" customHeight="1">
      <c r="A118" s="182"/>
      <c r="B118" s="51"/>
      <c r="C118" s="99"/>
      <c r="D118" s="101"/>
      <c r="E118" s="102"/>
      <c r="F118" s="51"/>
      <c r="G118" s="103"/>
      <c r="H118" s="103"/>
      <c r="I118" s="104"/>
      <c r="J118" s="101"/>
      <c r="K118" s="101"/>
      <c r="M118" s="51"/>
      <c r="N118" s="51"/>
      <c r="O118" s="51"/>
      <c r="P118" s="51"/>
      <c r="Q118" s="51"/>
      <c r="R118" s="36"/>
      <c r="S118" s="51"/>
      <c r="T118" s="59"/>
      <c r="U118" s="112"/>
      <c r="V118" s="39"/>
      <c r="W118" s="39"/>
      <c r="X118" s="40"/>
      <c r="Y118" s="39"/>
      <c r="Z118" s="41"/>
      <c r="AA118" s="41"/>
      <c r="AB118" s="51"/>
      <c r="AC118" s="51"/>
      <c r="AD118" s="51"/>
      <c r="AE118" s="51"/>
      <c r="AF118" s="51"/>
      <c r="AG118" s="51"/>
      <c r="AH118" s="51"/>
      <c r="AI118" s="106"/>
      <c r="AJ118" s="61"/>
      <c r="AK118" s="106"/>
      <c r="AL118" s="61"/>
      <c r="AM118" s="107"/>
      <c r="AN118" s="99"/>
      <c r="AO118" s="99"/>
      <c r="AP118" s="51"/>
      <c r="AQ118" s="51"/>
      <c r="AR118" s="51"/>
      <c r="AS118" s="101"/>
      <c r="AT118" s="101"/>
      <c r="AU118" s="51"/>
      <c r="AV118" s="51"/>
      <c r="AW118" s="51"/>
      <c r="AX118" s="51"/>
      <c r="AY118" s="106"/>
      <c r="AZ118" s="106"/>
      <c r="BA118" s="106"/>
      <c r="BB118" s="106"/>
      <c r="BC118" s="38"/>
      <c r="BD118" s="38"/>
      <c r="BE118" s="34"/>
      <c r="BF118" s="51"/>
      <c r="BG118" s="36"/>
      <c r="BH118" s="51"/>
      <c r="BI118" s="99"/>
      <c r="BJ118" s="99"/>
      <c r="BK118" s="51"/>
      <c r="BL118" s="51"/>
      <c r="BM118" s="51"/>
      <c r="BN118" s="51"/>
      <c r="BO118" s="99"/>
      <c r="BP118" s="99"/>
      <c r="BQ118" s="99"/>
      <c r="BR118" s="99"/>
      <c r="BS118" s="51"/>
      <c r="BT118" s="99"/>
      <c r="BU118" s="99"/>
      <c r="BV118" s="99"/>
      <c r="BW118" s="51"/>
      <c r="BX118" s="51"/>
      <c r="BY118" s="100"/>
      <c r="BZ118" s="100"/>
      <c r="CA118" s="36"/>
      <c r="CB118" s="36"/>
      <c r="CC118" s="51"/>
      <c r="CD118" s="36"/>
      <c r="CE118" s="36"/>
      <c r="CF118" s="36"/>
      <c r="CG118" s="36"/>
      <c r="CH118" s="51"/>
      <c r="CI118" s="36"/>
      <c r="CJ118" s="36"/>
      <c r="CK118" s="36"/>
      <c r="CL118" s="36"/>
      <c r="CM118" s="51"/>
      <c r="CN118" s="36"/>
      <c r="CO118" s="36"/>
      <c r="CP118" s="36"/>
      <c r="CQ118" s="36"/>
      <c r="CR118" s="51"/>
      <c r="CS118" s="36"/>
      <c r="CT118" s="36"/>
      <c r="CU118" s="36"/>
      <c r="CV118" s="36"/>
      <c r="CW118" s="51"/>
      <c r="CX118" s="36"/>
      <c r="CY118" s="36"/>
      <c r="CZ118" s="36"/>
      <c r="DA118" s="36"/>
      <c r="DB118" s="51"/>
      <c r="DC118" s="36"/>
      <c r="DD118" s="36"/>
      <c r="DE118" s="36"/>
      <c r="DF118" s="36"/>
      <c r="DG118" s="51"/>
      <c r="DH118" s="36"/>
      <c r="DI118" s="36"/>
      <c r="DJ118" s="36"/>
      <c r="DK118" s="36"/>
      <c r="DL118" s="51"/>
      <c r="DM118" s="51"/>
      <c r="DN118" s="51"/>
    </row>
    <row r="119" spans="1:118" ht="15.75" customHeight="1">
      <c r="A119" s="182"/>
      <c r="B119" s="51"/>
      <c r="C119" s="99"/>
      <c r="D119" s="101"/>
      <c r="E119" s="102"/>
      <c r="F119" s="51"/>
      <c r="G119" s="103"/>
      <c r="H119" s="103"/>
      <c r="I119" s="104"/>
      <c r="J119" s="101"/>
      <c r="K119" s="101"/>
      <c r="M119" s="51"/>
      <c r="N119" s="51"/>
      <c r="O119" s="51"/>
      <c r="P119" s="51"/>
      <c r="Q119" s="51"/>
      <c r="R119" s="36"/>
      <c r="S119" s="51"/>
      <c r="T119" s="59"/>
      <c r="U119" s="112"/>
      <c r="V119" s="39"/>
      <c r="W119" s="39"/>
      <c r="X119" s="40"/>
      <c r="Y119" s="39"/>
      <c r="Z119" s="41"/>
      <c r="AA119" s="41"/>
      <c r="AB119" s="51"/>
      <c r="AC119" s="51"/>
      <c r="AD119" s="51"/>
      <c r="AE119" s="51"/>
      <c r="AF119" s="51"/>
      <c r="AG119" s="51"/>
      <c r="AH119" s="51"/>
      <c r="AI119" s="106"/>
      <c r="AJ119" s="61"/>
      <c r="AK119" s="106"/>
      <c r="AL119" s="61"/>
      <c r="AM119" s="107"/>
      <c r="AN119" s="99"/>
      <c r="AO119" s="99"/>
      <c r="AP119" s="51"/>
      <c r="AQ119" s="51"/>
      <c r="AR119" s="51"/>
      <c r="AS119" s="101"/>
      <c r="AT119" s="101"/>
      <c r="AU119" s="51"/>
      <c r="AV119" s="51"/>
      <c r="AW119" s="51"/>
      <c r="AX119" s="51"/>
      <c r="AY119" s="106"/>
      <c r="AZ119" s="106"/>
      <c r="BA119" s="106"/>
      <c r="BB119" s="106"/>
      <c r="BC119" s="38"/>
      <c r="BD119" s="38"/>
      <c r="BE119" s="34"/>
      <c r="BF119" s="51"/>
      <c r="BG119" s="36"/>
      <c r="BH119" s="51"/>
      <c r="BI119" s="99"/>
      <c r="BJ119" s="99"/>
      <c r="BK119" s="51"/>
      <c r="BL119" s="51"/>
      <c r="BM119" s="51"/>
      <c r="BN119" s="51"/>
      <c r="BO119" s="99"/>
      <c r="BP119" s="99"/>
      <c r="BQ119" s="99"/>
      <c r="BR119" s="99"/>
      <c r="BS119" s="51"/>
      <c r="BT119" s="99"/>
      <c r="BU119" s="99"/>
      <c r="BV119" s="99"/>
      <c r="BW119" s="51"/>
      <c r="BX119" s="51"/>
      <c r="BY119" s="100"/>
      <c r="BZ119" s="100"/>
      <c r="CA119" s="36"/>
      <c r="CB119" s="36"/>
      <c r="CC119" s="51"/>
      <c r="CD119" s="36"/>
      <c r="CE119" s="36"/>
      <c r="CF119" s="36"/>
      <c r="CG119" s="36"/>
      <c r="CH119" s="51"/>
      <c r="CI119" s="36"/>
      <c r="CJ119" s="36"/>
      <c r="CK119" s="36"/>
      <c r="CL119" s="36"/>
      <c r="CM119" s="51"/>
      <c r="CN119" s="36"/>
      <c r="CO119" s="36"/>
      <c r="CP119" s="36"/>
      <c r="CQ119" s="36"/>
      <c r="CR119" s="51"/>
      <c r="CS119" s="36"/>
      <c r="CT119" s="36"/>
      <c r="CU119" s="36"/>
      <c r="CV119" s="36"/>
      <c r="CW119" s="51"/>
      <c r="CX119" s="36"/>
      <c r="CY119" s="36"/>
      <c r="CZ119" s="36"/>
      <c r="DA119" s="36"/>
      <c r="DB119" s="51"/>
      <c r="DC119" s="36"/>
      <c r="DD119" s="36"/>
      <c r="DE119" s="36"/>
      <c r="DF119" s="36"/>
      <c r="DG119" s="51"/>
      <c r="DH119" s="36"/>
      <c r="DI119" s="36"/>
      <c r="DJ119" s="36"/>
      <c r="DK119" s="36"/>
      <c r="DL119" s="51"/>
      <c r="DM119" s="51"/>
      <c r="DN119" s="51"/>
    </row>
    <row r="120" spans="1:118" ht="15.75" customHeight="1">
      <c r="A120" s="182"/>
      <c r="B120" s="51"/>
      <c r="C120" s="99"/>
      <c r="D120" s="101"/>
      <c r="E120" s="102"/>
      <c r="F120" s="51"/>
      <c r="G120" s="103"/>
      <c r="H120" s="103"/>
      <c r="I120" s="104"/>
      <c r="J120" s="101"/>
      <c r="K120" s="101"/>
      <c r="M120" s="51"/>
      <c r="N120" s="51"/>
      <c r="O120" s="51"/>
      <c r="P120" s="51"/>
      <c r="Q120" s="51"/>
      <c r="R120" s="36"/>
      <c r="S120" s="51"/>
      <c r="T120" s="59"/>
      <c r="U120" s="112"/>
      <c r="V120" s="39"/>
      <c r="W120" s="39"/>
      <c r="X120" s="40"/>
      <c r="Y120" s="39"/>
      <c r="Z120" s="41"/>
      <c r="AA120" s="41"/>
      <c r="AB120" s="51"/>
      <c r="AC120" s="51"/>
      <c r="AD120" s="51"/>
      <c r="AE120" s="51"/>
      <c r="AF120" s="51"/>
      <c r="AG120" s="51"/>
      <c r="AH120" s="51"/>
      <c r="AI120" s="106"/>
      <c r="AJ120" s="61"/>
      <c r="AK120" s="106"/>
      <c r="AL120" s="61"/>
      <c r="AM120" s="107"/>
      <c r="AN120" s="99"/>
      <c r="AO120" s="99"/>
      <c r="AP120" s="51"/>
      <c r="AQ120" s="51"/>
      <c r="AR120" s="51"/>
      <c r="AS120" s="101"/>
      <c r="AT120" s="101"/>
      <c r="AU120" s="51"/>
      <c r="AV120" s="51"/>
      <c r="AW120" s="51"/>
      <c r="AX120" s="51"/>
      <c r="AY120" s="106"/>
      <c r="AZ120" s="106"/>
      <c r="BA120" s="106"/>
      <c r="BB120" s="106"/>
      <c r="BC120" s="38"/>
      <c r="BD120" s="38"/>
      <c r="BE120" s="34"/>
      <c r="BF120" s="51"/>
      <c r="BG120" s="36"/>
      <c r="BH120" s="51"/>
      <c r="BI120" s="99"/>
      <c r="BJ120" s="99"/>
      <c r="BK120" s="51"/>
      <c r="BL120" s="51"/>
      <c r="BM120" s="51"/>
      <c r="BN120" s="51"/>
      <c r="BO120" s="99"/>
      <c r="BP120" s="99"/>
      <c r="BQ120" s="99"/>
      <c r="BR120" s="99"/>
      <c r="BS120" s="51"/>
      <c r="BT120" s="99"/>
      <c r="BU120" s="99"/>
      <c r="BV120" s="99"/>
      <c r="BW120" s="51"/>
      <c r="BX120" s="51"/>
      <c r="BY120" s="100"/>
      <c r="BZ120" s="100"/>
      <c r="CA120" s="36"/>
      <c r="CB120" s="36"/>
      <c r="CC120" s="51"/>
      <c r="CD120" s="36"/>
      <c r="CE120" s="36"/>
      <c r="CF120" s="36"/>
      <c r="CG120" s="36"/>
      <c r="CH120" s="51"/>
      <c r="CI120" s="36"/>
      <c r="CJ120" s="36"/>
      <c r="CK120" s="36"/>
      <c r="CL120" s="36"/>
      <c r="CM120" s="51"/>
      <c r="CN120" s="36"/>
      <c r="CO120" s="36"/>
      <c r="CP120" s="36"/>
      <c r="CQ120" s="36"/>
      <c r="CR120" s="51"/>
      <c r="CS120" s="36"/>
      <c r="CT120" s="36"/>
      <c r="CU120" s="36"/>
      <c r="CV120" s="36"/>
      <c r="CW120" s="51"/>
      <c r="CX120" s="36"/>
      <c r="CY120" s="36"/>
      <c r="CZ120" s="36"/>
      <c r="DA120" s="36"/>
      <c r="DB120" s="51"/>
      <c r="DC120" s="36"/>
      <c r="DD120" s="36"/>
      <c r="DE120" s="36"/>
      <c r="DF120" s="36"/>
      <c r="DG120" s="51"/>
      <c r="DH120" s="36"/>
      <c r="DI120" s="36"/>
      <c r="DJ120" s="36"/>
      <c r="DK120" s="36"/>
      <c r="DL120" s="51"/>
      <c r="DM120" s="51"/>
      <c r="DN120" s="51"/>
    </row>
    <row r="121" spans="1:118" ht="15.75" customHeight="1">
      <c r="A121" s="171"/>
      <c r="B121" s="51"/>
      <c r="C121" s="99"/>
      <c r="D121" s="101"/>
      <c r="E121" s="102"/>
      <c r="F121" s="51"/>
      <c r="G121" s="103"/>
      <c r="H121" s="103"/>
      <c r="I121" s="104"/>
      <c r="J121" s="101"/>
      <c r="K121" s="101"/>
      <c r="M121" s="51"/>
      <c r="N121" s="51"/>
      <c r="O121" s="51"/>
      <c r="P121" s="51"/>
      <c r="Q121" s="51"/>
      <c r="R121" s="36"/>
      <c r="S121" s="51"/>
      <c r="T121" s="59"/>
      <c r="U121" s="112"/>
      <c r="V121" s="39"/>
      <c r="W121" s="39"/>
      <c r="X121" s="40"/>
      <c r="Y121" s="39"/>
      <c r="Z121" s="41"/>
      <c r="AA121" s="41"/>
      <c r="AB121" s="51"/>
      <c r="AC121" s="51"/>
      <c r="AD121" s="51"/>
      <c r="AE121" s="51"/>
      <c r="AF121" s="51"/>
      <c r="AG121" s="51"/>
      <c r="AH121" s="51"/>
      <c r="AI121" s="106"/>
      <c r="AJ121" s="61"/>
      <c r="AK121" s="106"/>
      <c r="AL121" s="61"/>
      <c r="AM121" s="107"/>
      <c r="AN121" s="99"/>
      <c r="AO121" s="99"/>
      <c r="AP121" s="51"/>
      <c r="AQ121" s="51"/>
      <c r="AR121" s="51"/>
      <c r="AS121" s="101"/>
      <c r="AT121" s="101"/>
      <c r="AU121" s="51"/>
      <c r="AV121" s="51"/>
      <c r="AW121" s="51"/>
      <c r="AX121" s="51"/>
      <c r="AY121" s="106"/>
      <c r="AZ121" s="106"/>
      <c r="BA121" s="106"/>
      <c r="BB121" s="106"/>
      <c r="BC121" s="38"/>
      <c r="BD121" s="38"/>
      <c r="BE121" s="34"/>
      <c r="BF121" s="51"/>
      <c r="BG121" s="36"/>
      <c r="BH121" s="51"/>
      <c r="BI121" s="99"/>
      <c r="BJ121" s="99"/>
      <c r="BK121" s="51"/>
      <c r="BL121" s="51"/>
      <c r="BM121" s="51"/>
      <c r="BN121" s="51"/>
      <c r="BO121" s="99"/>
      <c r="BP121" s="99"/>
      <c r="BQ121" s="99"/>
      <c r="BR121" s="99"/>
      <c r="BS121" s="51"/>
      <c r="BT121" s="99"/>
      <c r="BU121" s="99"/>
      <c r="BV121" s="99"/>
      <c r="BW121" s="51"/>
      <c r="BX121" s="51"/>
      <c r="BY121" s="100"/>
      <c r="BZ121" s="100"/>
      <c r="CA121" s="36"/>
      <c r="CB121" s="36"/>
      <c r="CC121" s="51"/>
      <c r="CD121" s="36"/>
      <c r="CE121" s="36"/>
      <c r="CF121" s="36"/>
      <c r="CG121" s="36"/>
      <c r="CH121" s="51"/>
      <c r="CI121" s="36"/>
      <c r="CJ121" s="36"/>
      <c r="CK121" s="36"/>
      <c r="CL121" s="36"/>
      <c r="CM121" s="51"/>
      <c r="CN121" s="36"/>
      <c r="CO121" s="36"/>
      <c r="CP121" s="36"/>
      <c r="CQ121" s="36"/>
      <c r="CR121" s="51"/>
      <c r="CS121" s="36"/>
      <c r="CT121" s="36"/>
      <c r="CU121" s="36"/>
      <c r="CV121" s="36"/>
      <c r="CW121" s="51"/>
      <c r="CX121" s="36"/>
      <c r="CY121" s="36"/>
      <c r="CZ121" s="36"/>
      <c r="DA121" s="36"/>
      <c r="DB121" s="51"/>
      <c r="DC121" s="36"/>
      <c r="DD121" s="36"/>
      <c r="DE121" s="36"/>
      <c r="DF121" s="36"/>
      <c r="DG121" s="51"/>
      <c r="DH121" s="36"/>
      <c r="DI121" s="36"/>
      <c r="DJ121" s="36"/>
      <c r="DK121" s="36"/>
      <c r="DL121" s="51"/>
      <c r="DM121" s="51"/>
      <c r="DN121" s="51"/>
    </row>
    <row r="122" spans="1:118" ht="15.75" customHeight="1">
      <c r="A122" s="174"/>
      <c r="B122" s="51"/>
      <c r="C122" s="99"/>
      <c r="D122" s="101"/>
      <c r="E122" s="102"/>
      <c r="F122" s="51"/>
      <c r="G122" s="103"/>
      <c r="H122" s="103"/>
      <c r="I122" s="104"/>
      <c r="J122" s="101"/>
      <c r="K122" s="101"/>
      <c r="M122" s="51"/>
      <c r="N122" s="51"/>
      <c r="O122" s="51"/>
      <c r="P122" s="51"/>
      <c r="Q122" s="51"/>
      <c r="R122" s="36"/>
      <c r="S122" s="51"/>
      <c r="T122" s="59"/>
      <c r="U122" s="112"/>
      <c r="V122" s="39"/>
      <c r="W122" s="39"/>
      <c r="X122" s="40"/>
      <c r="Y122" s="39"/>
      <c r="Z122" s="41"/>
      <c r="AA122" s="41"/>
      <c r="AB122" s="51"/>
      <c r="AC122" s="51"/>
      <c r="AD122" s="51"/>
      <c r="AE122" s="51"/>
      <c r="AF122" s="51"/>
      <c r="AG122" s="51"/>
      <c r="AH122" s="51"/>
      <c r="AI122" s="106"/>
      <c r="AJ122" s="61"/>
      <c r="AK122" s="106"/>
      <c r="AL122" s="61"/>
      <c r="AM122" s="107"/>
      <c r="AN122" s="99"/>
      <c r="AO122" s="99"/>
      <c r="AP122" s="51"/>
      <c r="AQ122" s="51"/>
      <c r="AR122" s="51"/>
      <c r="AS122" s="101"/>
      <c r="AT122" s="101"/>
      <c r="AU122" s="51"/>
      <c r="AV122" s="51"/>
      <c r="AW122" s="51"/>
      <c r="AX122" s="51"/>
      <c r="AY122" s="106"/>
      <c r="AZ122" s="106"/>
      <c r="BA122" s="106"/>
      <c r="BB122" s="106"/>
      <c r="BC122" s="38"/>
      <c r="BD122" s="38"/>
      <c r="BE122" s="34"/>
      <c r="BF122" s="51"/>
      <c r="BG122" s="36"/>
      <c r="BH122" s="51"/>
      <c r="BI122" s="99"/>
      <c r="BJ122" s="99"/>
      <c r="BK122" s="51"/>
      <c r="BL122" s="51"/>
      <c r="BM122" s="51"/>
      <c r="BN122" s="51"/>
      <c r="BO122" s="99"/>
      <c r="BP122" s="99"/>
      <c r="BQ122" s="99"/>
      <c r="BR122" s="99"/>
      <c r="BS122" s="51"/>
      <c r="BT122" s="99"/>
      <c r="BU122" s="99"/>
      <c r="BV122" s="99"/>
      <c r="BW122" s="51"/>
      <c r="BX122" s="51"/>
      <c r="BY122" s="100"/>
      <c r="BZ122" s="100"/>
      <c r="CA122" s="36"/>
      <c r="CB122" s="36"/>
      <c r="CC122" s="51"/>
      <c r="CD122" s="36"/>
      <c r="CE122" s="36"/>
      <c r="CF122" s="36"/>
      <c r="CG122" s="36"/>
      <c r="CH122" s="51"/>
      <c r="CI122" s="36"/>
      <c r="CJ122" s="36"/>
      <c r="CK122" s="36"/>
      <c r="CL122" s="36"/>
      <c r="CM122" s="51"/>
      <c r="CN122" s="36"/>
      <c r="CO122" s="36"/>
      <c r="CP122" s="36"/>
      <c r="CQ122" s="36"/>
      <c r="CR122" s="51"/>
      <c r="CS122" s="36"/>
      <c r="CT122" s="36"/>
      <c r="CU122" s="36"/>
      <c r="CV122" s="36"/>
      <c r="CW122" s="51"/>
      <c r="CX122" s="36"/>
      <c r="CY122" s="36"/>
      <c r="CZ122" s="36"/>
      <c r="DA122" s="36"/>
      <c r="DB122" s="51"/>
      <c r="DC122" s="36"/>
      <c r="DD122" s="36"/>
      <c r="DE122" s="36"/>
      <c r="DF122" s="36"/>
      <c r="DG122" s="51"/>
      <c r="DH122" s="36"/>
      <c r="DI122" s="36"/>
      <c r="DJ122" s="36"/>
      <c r="DK122" s="36"/>
      <c r="DL122" s="51"/>
      <c r="DM122" s="51"/>
      <c r="DN122" s="51"/>
    </row>
    <row r="123" spans="1:118" ht="15.75" customHeight="1">
      <c r="A123" s="174"/>
      <c r="B123" s="51"/>
      <c r="C123" s="99"/>
      <c r="D123" s="101"/>
      <c r="E123" s="102"/>
      <c r="F123" s="51"/>
      <c r="G123" s="103"/>
      <c r="H123" s="103"/>
      <c r="I123" s="104"/>
      <c r="J123" s="101"/>
      <c r="K123" s="101"/>
      <c r="M123" s="51"/>
      <c r="N123" s="51"/>
      <c r="O123" s="51"/>
      <c r="P123" s="51"/>
      <c r="Q123" s="51"/>
      <c r="R123" s="36"/>
      <c r="S123" s="51"/>
      <c r="T123" s="59"/>
      <c r="U123" s="112"/>
      <c r="V123" s="39"/>
      <c r="W123" s="39"/>
      <c r="X123" s="40"/>
      <c r="Y123" s="39"/>
      <c r="Z123" s="41"/>
      <c r="AA123" s="41"/>
      <c r="AB123" s="51"/>
      <c r="AC123" s="51"/>
      <c r="AD123" s="51"/>
      <c r="AE123" s="51"/>
      <c r="AF123" s="51"/>
      <c r="AG123" s="51"/>
      <c r="AH123" s="51"/>
      <c r="AI123" s="106"/>
      <c r="AJ123" s="61"/>
      <c r="AK123" s="106"/>
      <c r="AL123" s="61"/>
      <c r="AM123" s="107"/>
      <c r="AN123" s="99"/>
      <c r="AO123" s="99"/>
      <c r="AP123" s="51"/>
      <c r="AQ123" s="51"/>
      <c r="AR123" s="51"/>
      <c r="AS123" s="101"/>
      <c r="AT123" s="101"/>
      <c r="AU123" s="51"/>
      <c r="AV123" s="51"/>
      <c r="AW123" s="51"/>
      <c r="AX123" s="51"/>
      <c r="AY123" s="106"/>
      <c r="AZ123" s="106"/>
      <c r="BA123" s="106"/>
      <c r="BB123" s="106"/>
      <c r="BC123" s="38"/>
      <c r="BD123" s="38"/>
      <c r="BE123" s="34"/>
      <c r="BF123" s="51"/>
      <c r="BG123" s="36"/>
      <c r="BH123" s="51"/>
      <c r="BI123" s="99"/>
      <c r="BJ123" s="99"/>
      <c r="BK123" s="51"/>
      <c r="BL123" s="51"/>
      <c r="BM123" s="51"/>
      <c r="BN123" s="51"/>
      <c r="BO123" s="99"/>
      <c r="BP123" s="99"/>
      <c r="BQ123" s="99"/>
      <c r="BR123" s="99"/>
      <c r="BS123" s="51"/>
      <c r="BT123" s="99"/>
      <c r="BU123" s="99"/>
      <c r="BV123" s="99"/>
      <c r="BW123" s="51"/>
      <c r="BX123" s="51"/>
      <c r="BY123" s="100"/>
      <c r="BZ123" s="100"/>
      <c r="CA123" s="36"/>
      <c r="CB123" s="36"/>
      <c r="CC123" s="51"/>
      <c r="CD123" s="36"/>
      <c r="CE123" s="36"/>
      <c r="CF123" s="36"/>
      <c r="CG123" s="36"/>
      <c r="CH123" s="51"/>
      <c r="CI123" s="36"/>
      <c r="CJ123" s="36"/>
      <c r="CK123" s="36"/>
      <c r="CL123" s="36"/>
      <c r="CM123" s="51"/>
      <c r="CN123" s="36"/>
      <c r="CO123" s="36"/>
      <c r="CP123" s="36"/>
      <c r="CQ123" s="36"/>
      <c r="CR123" s="51"/>
      <c r="CS123" s="36"/>
      <c r="CT123" s="36"/>
      <c r="CU123" s="36"/>
      <c r="CV123" s="36"/>
      <c r="CW123" s="51"/>
      <c r="CX123" s="36"/>
      <c r="CY123" s="36"/>
      <c r="CZ123" s="36"/>
      <c r="DA123" s="36"/>
      <c r="DB123" s="51"/>
      <c r="DC123" s="36"/>
      <c r="DD123" s="36"/>
      <c r="DE123" s="36"/>
      <c r="DF123" s="36"/>
      <c r="DG123" s="51"/>
      <c r="DH123" s="36"/>
      <c r="DI123" s="36"/>
      <c r="DJ123" s="36"/>
      <c r="DK123" s="36"/>
      <c r="DL123" s="51"/>
      <c r="DM123" s="51"/>
      <c r="DN123" s="51"/>
    </row>
    <row r="124" spans="1:118" ht="15.75" customHeight="1">
      <c r="A124" s="174"/>
      <c r="B124" s="51"/>
      <c r="C124" s="99"/>
      <c r="D124" s="101"/>
      <c r="E124" s="102"/>
      <c r="F124" s="51"/>
      <c r="G124" s="103"/>
      <c r="H124" s="103"/>
      <c r="I124" s="104"/>
      <c r="J124" s="101"/>
      <c r="K124" s="101"/>
      <c r="M124" s="51"/>
      <c r="N124" s="51"/>
      <c r="O124" s="51"/>
      <c r="P124" s="51"/>
      <c r="Q124" s="51"/>
      <c r="R124" s="36"/>
      <c r="S124" s="51"/>
      <c r="T124" s="59"/>
      <c r="U124" s="112"/>
      <c r="V124" s="39"/>
      <c r="W124" s="39"/>
      <c r="X124" s="40"/>
      <c r="Y124" s="39"/>
      <c r="Z124" s="41"/>
      <c r="AA124" s="41"/>
      <c r="AB124" s="51"/>
      <c r="AC124" s="51"/>
      <c r="AD124" s="51"/>
      <c r="AE124" s="51"/>
      <c r="AF124" s="51"/>
      <c r="AG124" s="51"/>
      <c r="AH124" s="51"/>
      <c r="AI124" s="106"/>
      <c r="AJ124" s="61"/>
      <c r="AK124" s="106"/>
      <c r="AL124" s="61"/>
      <c r="AM124" s="107"/>
      <c r="AN124" s="99"/>
      <c r="AO124" s="99"/>
      <c r="AP124" s="51"/>
      <c r="AQ124" s="51"/>
      <c r="AR124" s="51"/>
      <c r="AS124" s="101"/>
      <c r="AT124" s="101"/>
      <c r="AU124" s="51"/>
      <c r="AV124" s="51"/>
      <c r="AW124" s="51"/>
      <c r="AX124" s="51"/>
      <c r="AY124" s="106"/>
      <c r="AZ124" s="106"/>
      <c r="BA124" s="106"/>
      <c r="BB124" s="106"/>
      <c r="BC124" s="38"/>
      <c r="BD124" s="38"/>
      <c r="BE124" s="34"/>
      <c r="BF124" s="51"/>
      <c r="BG124" s="36"/>
      <c r="BH124" s="51"/>
      <c r="BI124" s="99"/>
      <c r="BJ124" s="99"/>
      <c r="BK124" s="51"/>
      <c r="BL124" s="51"/>
      <c r="BM124" s="51"/>
      <c r="BN124" s="51"/>
      <c r="BO124" s="99"/>
      <c r="BP124" s="99"/>
      <c r="BQ124" s="99"/>
      <c r="BR124" s="99"/>
      <c r="BS124" s="51"/>
      <c r="BT124" s="99"/>
      <c r="BU124" s="99"/>
      <c r="BV124" s="99"/>
      <c r="BW124" s="51"/>
      <c r="BX124" s="51"/>
      <c r="BY124" s="100"/>
      <c r="BZ124" s="100"/>
      <c r="CA124" s="36"/>
      <c r="CB124" s="36"/>
      <c r="CC124" s="51"/>
      <c r="CD124" s="36"/>
      <c r="CE124" s="36"/>
      <c r="CF124" s="36"/>
      <c r="CG124" s="36"/>
      <c r="CH124" s="51"/>
      <c r="CI124" s="36"/>
      <c r="CJ124" s="36"/>
      <c r="CK124" s="36"/>
      <c r="CL124" s="36"/>
      <c r="CM124" s="51"/>
      <c r="CN124" s="36"/>
      <c r="CO124" s="36"/>
      <c r="CP124" s="36"/>
      <c r="CQ124" s="36"/>
      <c r="CR124" s="51"/>
      <c r="CS124" s="36"/>
      <c r="CT124" s="36"/>
      <c r="CU124" s="36"/>
      <c r="CV124" s="36"/>
      <c r="CW124" s="51"/>
      <c r="CX124" s="36"/>
      <c r="CY124" s="36"/>
      <c r="CZ124" s="36"/>
      <c r="DA124" s="36"/>
      <c r="DB124" s="51"/>
      <c r="DC124" s="36"/>
      <c r="DD124" s="36"/>
      <c r="DE124" s="36"/>
      <c r="DF124" s="36"/>
      <c r="DG124" s="51"/>
      <c r="DH124" s="36"/>
      <c r="DI124" s="36"/>
      <c r="DJ124" s="36"/>
      <c r="DK124" s="36"/>
      <c r="DL124" s="51"/>
      <c r="DM124" s="51"/>
      <c r="DN124" s="51"/>
    </row>
    <row r="125" spans="1:118" ht="15.75" customHeight="1">
      <c r="A125" s="174"/>
      <c r="B125" s="51"/>
      <c r="C125" s="99"/>
      <c r="D125" s="101"/>
      <c r="E125" s="102"/>
      <c r="F125" s="51"/>
      <c r="G125" s="103"/>
      <c r="H125" s="103"/>
      <c r="I125" s="104"/>
      <c r="J125" s="101"/>
      <c r="K125" s="101"/>
      <c r="M125" s="51"/>
      <c r="N125" s="51"/>
      <c r="O125" s="51"/>
      <c r="P125" s="51"/>
      <c r="Q125" s="51"/>
      <c r="R125" s="36"/>
      <c r="S125" s="51"/>
      <c r="T125" s="59"/>
      <c r="U125" s="112"/>
      <c r="V125" s="39"/>
      <c r="W125" s="39"/>
      <c r="X125" s="40"/>
      <c r="Y125" s="39"/>
      <c r="Z125" s="41"/>
      <c r="AA125" s="41"/>
      <c r="AB125" s="51"/>
      <c r="AC125" s="51"/>
      <c r="AD125" s="51"/>
      <c r="AE125" s="51"/>
      <c r="AF125" s="51"/>
      <c r="AG125" s="51"/>
      <c r="AH125" s="51"/>
      <c r="AI125" s="106"/>
      <c r="AJ125" s="61"/>
      <c r="AK125" s="106"/>
      <c r="AL125" s="61"/>
      <c r="AM125" s="107"/>
      <c r="AN125" s="99"/>
      <c r="AO125" s="99"/>
      <c r="AP125" s="51"/>
      <c r="AQ125" s="51"/>
      <c r="AR125" s="51"/>
      <c r="AS125" s="101"/>
      <c r="AT125" s="101"/>
      <c r="AU125" s="51"/>
      <c r="AV125" s="51"/>
      <c r="AW125" s="51"/>
      <c r="AX125" s="51"/>
      <c r="AY125" s="106"/>
      <c r="AZ125" s="106"/>
      <c r="BA125" s="106"/>
      <c r="BB125" s="106"/>
      <c r="BC125" s="38"/>
      <c r="BD125" s="38"/>
      <c r="BE125" s="34"/>
      <c r="BF125" s="51"/>
      <c r="BG125" s="36"/>
      <c r="BH125" s="51"/>
      <c r="BI125" s="99"/>
      <c r="BJ125" s="99"/>
      <c r="BK125" s="51"/>
      <c r="BL125" s="51"/>
      <c r="BM125" s="51"/>
      <c r="BN125" s="51"/>
      <c r="BO125" s="99"/>
      <c r="BP125" s="99"/>
      <c r="BQ125" s="99"/>
      <c r="BR125" s="99"/>
      <c r="BS125" s="51"/>
      <c r="BT125" s="99"/>
      <c r="BU125" s="99"/>
      <c r="BV125" s="99"/>
      <c r="BW125" s="51"/>
      <c r="BX125" s="51"/>
      <c r="BY125" s="100"/>
      <c r="BZ125" s="100"/>
      <c r="CA125" s="36"/>
      <c r="CB125" s="36"/>
      <c r="CC125" s="51"/>
      <c r="CD125" s="36"/>
      <c r="CE125" s="36"/>
      <c r="CF125" s="36"/>
      <c r="CG125" s="36"/>
      <c r="CH125" s="51"/>
      <c r="CI125" s="36"/>
      <c r="CJ125" s="36"/>
      <c r="CK125" s="36"/>
      <c r="CL125" s="36"/>
      <c r="CM125" s="51"/>
      <c r="CN125" s="36"/>
      <c r="CO125" s="36"/>
      <c r="CP125" s="36"/>
      <c r="CQ125" s="36"/>
      <c r="CR125" s="51"/>
      <c r="CS125" s="36"/>
      <c r="CT125" s="36"/>
      <c r="CU125" s="36"/>
      <c r="CV125" s="36"/>
      <c r="CW125" s="51"/>
      <c r="CX125" s="36"/>
      <c r="CY125" s="36"/>
      <c r="CZ125" s="36"/>
      <c r="DA125" s="36"/>
      <c r="DB125" s="51"/>
      <c r="DC125" s="36"/>
      <c r="DD125" s="36"/>
      <c r="DE125" s="36"/>
      <c r="DF125" s="36"/>
      <c r="DG125" s="51"/>
      <c r="DH125" s="36"/>
      <c r="DI125" s="36"/>
      <c r="DJ125" s="36"/>
      <c r="DK125" s="36"/>
      <c r="DL125" s="51"/>
      <c r="DM125" s="51"/>
      <c r="DN125" s="51"/>
    </row>
    <row r="126" spans="1:118" ht="15.75" customHeight="1">
      <c r="A126" s="174"/>
      <c r="B126" s="51"/>
      <c r="C126" s="99"/>
      <c r="D126" s="101"/>
      <c r="E126" s="102"/>
      <c r="F126" s="51"/>
      <c r="G126" s="103"/>
      <c r="H126" s="103"/>
      <c r="I126" s="104"/>
      <c r="J126" s="101"/>
      <c r="K126" s="101"/>
      <c r="M126" s="51"/>
      <c r="N126" s="51"/>
      <c r="O126" s="51"/>
      <c r="P126" s="51"/>
      <c r="Q126" s="51"/>
      <c r="R126" s="36"/>
      <c r="S126" s="51"/>
      <c r="T126" s="59"/>
      <c r="U126" s="112"/>
      <c r="V126" s="39"/>
      <c r="W126" s="39"/>
      <c r="X126" s="40"/>
      <c r="Y126" s="39"/>
      <c r="Z126" s="41"/>
      <c r="AA126" s="41"/>
      <c r="AB126" s="51"/>
      <c r="AC126" s="51"/>
      <c r="AD126" s="51"/>
      <c r="AE126" s="51"/>
      <c r="AF126" s="51"/>
      <c r="AG126" s="51"/>
      <c r="AH126" s="51"/>
      <c r="AI126" s="106"/>
      <c r="AJ126" s="61"/>
      <c r="AK126" s="106"/>
      <c r="AL126" s="61"/>
      <c r="AM126" s="107"/>
      <c r="AN126" s="99"/>
      <c r="AO126" s="99"/>
      <c r="AP126" s="51"/>
      <c r="AQ126" s="51"/>
      <c r="AR126" s="51"/>
      <c r="AS126" s="101"/>
      <c r="AT126" s="101"/>
      <c r="AU126" s="51"/>
      <c r="AV126" s="51"/>
      <c r="AW126" s="51"/>
      <c r="AX126" s="51"/>
      <c r="AY126" s="106"/>
      <c r="AZ126" s="106"/>
      <c r="BA126" s="106"/>
      <c r="BB126" s="106"/>
      <c r="BC126" s="38"/>
      <c r="BD126" s="38"/>
      <c r="BE126" s="34"/>
      <c r="BF126" s="51"/>
      <c r="BG126" s="36"/>
      <c r="BH126" s="51"/>
      <c r="BI126" s="99"/>
      <c r="BJ126" s="99"/>
      <c r="BK126" s="51"/>
      <c r="BL126" s="51"/>
      <c r="BM126" s="51"/>
      <c r="BN126" s="51"/>
      <c r="BO126" s="99"/>
      <c r="BP126" s="99"/>
      <c r="BQ126" s="99"/>
      <c r="BR126" s="99"/>
      <c r="BS126" s="51"/>
      <c r="BT126" s="99"/>
      <c r="BU126" s="99"/>
      <c r="BV126" s="99"/>
      <c r="BW126" s="51"/>
      <c r="BX126" s="51"/>
      <c r="BY126" s="100"/>
      <c r="BZ126" s="100"/>
      <c r="CA126" s="36"/>
      <c r="CB126" s="36"/>
      <c r="CC126" s="51"/>
      <c r="CD126" s="36"/>
      <c r="CE126" s="36"/>
      <c r="CF126" s="36"/>
      <c r="CG126" s="36"/>
      <c r="CH126" s="51"/>
      <c r="CI126" s="36"/>
      <c r="CJ126" s="36"/>
      <c r="CK126" s="36"/>
      <c r="CL126" s="36"/>
      <c r="CM126" s="51"/>
      <c r="CN126" s="36"/>
      <c r="CO126" s="36"/>
      <c r="CP126" s="36"/>
      <c r="CQ126" s="36"/>
      <c r="CR126" s="51"/>
      <c r="CS126" s="36"/>
      <c r="CT126" s="36"/>
      <c r="CU126" s="36"/>
      <c r="CV126" s="36"/>
      <c r="CW126" s="51"/>
      <c r="CX126" s="36"/>
      <c r="CY126" s="36"/>
      <c r="CZ126" s="36"/>
      <c r="DA126" s="36"/>
      <c r="DB126" s="51"/>
      <c r="DC126" s="36"/>
      <c r="DD126" s="36"/>
      <c r="DE126" s="36"/>
      <c r="DF126" s="36"/>
      <c r="DG126" s="51"/>
      <c r="DH126" s="36"/>
      <c r="DI126" s="36"/>
      <c r="DJ126" s="36"/>
      <c r="DK126" s="36"/>
      <c r="DL126" s="51"/>
      <c r="DM126" s="51"/>
      <c r="DN126" s="51"/>
    </row>
    <row r="127" spans="1:118" ht="15.75" customHeight="1">
      <c r="A127" s="171"/>
      <c r="B127" s="51"/>
      <c r="C127" s="99"/>
      <c r="D127" s="101"/>
      <c r="E127" s="102"/>
      <c r="F127" s="51"/>
      <c r="G127" s="103"/>
      <c r="H127" s="103"/>
      <c r="I127" s="104"/>
      <c r="J127" s="101"/>
      <c r="K127" s="101"/>
      <c r="M127" s="51"/>
      <c r="N127" s="51"/>
      <c r="O127" s="51"/>
      <c r="P127" s="51"/>
      <c r="Q127" s="51"/>
      <c r="R127" s="36"/>
      <c r="S127" s="51"/>
      <c r="T127" s="59"/>
      <c r="U127" s="112"/>
      <c r="V127" s="39"/>
      <c r="W127" s="39"/>
      <c r="X127" s="40"/>
      <c r="Y127" s="39"/>
      <c r="Z127" s="41"/>
      <c r="AA127" s="41"/>
      <c r="AB127" s="51"/>
      <c r="AC127" s="51"/>
      <c r="AD127" s="51"/>
      <c r="AE127" s="51"/>
      <c r="AF127" s="51"/>
      <c r="AG127" s="51"/>
      <c r="AH127" s="51"/>
      <c r="AI127" s="106"/>
      <c r="AJ127" s="61"/>
      <c r="AK127" s="106"/>
      <c r="AL127" s="61"/>
      <c r="AM127" s="107"/>
      <c r="AN127" s="99"/>
      <c r="AO127" s="99"/>
      <c r="AP127" s="51"/>
      <c r="AQ127" s="51"/>
      <c r="AR127" s="51"/>
      <c r="AS127" s="101"/>
      <c r="AT127" s="101"/>
      <c r="AU127" s="51"/>
      <c r="AV127" s="51"/>
      <c r="AW127" s="51"/>
      <c r="AX127" s="51"/>
      <c r="AY127" s="106"/>
      <c r="AZ127" s="106"/>
      <c r="BA127" s="106"/>
      <c r="BB127" s="106"/>
      <c r="BC127" s="38"/>
      <c r="BD127" s="38"/>
      <c r="BE127" s="34"/>
      <c r="BF127" s="51"/>
      <c r="BG127" s="36"/>
      <c r="BH127" s="51"/>
      <c r="BI127" s="99"/>
      <c r="BJ127" s="99"/>
      <c r="BK127" s="51"/>
      <c r="BL127" s="51"/>
      <c r="BM127" s="51"/>
      <c r="BN127" s="51"/>
      <c r="BO127" s="99"/>
      <c r="BP127" s="99"/>
      <c r="BQ127" s="99"/>
      <c r="BR127" s="99"/>
      <c r="BS127" s="51"/>
      <c r="BT127" s="99"/>
      <c r="BU127" s="99"/>
      <c r="BV127" s="99"/>
      <c r="BW127" s="51"/>
      <c r="BX127" s="51"/>
      <c r="BY127" s="100"/>
      <c r="BZ127" s="100"/>
      <c r="CA127" s="36"/>
      <c r="CB127" s="36"/>
      <c r="CC127" s="51"/>
      <c r="CD127" s="36"/>
      <c r="CE127" s="36"/>
      <c r="CF127" s="36"/>
      <c r="CG127" s="36"/>
      <c r="CH127" s="51"/>
      <c r="CI127" s="36"/>
      <c r="CJ127" s="36"/>
      <c r="CK127" s="36"/>
      <c r="CL127" s="36"/>
      <c r="CM127" s="51"/>
      <c r="CN127" s="36"/>
      <c r="CO127" s="36"/>
      <c r="CP127" s="36"/>
      <c r="CQ127" s="36"/>
      <c r="CR127" s="51"/>
      <c r="CS127" s="36"/>
      <c r="CT127" s="36"/>
      <c r="CU127" s="36"/>
      <c r="CV127" s="36"/>
      <c r="CW127" s="51"/>
      <c r="CX127" s="36"/>
      <c r="CY127" s="36"/>
      <c r="CZ127" s="36"/>
      <c r="DA127" s="36"/>
      <c r="DB127" s="51"/>
      <c r="DC127" s="36"/>
      <c r="DD127" s="36"/>
      <c r="DE127" s="36"/>
      <c r="DF127" s="36"/>
      <c r="DG127" s="51"/>
      <c r="DH127" s="36"/>
      <c r="DI127" s="36"/>
      <c r="DJ127" s="36"/>
      <c r="DK127" s="36"/>
      <c r="DL127" s="51"/>
      <c r="DM127" s="51"/>
      <c r="DN127" s="51"/>
    </row>
    <row r="128" spans="1:118" ht="15.75" customHeight="1">
      <c r="A128" s="171"/>
      <c r="B128" s="51"/>
      <c r="C128" s="99"/>
      <c r="D128" s="101"/>
      <c r="E128" s="102"/>
      <c r="F128" s="51"/>
      <c r="G128" s="103"/>
      <c r="H128" s="103"/>
      <c r="I128" s="104"/>
      <c r="J128" s="101"/>
      <c r="K128" s="101"/>
      <c r="M128" s="51"/>
      <c r="N128" s="51"/>
      <c r="O128" s="51"/>
      <c r="P128" s="51"/>
      <c r="Q128" s="51"/>
      <c r="R128" s="36"/>
      <c r="S128" s="51"/>
      <c r="T128" s="59"/>
      <c r="U128" s="112"/>
      <c r="V128" s="39"/>
      <c r="W128" s="39"/>
      <c r="X128" s="40"/>
      <c r="Y128" s="39"/>
      <c r="Z128" s="41"/>
      <c r="AA128" s="41"/>
      <c r="AB128" s="51"/>
      <c r="AC128" s="51"/>
      <c r="AD128" s="51"/>
      <c r="AE128" s="51"/>
      <c r="AF128" s="51"/>
      <c r="AG128" s="51"/>
      <c r="AH128" s="51"/>
      <c r="AI128" s="106"/>
      <c r="AJ128" s="61"/>
      <c r="AK128" s="106"/>
      <c r="AL128" s="61"/>
      <c r="AM128" s="107"/>
      <c r="AN128" s="99"/>
      <c r="AO128" s="99"/>
      <c r="AP128" s="51"/>
      <c r="AQ128" s="51"/>
      <c r="AR128" s="51"/>
      <c r="AS128" s="101"/>
      <c r="AT128" s="101"/>
      <c r="AU128" s="51"/>
      <c r="AV128" s="51"/>
      <c r="AW128" s="51"/>
      <c r="AX128" s="51"/>
      <c r="AY128" s="106"/>
      <c r="AZ128" s="106"/>
      <c r="BA128" s="106"/>
      <c r="BB128" s="106"/>
      <c r="BC128" s="38"/>
      <c r="BD128" s="38"/>
      <c r="BE128" s="34"/>
      <c r="BF128" s="51"/>
      <c r="BG128" s="36"/>
      <c r="BH128" s="51"/>
      <c r="BI128" s="99"/>
      <c r="BJ128" s="99"/>
      <c r="BK128" s="51"/>
      <c r="BL128" s="51"/>
      <c r="BM128" s="51"/>
      <c r="BN128" s="51"/>
      <c r="BO128" s="99"/>
      <c r="BP128" s="99"/>
      <c r="BQ128" s="99"/>
      <c r="BR128" s="99"/>
      <c r="BS128" s="51"/>
      <c r="BT128" s="99"/>
      <c r="BU128" s="99"/>
      <c r="BV128" s="99"/>
      <c r="BW128" s="51"/>
      <c r="BX128" s="51"/>
      <c r="BY128" s="100"/>
      <c r="BZ128" s="100"/>
      <c r="CA128" s="36"/>
      <c r="CB128" s="36"/>
      <c r="CC128" s="51"/>
      <c r="CD128" s="36"/>
      <c r="CE128" s="36"/>
      <c r="CF128" s="36"/>
      <c r="CG128" s="36"/>
      <c r="CH128" s="51"/>
      <c r="CI128" s="36"/>
      <c r="CJ128" s="36"/>
      <c r="CK128" s="36"/>
      <c r="CL128" s="36"/>
      <c r="CM128" s="51"/>
      <c r="CN128" s="36"/>
      <c r="CO128" s="36"/>
      <c r="CP128" s="36"/>
      <c r="CQ128" s="36"/>
      <c r="CR128" s="51"/>
      <c r="CS128" s="36"/>
      <c r="CT128" s="36"/>
      <c r="CU128" s="36"/>
      <c r="CV128" s="36"/>
      <c r="CW128" s="51"/>
      <c r="CX128" s="36"/>
      <c r="CY128" s="36"/>
      <c r="CZ128" s="36"/>
      <c r="DA128" s="36"/>
      <c r="DB128" s="51"/>
      <c r="DC128" s="36"/>
      <c r="DD128" s="36"/>
      <c r="DE128" s="36"/>
      <c r="DF128" s="36"/>
      <c r="DG128" s="51"/>
      <c r="DH128" s="36"/>
      <c r="DI128" s="36"/>
      <c r="DJ128" s="36"/>
      <c r="DK128" s="36"/>
      <c r="DL128" s="51"/>
      <c r="DM128" s="51"/>
      <c r="DN128" s="51"/>
    </row>
    <row r="129" spans="1:118" ht="15.75" customHeight="1">
      <c r="A129" s="171"/>
      <c r="B129" s="51"/>
      <c r="C129" s="99"/>
      <c r="D129" s="101"/>
      <c r="E129" s="102"/>
      <c r="F129" s="51"/>
      <c r="G129" s="103"/>
      <c r="H129" s="103"/>
      <c r="I129" s="104"/>
      <c r="J129" s="101"/>
      <c r="K129" s="101"/>
      <c r="M129" s="51"/>
      <c r="N129" s="51"/>
      <c r="O129" s="51"/>
      <c r="P129" s="51"/>
      <c r="Q129" s="51"/>
      <c r="R129" s="36"/>
      <c r="S129" s="51"/>
      <c r="T129" s="59"/>
      <c r="U129" s="112"/>
      <c r="V129" s="39"/>
      <c r="W129" s="39"/>
      <c r="X129" s="40"/>
      <c r="Y129" s="39"/>
      <c r="Z129" s="41"/>
      <c r="AA129" s="41"/>
      <c r="AB129" s="51"/>
      <c r="AC129" s="51"/>
      <c r="AD129" s="51"/>
      <c r="AE129" s="51"/>
      <c r="AF129" s="51"/>
      <c r="AG129" s="51"/>
      <c r="AH129" s="51"/>
      <c r="AI129" s="106"/>
      <c r="AJ129" s="61"/>
      <c r="AK129" s="106"/>
      <c r="AL129" s="61"/>
      <c r="AM129" s="107"/>
      <c r="AN129" s="99"/>
      <c r="AO129" s="99"/>
      <c r="AP129" s="51"/>
      <c r="AQ129" s="51"/>
      <c r="AR129" s="51"/>
      <c r="AS129" s="101"/>
      <c r="AT129" s="101"/>
      <c r="AU129" s="51"/>
      <c r="AV129" s="51"/>
      <c r="AW129" s="51"/>
      <c r="AX129" s="51"/>
      <c r="AY129" s="106"/>
      <c r="AZ129" s="106"/>
      <c r="BA129" s="106"/>
      <c r="BB129" s="106"/>
      <c r="BC129" s="38"/>
      <c r="BD129" s="38"/>
      <c r="BE129" s="34"/>
      <c r="BF129" s="51"/>
      <c r="BG129" s="36"/>
      <c r="BH129" s="51"/>
      <c r="BI129" s="99"/>
      <c r="BJ129" s="99"/>
      <c r="BK129" s="51"/>
      <c r="BL129" s="51"/>
      <c r="BM129" s="51"/>
      <c r="BN129" s="51"/>
      <c r="BO129" s="99"/>
      <c r="BP129" s="99"/>
      <c r="BQ129" s="99"/>
      <c r="BR129" s="99"/>
      <c r="BS129" s="51"/>
      <c r="BT129" s="99"/>
      <c r="BU129" s="99"/>
      <c r="BV129" s="99"/>
      <c r="BW129" s="51"/>
      <c r="BX129" s="51"/>
      <c r="BY129" s="100"/>
      <c r="BZ129" s="100"/>
      <c r="CA129" s="36"/>
      <c r="CB129" s="36"/>
      <c r="CC129" s="51"/>
      <c r="CD129" s="36"/>
      <c r="CE129" s="36"/>
      <c r="CF129" s="36"/>
      <c r="CG129" s="36"/>
      <c r="CH129" s="51"/>
      <c r="CI129" s="36"/>
      <c r="CJ129" s="36"/>
      <c r="CK129" s="36"/>
      <c r="CL129" s="36"/>
      <c r="CM129" s="51"/>
      <c r="CN129" s="36"/>
      <c r="CO129" s="36"/>
      <c r="CP129" s="36"/>
      <c r="CQ129" s="36"/>
      <c r="CR129" s="51"/>
      <c r="CS129" s="36"/>
      <c r="CT129" s="36"/>
      <c r="CU129" s="36"/>
      <c r="CV129" s="36"/>
      <c r="CW129" s="51"/>
      <c r="CX129" s="36"/>
      <c r="CY129" s="36"/>
      <c r="CZ129" s="36"/>
      <c r="DA129" s="36"/>
      <c r="DB129" s="51"/>
      <c r="DC129" s="36"/>
      <c r="DD129" s="36"/>
      <c r="DE129" s="36"/>
      <c r="DF129" s="36"/>
      <c r="DG129" s="51"/>
      <c r="DH129" s="36"/>
      <c r="DI129" s="36"/>
      <c r="DJ129" s="36"/>
      <c r="DK129" s="36"/>
      <c r="DL129" s="51"/>
      <c r="DM129" s="51"/>
      <c r="DN129" s="51"/>
    </row>
    <row r="130" spans="1:118" ht="15.75" customHeight="1">
      <c r="A130" s="171"/>
      <c r="B130" s="51"/>
      <c r="C130" s="99"/>
      <c r="D130" s="101"/>
      <c r="E130" s="102"/>
      <c r="F130" s="51"/>
      <c r="G130" s="103"/>
      <c r="H130" s="103"/>
      <c r="I130" s="104"/>
      <c r="J130" s="101"/>
      <c r="K130" s="101"/>
      <c r="M130" s="51"/>
      <c r="N130" s="51"/>
      <c r="O130" s="51"/>
      <c r="P130" s="51"/>
      <c r="Q130" s="51"/>
      <c r="R130" s="36"/>
      <c r="S130" s="51"/>
      <c r="T130" s="59"/>
      <c r="U130" s="112"/>
      <c r="V130" s="39"/>
      <c r="W130" s="39"/>
      <c r="X130" s="40"/>
      <c r="Y130" s="39"/>
      <c r="Z130" s="41"/>
      <c r="AA130" s="41"/>
      <c r="AB130" s="51"/>
      <c r="AC130" s="51"/>
      <c r="AD130" s="51"/>
      <c r="AE130" s="51"/>
      <c r="AF130" s="51"/>
      <c r="AG130" s="51"/>
      <c r="AH130" s="51"/>
      <c r="AI130" s="106"/>
      <c r="AJ130" s="61"/>
      <c r="AK130" s="106"/>
      <c r="AL130" s="61"/>
      <c r="AM130" s="107"/>
      <c r="AN130" s="99"/>
      <c r="AO130" s="99"/>
      <c r="AP130" s="51"/>
      <c r="AQ130" s="51"/>
      <c r="AR130" s="51"/>
      <c r="AS130" s="101"/>
      <c r="AT130" s="101"/>
      <c r="AU130" s="51"/>
      <c r="AV130" s="51"/>
      <c r="AW130" s="51"/>
      <c r="AX130" s="51"/>
      <c r="AY130" s="106"/>
      <c r="AZ130" s="106"/>
      <c r="BA130" s="106"/>
      <c r="BB130" s="106"/>
      <c r="BC130" s="38"/>
      <c r="BD130" s="38"/>
      <c r="BE130" s="34"/>
      <c r="BF130" s="51"/>
      <c r="BG130" s="36"/>
      <c r="BH130" s="51"/>
      <c r="BI130" s="99"/>
      <c r="BJ130" s="99"/>
      <c r="BK130" s="51"/>
      <c r="BL130" s="51"/>
      <c r="BM130" s="51"/>
      <c r="BN130" s="51"/>
      <c r="BO130" s="99"/>
      <c r="BP130" s="99"/>
      <c r="BQ130" s="99"/>
      <c r="BR130" s="99"/>
      <c r="BS130" s="51"/>
      <c r="BT130" s="99"/>
      <c r="BU130" s="99"/>
      <c r="BV130" s="99"/>
      <c r="BW130" s="51"/>
      <c r="BX130" s="51"/>
      <c r="BY130" s="100"/>
      <c r="BZ130" s="100"/>
      <c r="CA130" s="36"/>
      <c r="CB130" s="36"/>
      <c r="CC130" s="51"/>
      <c r="CD130" s="36"/>
      <c r="CE130" s="36"/>
      <c r="CF130" s="36"/>
      <c r="CG130" s="36"/>
      <c r="CH130" s="51"/>
      <c r="CI130" s="36"/>
      <c r="CJ130" s="36"/>
      <c r="CK130" s="36"/>
      <c r="CL130" s="36"/>
      <c r="CM130" s="51"/>
      <c r="CN130" s="36"/>
      <c r="CO130" s="36"/>
      <c r="CP130" s="36"/>
      <c r="CQ130" s="36"/>
      <c r="CR130" s="51"/>
      <c r="CS130" s="36"/>
      <c r="CT130" s="36"/>
      <c r="CU130" s="36"/>
      <c r="CV130" s="36"/>
      <c r="CW130" s="51"/>
      <c r="CX130" s="36"/>
      <c r="CY130" s="36"/>
      <c r="CZ130" s="36"/>
      <c r="DA130" s="36"/>
      <c r="DB130" s="51"/>
      <c r="DC130" s="36"/>
      <c r="DD130" s="36"/>
      <c r="DE130" s="36"/>
      <c r="DF130" s="36"/>
      <c r="DG130" s="51"/>
      <c r="DH130" s="36"/>
      <c r="DI130" s="36"/>
      <c r="DJ130" s="36"/>
      <c r="DK130" s="36"/>
      <c r="DL130" s="51"/>
      <c r="DM130" s="51"/>
      <c r="DN130" s="51"/>
    </row>
    <row r="131" spans="1:118" ht="15.75" customHeight="1">
      <c r="A131" s="171"/>
      <c r="B131" s="51"/>
      <c r="C131" s="99"/>
      <c r="D131" s="101"/>
      <c r="E131" s="102"/>
      <c r="F131" s="51"/>
      <c r="G131" s="103"/>
      <c r="H131" s="103"/>
      <c r="I131" s="104"/>
      <c r="J131" s="101"/>
      <c r="K131" s="101"/>
      <c r="M131" s="51"/>
      <c r="N131" s="51"/>
      <c r="O131" s="51"/>
      <c r="P131" s="51"/>
      <c r="Q131" s="51"/>
      <c r="R131" s="36"/>
      <c r="S131" s="51"/>
      <c r="T131" s="59"/>
      <c r="U131" s="112"/>
      <c r="V131" s="39"/>
      <c r="W131" s="39"/>
      <c r="X131" s="40"/>
      <c r="Y131" s="39"/>
      <c r="Z131" s="41"/>
      <c r="AA131" s="41"/>
      <c r="AB131" s="51"/>
      <c r="AC131" s="51"/>
      <c r="AD131" s="51"/>
      <c r="AE131" s="51"/>
      <c r="AF131" s="51"/>
      <c r="AG131" s="51"/>
      <c r="AH131" s="51"/>
      <c r="AI131" s="106"/>
      <c r="AJ131" s="61"/>
      <c r="AK131" s="106"/>
      <c r="AL131" s="61"/>
      <c r="AM131" s="107"/>
      <c r="AN131" s="99"/>
      <c r="AO131" s="99"/>
      <c r="AP131" s="51"/>
      <c r="AQ131" s="51"/>
      <c r="AR131" s="51"/>
      <c r="AS131" s="101"/>
      <c r="AT131" s="101"/>
      <c r="AU131" s="51"/>
      <c r="AV131" s="51"/>
      <c r="AW131" s="51"/>
      <c r="AX131" s="51"/>
      <c r="AY131" s="106"/>
      <c r="AZ131" s="106"/>
      <c r="BA131" s="106"/>
      <c r="BB131" s="106"/>
      <c r="BC131" s="38"/>
      <c r="BD131" s="38"/>
      <c r="BE131" s="34"/>
      <c r="BF131" s="51"/>
      <c r="BG131" s="36"/>
      <c r="BH131" s="51"/>
      <c r="BI131" s="99"/>
      <c r="BJ131" s="99"/>
      <c r="BK131" s="51"/>
      <c r="BL131" s="51"/>
      <c r="BM131" s="51"/>
      <c r="BN131" s="51"/>
      <c r="BO131" s="99"/>
      <c r="BP131" s="99"/>
      <c r="BQ131" s="99"/>
      <c r="BR131" s="99"/>
      <c r="BS131" s="51"/>
      <c r="BT131" s="99"/>
      <c r="BU131" s="99"/>
      <c r="BV131" s="99"/>
      <c r="BW131" s="51"/>
      <c r="BX131" s="51"/>
      <c r="BY131" s="100"/>
      <c r="BZ131" s="100"/>
      <c r="CA131" s="36"/>
      <c r="CB131" s="36"/>
      <c r="CC131" s="51"/>
      <c r="CD131" s="36"/>
      <c r="CE131" s="36"/>
      <c r="CF131" s="36"/>
      <c r="CG131" s="36"/>
      <c r="CH131" s="51"/>
      <c r="CI131" s="36"/>
      <c r="CJ131" s="36"/>
      <c r="CK131" s="36"/>
      <c r="CL131" s="36"/>
      <c r="CM131" s="51"/>
      <c r="CN131" s="36"/>
      <c r="CO131" s="36"/>
      <c r="CP131" s="36"/>
      <c r="CQ131" s="36"/>
      <c r="CR131" s="51"/>
      <c r="CS131" s="36"/>
      <c r="CT131" s="36"/>
      <c r="CU131" s="36"/>
      <c r="CV131" s="36"/>
      <c r="CW131" s="51"/>
      <c r="CX131" s="36"/>
      <c r="CY131" s="36"/>
      <c r="CZ131" s="36"/>
      <c r="DA131" s="36"/>
      <c r="DB131" s="51"/>
      <c r="DC131" s="36"/>
      <c r="DD131" s="36"/>
      <c r="DE131" s="36"/>
      <c r="DF131" s="36"/>
      <c r="DG131" s="51"/>
      <c r="DH131" s="36"/>
      <c r="DI131" s="36"/>
      <c r="DJ131" s="36"/>
      <c r="DK131" s="36"/>
      <c r="DL131" s="51"/>
      <c r="DM131" s="51"/>
      <c r="DN131" s="51"/>
    </row>
    <row r="132" spans="1:118" ht="15.75" customHeight="1">
      <c r="A132" s="171"/>
      <c r="B132" s="51"/>
      <c r="C132" s="99"/>
      <c r="D132" s="101"/>
      <c r="E132" s="102"/>
      <c r="F132" s="51"/>
      <c r="G132" s="103"/>
      <c r="H132" s="103"/>
      <c r="I132" s="104"/>
      <c r="J132" s="101"/>
      <c r="K132" s="101"/>
      <c r="M132" s="51"/>
      <c r="N132" s="51"/>
      <c r="O132" s="51"/>
      <c r="P132" s="51"/>
      <c r="Q132" s="51"/>
      <c r="R132" s="36"/>
      <c r="S132" s="51"/>
      <c r="T132" s="59"/>
      <c r="U132" s="112"/>
      <c r="V132" s="39"/>
      <c r="W132" s="39"/>
      <c r="X132" s="40"/>
      <c r="Y132" s="39"/>
      <c r="Z132" s="41"/>
      <c r="AA132" s="41"/>
      <c r="AB132" s="51"/>
      <c r="AC132" s="51"/>
      <c r="AD132" s="51"/>
      <c r="AE132" s="51"/>
      <c r="AF132" s="51"/>
      <c r="AG132" s="51"/>
      <c r="AH132" s="51"/>
      <c r="AI132" s="106"/>
      <c r="AJ132" s="61"/>
      <c r="AK132" s="106"/>
      <c r="AL132" s="61"/>
      <c r="AM132" s="107"/>
      <c r="AN132" s="99"/>
      <c r="AO132" s="99"/>
      <c r="AP132" s="51"/>
      <c r="AQ132" s="51"/>
      <c r="AR132" s="51"/>
      <c r="AS132" s="101"/>
      <c r="AT132" s="101"/>
      <c r="AU132" s="51"/>
      <c r="AV132" s="51"/>
      <c r="AW132" s="51"/>
      <c r="AX132" s="51"/>
      <c r="AY132" s="106"/>
      <c r="AZ132" s="106"/>
      <c r="BA132" s="106"/>
      <c r="BB132" s="106"/>
      <c r="BC132" s="38"/>
      <c r="BD132" s="38"/>
      <c r="BE132" s="34"/>
      <c r="BF132" s="51"/>
      <c r="BG132" s="36"/>
      <c r="BH132" s="51"/>
      <c r="BI132" s="99"/>
      <c r="BJ132" s="99"/>
      <c r="BK132" s="51"/>
      <c r="BL132" s="51"/>
      <c r="BM132" s="51"/>
      <c r="BN132" s="51"/>
      <c r="BO132" s="99"/>
      <c r="BP132" s="99"/>
      <c r="BQ132" s="99"/>
      <c r="BR132" s="99"/>
      <c r="BS132" s="51"/>
      <c r="BT132" s="99"/>
      <c r="BU132" s="99"/>
      <c r="BV132" s="99"/>
      <c r="BW132" s="51"/>
      <c r="BX132" s="51"/>
      <c r="BY132" s="100"/>
      <c r="BZ132" s="100"/>
      <c r="CA132" s="36"/>
      <c r="CB132" s="36"/>
      <c r="CC132" s="51"/>
      <c r="CD132" s="36"/>
      <c r="CE132" s="36"/>
      <c r="CF132" s="36"/>
      <c r="CG132" s="36"/>
      <c r="CH132" s="51"/>
      <c r="CI132" s="36"/>
      <c r="CJ132" s="36"/>
      <c r="CK132" s="36"/>
      <c r="CL132" s="36"/>
      <c r="CM132" s="51"/>
      <c r="CN132" s="36"/>
      <c r="CO132" s="36"/>
      <c r="CP132" s="36"/>
      <c r="CQ132" s="36"/>
      <c r="CR132" s="51"/>
      <c r="CS132" s="36"/>
      <c r="CT132" s="36"/>
      <c r="CU132" s="36"/>
      <c r="CV132" s="36"/>
      <c r="CW132" s="51"/>
      <c r="CX132" s="36"/>
      <c r="CY132" s="36"/>
      <c r="CZ132" s="36"/>
      <c r="DA132" s="36"/>
      <c r="DB132" s="51"/>
      <c r="DC132" s="36"/>
      <c r="DD132" s="36"/>
      <c r="DE132" s="36"/>
      <c r="DF132" s="36"/>
      <c r="DG132" s="51"/>
      <c r="DH132" s="36"/>
      <c r="DI132" s="36"/>
      <c r="DJ132" s="36"/>
      <c r="DK132" s="36"/>
      <c r="DL132" s="51"/>
      <c r="DM132" s="51"/>
      <c r="DN132" s="51"/>
    </row>
    <row r="133" spans="1:118" ht="15.75" customHeight="1">
      <c r="A133" s="171"/>
      <c r="B133" s="51"/>
      <c r="C133" s="99"/>
      <c r="D133" s="101"/>
      <c r="E133" s="102"/>
      <c r="F133" s="51"/>
      <c r="G133" s="103"/>
      <c r="H133" s="103"/>
      <c r="I133" s="104"/>
      <c r="J133" s="101"/>
      <c r="K133" s="101"/>
      <c r="M133" s="51"/>
      <c r="N133" s="51"/>
      <c r="O133" s="51"/>
      <c r="P133" s="51"/>
      <c r="Q133" s="51"/>
      <c r="R133" s="36"/>
      <c r="S133" s="51"/>
      <c r="T133" s="59"/>
      <c r="U133" s="112"/>
      <c r="V133" s="39"/>
      <c r="W133" s="39"/>
      <c r="X133" s="40"/>
      <c r="Y133" s="39"/>
      <c r="Z133" s="41"/>
      <c r="AA133" s="41"/>
      <c r="AB133" s="51"/>
      <c r="AC133" s="51"/>
      <c r="AD133" s="51"/>
      <c r="AE133" s="51"/>
      <c r="AF133" s="51"/>
      <c r="AG133" s="51"/>
      <c r="AH133" s="51"/>
      <c r="AI133" s="106"/>
      <c r="AJ133" s="61"/>
      <c r="AK133" s="106"/>
      <c r="AL133" s="61"/>
      <c r="AM133" s="107"/>
      <c r="AN133" s="99"/>
      <c r="AO133" s="99"/>
      <c r="AP133" s="51"/>
      <c r="AQ133" s="51"/>
      <c r="AR133" s="51"/>
      <c r="AS133" s="101"/>
      <c r="AT133" s="101"/>
      <c r="AU133" s="51"/>
      <c r="AV133" s="51"/>
      <c r="AW133" s="51"/>
      <c r="AX133" s="51"/>
      <c r="AY133" s="106"/>
      <c r="AZ133" s="106"/>
      <c r="BA133" s="106"/>
      <c r="BB133" s="106"/>
      <c r="BC133" s="38"/>
      <c r="BD133" s="38"/>
      <c r="BE133" s="34"/>
      <c r="BF133" s="51"/>
      <c r="BG133" s="36"/>
      <c r="BH133" s="51"/>
      <c r="BI133" s="99"/>
      <c r="BJ133" s="99"/>
      <c r="BK133" s="51"/>
      <c r="BL133" s="51"/>
      <c r="BM133" s="51"/>
      <c r="BN133" s="51"/>
      <c r="BO133" s="99"/>
      <c r="BP133" s="99"/>
      <c r="BQ133" s="99"/>
      <c r="BR133" s="99"/>
      <c r="BS133" s="51"/>
      <c r="BT133" s="99"/>
      <c r="BU133" s="99"/>
      <c r="BV133" s="99"/>
      <c r="BW133" s="51"/>
      <c r="BX133" s="51"/>
      <c r="BY133" s="100"/>
      <c r="BZ133" s="100"/>
      <c r="CA133" s="36"/>
      <c r="CB133" s="36"/>
      <c r="CC133" s="51"/>
      <c r="CD133" s="36"/>
      <c r="CE133" s="36"/>
      <c r="CF133" s="36"/>
      <c r="CG133" s="36"/>
      <c r="CH133" s="51"/>
      <c r="CI133" s="36"/>
      <c r="CJ133" s="36"/>
      <c r="CK133" s="36"/>
      <c r="CL133" s="36"/>
      <c r="CM133" s="51"/>
      <c r="CN133" s="36"/>
      <c r="CO133" s="36"/>
      <c r="CP133" s="36"/>
      <c r="CQ133" s="36"/>
      <c r="CR133" s="51"/>
      <c r="CS133" s="36"/>
      <c r="CT133" s="36"/>
      <c r="CU133" s="36"/>
      <c r="CV133" s="36"/>
      <c r="CW133" s="51"/>
      <c r="CX133" s="36"/>
      <c r="CY133" s="36"/>
      <c r="CZ133" s="36"/>
      <c r="DA133" s="36"/>
      <c r="DB133" s="51"/>
      <c r="DC133" s="36"/>
      <c r="DD133" s="36"/>
      <c r="DE133" s="36"/>
      <c r="DF133" s="36"/>
      <c r="DG133" s="51"/>
      <c r="DH133" s="36"/>
      <c r="DI133" s="36"/>
      <c r="DJ133" s="36"/>
      <c r="DK133" s="36"/>
      <c r="DL133" s="51"/>
      <c r="DM133" s="51"/>
      <c r="DN133" s="51"/>
    </row>
    <row r="134" spans="1:118" ht="15.75" customHeight="1">
      <c r="A134" s="171"/>
      <c r="B134" s="51"/>
      <c r="C134" s="99"/>
      <c r="D134" s="101"/>
      <c r="E134" s="102"/>
      <c r="F134" s="51"/>
      <c r="G134" s="103"/>
      <c r="H134" s="103"/>
      <c r="I134" s="104"/>
      <c r="J134" s="101"/>
      <c r="K134" s="101"/>
      <c r="M134" s="51"/>
      <c r="N134" s="51"/>
      <c r="O134" s="51"/>
      <c r="P134" s="51"/>
      <c r="Q134" s="51"/>
      <c r="R134" s="36"/>
      <c r="S134" s="51"/>
      <c r="T134" s="59"/>
      <c r="U134" s="112"/>
      <c r="V134" s="39"/>
      <c r="W134" s="39"/>
      <c r="X134" s="40"/>
      <c r="Y134" s="39"/>
      <c r="Z134" s="41"/>
      <c r="AA134" s="41"/>
      <c r="AB134" s="51"/>
      <c r="AC134" s="51"/>
      <c r="AD134" s="51"/>
      <c r="AE134" s="51"/>
      <c r="AF134" s="51"/>
      <c r="AG134" s="51"/>
      <c r="AH134" s="51"/>
      <c r="AI134" s="106"/>
      <c r="AJ134" s="61"/>
      <c r="AK134" s="106"/>
      <c r="AL134" s="61"/>
      <c r="AM134" s="107"/>
      <c r="AN134" s="99"/>
      <c r="AO134" s="99"/>
      <c r="AP134" s="51"/>
      <c r="AQ134" s="51"/>
      <c r="AR134" s="51"/>
      <c r="AS134" s="101"/>
      <c r="AT134" s="101"/>
      <c r="AU134" s="51"/>
      <c r="AV134" s="51"/>
      <c r="AW134" s="51"/>
      <c r="AX134" s="51"/>
      <c r="AY134" s="106"/>
      <c r="AZ134" s="106"/>
      <c r="BA134" s="106"/>
      <c r="BB134" s="106"/>
      <c r="BC134" s="38"/>
      <c r="BD134" s="38"/>
      <c r="BE134" s="34"/>
      <c r="BF134" s="51"/>
      <c r="BG134" s="36"/>
      <c r="BH134" s="51"/>
      <c r="BI134" s="99"/>
      <c r="BJ134" s="99"/>
      <c r="BK134" s="51"/>
      <c r="BL134" s="51"/>
      <c r="BM134" s="51"/>
      <c r="BN134" s="51"/>
      <c r="BO134" s="99"/>
      <c r="BP134" s="99"/>
      <c r="BQ134" s="99"/>
      <c r="BR134" s="99"/>
      <c r="BS134" s="51"/>
      <c r="BT134" s="99"/>
      <c r="BU134" s="99"/>
      <c r="BV134" s="99"/>
      <c r="BW134" s="51"/>
      <c r="BX134" s="51"/>
      <c r="BY134" s="100"/>
      <c r="BZ134" s="100"/>
      <c r="CA134" s="36"/>
      <c r="CB134" s="36"/>
      <c r="CC134" s="51"/>
      <c r="CD134" s="36"/>
      <c r="CE134" s="36"/>
      <c r="CF134" s="36"/>
      <c r="CG134" s="36"/>
      <c r="CH134" s="51"/>
      <c r="CI134" s="36"/>
      <c r="CJ134" s="36"/>
      <c r="CK134" s="36"/>
      <c r="CL134" s="36"/>
      <c r="CM134" s="51"/>
      <c r="CN134" s="36"/>
      <c r="CO134" s="36"/>
      <c r="CP134" s="36"/>
      <c r="CQ134" s="36"/>
      <c r="CR134" s="51"/>
      <c r="CS134" s="36"/>
      <c r="CT134" s="36"/>
      <c r="CU134" s="36"/>
      <c r="CV134" s="36"/>
      <c r="CW134" s="51"/>
      <c r="CX134" s="36"/>
      <c r="CY134" s="36"/>
      <c r="CZ134" s="36"/>
      <c r="DA134" s="36"/>
      <c r="DB134" s="51"/>
      <c r="DC134" s="36"/>
      <c r="DD134" s="36"/>
      <c r="DE134" s="36"/>
      <c r="DF134" s="36"/>
      <c r="DG134" s="51"/>
      <c r="DH134" s="36"/>
      <c r="DI134" s="36"/>
      <c r="DJ134" s="36"/>
      <c r="DK134" s="36"/>
      <c r="DL134" s="51"/>
      <c r="DM134" s="51"/>
      <c r="DN134" s="51"/>
    </row>
    <row r="135" spans="1:118" ht="15.75" customHeight="1">
      <c r="A135" s="171"/>
      <c r="B135" s="51"/>
      <c r="C135" s="99"/>
      <c r="D135" s="101"/>
      <c r="E135" s="102"/>
      <c r="F135" s="51"/>
      <c r="G135" s="103"/>
      <c r="H135" s="103"/>
      <c r="I135" s="104"/>
      <c r="J135" s="101"/>
      <c r="K135" s="101"/>
      <c r="M135" s="51"/>
      <c r="N135" s="51"/>
      <c r="O135" s="51"/>
      <c r="P135" s="51"/>
      <c r="Q135" s="51"/>
      <c r="R135" s="36"/>
      <c r="S135" s="51"/>
      <c r="T135" s="59"/>
      <c r="U135" s="112"/>
      <c r="V135" s="39"/>
      <c r="W135" s="39"/>
      <c r="X135" s="40"/>
      <c r="Y135" s="39"/>
      <c r="Z135" s="41"/>
      <c r="AA135" s="41"/>
      <c r="AB135" s="51"/>
      <c r="AC135" s="51"/>
      <c r="AD135" s="51"/>
      <c r="AE135" s="51"/>
      <c r="AF135" s="51"/>
      <c r="AG135" s="51"/>
      <c r="AH135" s="51"/>
      <c r="AI135" s="106"/>
      <c r="AJ135" s="61"/>
      <c r="AK135" s="106"/>
      <c r="AL135" s="61"/>
      <c r="AM135" s="107"/>
      <c r="AN135" s="99"/>
      <c r="AO135" s="99"/>
      <c r="AP135" s="51"/>
      <c r="AQ135" s="51"/>
      <c r="AR135" s="51"/>
      <c r="AS135" s="101"/>
      <c r="AT135" s="101"/>
      <c r="AU135" s="51"/>
      <c r="AV135" s="51"/>
      <c r="AW135" s="51"/>
      <c r="AX135" s="51"/>
      <c r="AY135" s="106"/>
      <c r="AZ135" s="106"/>
      <c r="BA135" s="106"/>
      <c r="BB135" s="106"/>
      <c r="BC135" s="38"/>
      <c r="BD135" s="38"/>
      <c r="BE135" s="34"/>
      <c r="BF135" s="51"/>
      <c r="BG135" s="36"/>
      <c r="BH135" s="51"/>
      <c r="BI135" s="99"/>
      <c r="BJ135" s="99"/>
      <c r="BK135" s="51"/>
      <c r="BL135" s="51"/>
      <c r="BM135" s="51"/>
      <c r="BN135" s="51"/>
      <c r="BO135" s="99"/>
      <c r="BP135" s="99"/>
      <c r="BQ135" s="99"/>
      <c r="BR135" s="99"/>
      <c r="BS135" s="51"/>
      <c r="BT135" s="99"/>
      <c r="BU135" s="99"/>
      <c r="BV135" s="99"/>
      <c r="BW135" s="51"/>
      <c r="BX135" s="51"/>
      <c r="BY135" s="100"/>
      <c r="BZ135" s="100"/>
      <c r="CA135" s="36"/>
      <c r="CB135" s="36"/>
      <c r="CC135" s="51"/>
      <c r="CD135" s="36"/>
      <c r="CE135" s="36"/>
      <c r="CF135" s="36"/>
      <c r="CG135" s="36"/>
      <c r="CH135" s="51"/>
      <c r="CI135" s="36"/>
      <c r="CJ135" s="36"/>
      <c r="CK135" s="36"/>
      <c r="CL135" s="36"/>
      <c r="CM135" s="51"/>
      <c r="CN135" s="36"/>
      <c r="CO135" s="36"/>
      <c r="CP135" s="36"/>
      <c r="CQ135" s="36"/>
      <c r="CR135" s="51"/>
      <c r="CS135" s="36"/>
      <c r="CT135" s="36"/>
      <c r="CU135" s="36"/>
      <c r="CV135" s="36"/>
      <c r="CW135" s="51"/>
      <c r="CX135" s="36"/>
      <c r="CY135" s="36"/>
      <c r="CZ135" s="36"/>
      <c r="DA135" s="36"/>
      <c r="DB135" s="51"/>
      <c r="DC135" s="36"/>
      <c r="DD135" s="36"/>
      <c r="DE135" s="36"/>
      <c r="DF135" s="36"/>
      <c r="DG135" s="51"/>
      <c r="DH135" s="36"/>
      <c r="DI135" s="36"/>
      <c r="DJ135" s="36"/>
      <c r="DK135" s="36"/>
      <c r="DL135" s="51"/>
      <c r="DM135" s="51"/>
      <c r="DN135" s="51"/>
    </row>
    <row r="136" spans="1:118" ht="15.75" customHeight="1">
      <c r="A136" s="171"/>
      <c r="B136" s="51"/>
      <c r="C136" s="99"/>
      <c r="D136" s="101"/>
      <c r="E136" s="102"/>
      <c r="F136" s="51"/>
      <c r="G136" s="103"/>
      <c r="H136" s="103"/>
      <c r="I136" s="104"/>
      <c r="J136" s="101"/>
      <c r="K136" s="101"/>
      <c r="M136" s="51"/>
      <c r="N136" s="51"/>
      <c r="O136" s="51"/>
      <c r="P136" s="51"/>
      <c r="Q136" s="51"/>
      <c r="R136" s="36"/>
      <c r="S136" s="51"/>
      <c r="T136" s="59"/>
      <c r="U136" s="112"/>
      <c r="V136" s="39"/>
      <c r="W136" s="39"/>
      <c r="X136" s="40"/>
      <c r="Y136" s="39"/>
      <c r="Z136" s="41"/>
      <c r="AA136" s="41"/>
      <c r="AB136" s="51"/>
      <c r="AC136" s="51"/>
      <c r="AD136" s="51"/>
      <c r="AE136" s="51"/>
      <c r="AF136" s="51"/>
      <c r="AG136" s="51"/>
      <c r="AH136" s="51"/>
      <c r="AI136" s="106"/>
      <c r="AJ136" s="61"/>
      <c r="AK136" s="106"/>
      <c r="AL136" s="61"/>
      <c r="AM136" s="107"/>
      <c r="AN136" s="99"/>
      <c r="AO136" s="99"/>
      <c r="AP136" s="51"/>
      <c r="AQ136" s="51"/>
      <c r="AR136" s="51"/>
      <c r="AS136" s="101"/>
      <c r="AT136" s="101"/>
      <c r="AU136" s="51"/>
      <c r="AV136" s="51"/>
      <c r="AW136" s="51"/>
      <c r="AX136" s="51"/>
      <c r="AY136" s="106"/>
      <c r="AZ136" s="106"/>
      <c r="BA136" s="106"/>
      <c r="BB136" s="106"/>
      <c r="BC136" s="38"/>
      <c r="BD136" s="38"/>
      <c r="BE136" s="34"/>
      <c r="BF136" s="51"/>
      <c r="BG136" s="36"/>
      <c r="BH136" s="51"/>
      <c r="BI136" s="99"/>
      <c r="BJ136" s="99"/>
      <c r="BK136" s="51"/>
      <c r="BL136" s="51"/>
      <c r="BM136" s="51"/>
      <c r="BN136" s="51"/>
      <c r="BO136" s="99"/>
      <c r="BP136" s="99"/>
      <c r="BQ136" s="99"/>
      <c r="BR136" s="99"/>
      <c r="BS136" s="51"/>
      <c r="BT136" s="99"/>
      <c r="BU136" s="99"/>
      <c r="BV136" s="99"/>
      <c r="BW136" s="51"/>
      <c r="BX136" s="51"/>
      <c r="BY136" s="100"/>
      <c r="BZ136" s="100"/>
      <c r="CA136" s="36"/>
      <c r="CB136" s="36"/>
      <c r="CC136" s="51"/>
      <c r="CD136" s="36"/>
      <c r="CE136" s="36"/>
      <c r="CF136" s="36"/>
      <c r="CG136" s="36"/>
      <c r="CH136" s="51"/>
      <c r="CI136" s="36"/>
      <c r="CJ136" s="36"/>
      <c r="CK136" s="36"/>
      <c r="CL136" s="36"/>
      <c r="CM136" s="51"/>
      <c r="CN136" s="36"/>
      <c r="CO136" s="36"/>
      <c r="CP136" s="36"/>
      <c r="CQ136" s="36"/>
      <c r="CR136" s="51"/>
      <c r="CS136" s="36"/>
      <c r="CT136" s="36"/>
      <c r="CU136" s="36"/>
      <c r="CV136" s="36"/>
      <c r="CW136" s="51"/>
      <c r="CX136" s="36"/>
      <c r="CY136" s="36"/>
      <c r="CZ136" s="36"/>
      <c r="DA136" s="36"/>
      <c r="DB136" s="51"/>
      <c r="DC136" s="36"/>
      <c r="DD136" s="36"/>
      <c r="DE136" s="36"/>
      <c r="DF136" s="36"/>
      <c r="DG136" s="51"/>
      <c r="DH136" s="36"/>
      <c r="DI136" s="36"/>
      <c r="DJ136" s="36"/>
      <c r="DK136" s="36"/>
      <c r="DL136" s="51"/>
      <c r="DM136" s="51"/>
      <c r="DN136" s="51"/>
    </row>
    <row r="137" spans="1:118" ht="15.75" customHeight="1">
      <c r="A137" s="171"/>
      <c r="B137" s="51"/>
      <c r="C137" s="99"/>
      <c r="D137" s="101"/>
      <c r="E137" s="102"/>
      <c r="F137" s="51"/>
      <c r="G137" s="103"/>
      <c r="H137" s="103"/>
      <c r="I137" s="104"/>
      <c r="J137" s="101"/>
      <c r="K137" s="101"/>
      <c r="M137" s="51"/>
      <c r="N137" s="51"/>
      <c r="O137" s="51"/>
      <c r="P137" s="51"/>
      <c r="Q137" s="51"/>
      <c r="R137" s="36"/>
      <c r="S137" s="51"/>
      <c r="T137" s="59"/>
      <c r="U137" s="112"/>
      <c r="V137" s="39"/>
      <c r="W137" s="39"/>
      <c r="X137" s="40"/>
      <c r="Y137" s="39"/>
      <c r="Z137" s="41"/>
      <c r="AA137" s="41"/>
      <c r="AB137" s="51"/>
      <c r="AC137" s="51"/>
      <c r="AD137" s="51"/>
      <c r="AE137" s="51"/>
      <c r="AF137" s="51"/>
      <c r="AG137" s="51"/>
      <c r="AH137" s="51"/>
      <c r="AI137" s="106"/>
      <c r="AJ137" s="61"/>
      <c r="AK137" s="106"/>
      <c r="AL137" s="61"/>
      <c r="AM137" s="107"/>
      <c r="AN137" s="99"/>
      <c r="AO137" s="99"/>
      <c r="AP137" s="51"/>
      <c r="AQ137" s="51"/>
      <c r="AR137" s="51"/>
      <c r="AS137" s="101"/>
      <c r="AT137" s="101"/>
      <c r="AU137" s="51"/>
      <c r="AV137" s="51"/>
      <c r="AW137" s="51"/>
      <c r="AX137" s="51"/>
      <c r="AY137" s="106"/>
      <c r="AZ137" s="106"/>
      <c r="BA137" s="106"/>
      <c r="BB137" s="106"/>
      <c r="BC137" s="38"/>
      <c r="BD137" s="38"/>
      <c r="BE137" s="34"/>
      <c r="BF137" s="51"/>
      <c r="BG137" s="36"/>
      <c r="BH137" s="51"/>
      <c r="BI137" s="99"/>
      <c r="BJ137" s="99"/>
      <c r="BK137" s="51"/>
      <c r="BL137" s="51"/>
      <c r="BM137" s="51"/>
      <c r="BN137" s="51"/>
      <c r="BO137" s="99"/>
      <c r="BP137" s="99"/>
      <c r="BQ137" s="99"/>
      <c r="BR137" s="99"/>
      <c r="BS137" s="51"/>
      <c r="BT137" s="99"/>
      <c r="BU137" s="99"/>
      <c r="BV137" s="99"/>
      <c r="BW137" s="51"/>
      <c r="BX137" s="51"/>
      <c r="BY137" s="100"/>
      <c r="BZ137" s="100"/>
      <c r="CA137" s="36"/>
      <c r="CB137" s="36"/>
      <c r="CC137" s="51"/>
      <c r="CD137" s="36"/>
      <c r="CE137" s="36"/>
      <c r="CF137" s="36"/>
      <c r="CG137" s="36"/>
      <c r="CH137" s="51"/>
      <c r="CI137" s="36"/>
      <c r="CJ137" s="36"/>
      <c r="CK137" s="36"/>
      <c r="CL137" s="36"/>
      <c r="CM137" s="51"/>
      <c r="CN137" s="36"/>
      <c r="CO137" s="36"/>
      <c r="CP137" s="36"/>
      <c r="CQ137" s="36"/>
      <c r="CR137" s="51"/>
      <c r="CS137" s="36"/>
      <c r="CT137" s="36"/>
      <c r="CU137" s="36"/>
      <c r="CV137" s="36"/>
      <c r="CW137" s="51"/>
      <c r="CX137" s="36"/>
      <c r="CY137" s="36"/>
      <c r="CZ137" s="36"/>
      <c r="DA137" s="36"/>
      <c r="DB137" s="51"/>
      <c r="DC137" s="36"/>
      <c r="DD137" s="36"/>
      <c r="DE137" s="36"/>
      <c r="DF137" s="36"/>
      <c r="DG137" s="51"/>
      <c r="DH137" s="36"/>
      <c r="DI137" s="36"/>
      <c r="DJ137" s="36"/>
      <c r="DK137" s="36"/>
      <c r="DL137" s="51"/>
      <c r="DM137" s="51"/>
      <c r="DN137" s="51"/>
    </row>
    <row r="138" spans="1:118" ht="15.75" customHeight="1">
      <c r="A138" s="171"/>
      <c r="B138" s="51"/>
      <c r="C138" s="99"/>
      <c r="D138" s="101"/>
      <c r="E138" s="102"/>
      <c r="F138" s="51"/>
      <c r="G138" s="103"/>
      <c r="H138" s="103"/>
      <c r="I138" s="104"/>
      <c r="J138" s="101"/>
      <c r="K138" s="101"/>
      <c r="M138" s="51"/>
      <c r="N138" s="51"/>
      <c r="O138" s="51"/>
      <c r="P138" s="51"/>
      <c r="Q138" s="51"/>
      <c r="R138" s="36"/>
      <c r="S138" s="51"/>
      <c r="T138" s="59"/>
      <c r="U138" s="112"/>
      <c r="V138" s="39"/>
      <c r="W138" s="39"/>
      <c r="X138" s="40"/>
      <c r="Y138" s="39"/>
      <c r="Z138" s="41"/>
      <c r="AA138" s="41"/>
      <c r="AB138" s="51"/>
      <c r="AC138" s="51"/>
      <c r="AD138" s="51"/>
      <c r="AE138" s="51"/>
      <c r="AF138" s="51"/>
      <c r="AG138" s="51"/>
      <c r="AH138" s="51"/>
      <c r="AI138" s="106"/>
      <c r="AJ138" s="61"/>
      <c r="AK138" s="106"/>
      <c r="AL138" s="61"/>
      <c r="AM138" s="107"/>
      <c r="AN138" s="99"/>
      <c r="AO138" s="99"/>
      <c r="AP138" s="51"/>
      <c r="AQ138" s="51"/>
      <c r="AR138" s="51"/>
      <c r="AS138" s="101"/>
      <c r="AT138" s="101"/>
      <c r="AU138" s="51"/>
      <c r="AV138" s="51"/>
      <c r="AW138" s="51"/>
      <c r="AX138" s="51"/>
      <c r="AY138" s="106"/>
      <c r="AZ138" s="106"/>
      <c r="BA138" s="106"/>
      <c r="BB138" s="106"/>
      <c r="BC138" s="38"/>
      <c r="BD138" s="38"/>
      <c r="BE138" s="34"/>
      <c r="BF138" s="51"/>
      <c r="BG138" s="36"/>
      <c r="BH138" s="51"/>
      <c r="BI138" s="99"/>
      <c r="BJ138" s="99"/>
      <c r="BK138" s="51"/>
      <c r="BL138" s="51"/>
      <c r="BM138" s="51"/>
      <c r="BN138" s="51"/>
      <c r="BO138" s="99"/>
      <c r="BP138" s="99"/>
      <c r="BQ138" s="99"/>
      <c r="BR138" s="99"/>
      <c r="BS138" s="51"/>
      <c r="BT138" s="99"/>
      <c r="BU138" s="99"/>
      <c r="BV138" s="99"/>
      <c r="BW138" s="51"/>
      <c r="BX138" s="51"/>
      <c r="BY138" s="100"/>
      <c r="BZ138" s="100"/>
      <c r="CA138" s="36"/>
      <c r="CB138" s="36"/>
      <c r="CC138" s="51"/>
      <c r="CD138" s="36"/>
      <c r="CE138" s="36"/>
      <c r="CF138" s="36"/>
      <c r="CG138" s="36"/>
      <c r="CH138" s="51"/>
      <c r="CI138" s="36"/>
      <c r="CJ138" s="36"/>
      <c r="CK138" s="36"/>
      <c r="CL138" s="36"/>
      <c r="CM138" s="51"/>
      <c r="CN138" s="36"/>
      <c r="CO138" s="36"/>
      <c r="CP138" s="36"/>
      <c r="CQ138" s="36"/>
      <c r="CR138" s="51"/>
      <c r="CS138" s="36"/>
      <c r="CT138" s="36"/>
      <c r="CU138" s="36"/>
      <c r="CV138" s="36"/>
      <c r="CW138" s="51"/>
      <c r="CX138" s="36"/>
      <c r="CY138" s="36"/>
      <c r="CZ138" s="36"/>
      <c r="DA138" s="36"/>
      <c r="DB138" s="51"/>
      <c r="DC138" s="36"/>
      <c r="DD138" s="36"/>
      <c r="DE138" s="36"/>
      <c r="DF138" s="36"/>
      <c r="DG138" s="51"/>
      <c r="DH138" s="36"/>
      <c r="DI138" s="36"/>
      <c r="DJ138" s="36"/>
      <c r="DK138" s="36"/>
      <c r="DL138" s="51"/>
      <c r="DM138" s="51"/>
      <c r="DN138" s="51"/>
    </row>
    <row r="139" spans="1:118" ht="15.75" customHeight="1">
      <c r="A139" s="171"/>
      <c r="B139" s="51"/>
      <c r="C139" s="99"/>
      <c r="D139" s="101"/>
      <c r="E139" s="102"/>
      <c r="F139" s="51"/>
      <c r="G139" s="103"/>
      <c r="H139" s="103"/>
      <c r="I139" s="104"/>
      <c r="J139" s="101"/>
      <c r="K139" s="101"/>
      <c r="M139" s="51"/>
      <c r="N139" s="51"/>
      <c r="O139" s="51"/>
      <c r="P139" s="51"/>
      <c r="Q139" s="51"/>
      <c r="R139" s="36"/>
      <c r="S139" s="51"/>
      <c r="T139" s="59"/>
      <c r="U139" s="112"/>
      <c r="V139" s="39"/>
      <c r="W139" s="39"/>
      <c r="X139" s="40"/>
      <c r="Y139" s="39"/>
      <c r="Z139" s="41"/>
      <c r="AA139" s="41"/>
      <c r="AB139" s="51"/>
      <c r="AC139" s="51"/>
      <c r="AD139" s="51"/>
      <c r="AE139" s="51"/>
      <c r="AF139" s="51"/>
      <c r="AG139" s="51"/>
      <c r="AH139" s="51"/>
      <c r="AI139" s="106"/>
      <c r="AJ139" s="61"/>
      <c r="AK139" s="106"/>
      <c r="AL139" s="61"/>
      <c r="AM139" s="107"/>
      <c r="AN139" s="99"/>
      <c r="AO139" s="99"/>
      <c r="AP139" s="51"/>
      <c r="AQ139" s="51"/>
      <c r="AR139" s="51"/>
      <c r="AS139" s="101"/>
      <c r="AT139" s="101"/>
      <c r="AU139" s="51"/>
      <c r="AV139" s="51"/>
      <c r="AW139" s="51"/>
      <c r="AX139" s="51"/>
      <c r="AY139" s="106"/>
      <c r="AZ139" s="106"/>
      <c r="BA139" s="106"/>
      <c r="BB139" s="106"/>
      <c r="BC139" s="38"/>
      <c r="BD139" s="38"/>
      <c r="BE139" s="34"/>
      <c r="BF139" s="51"/>
      <c r="BG139" s="36"/>
      <c r="BH139" s="51"/>
      <c r="BI139" s="99"/>
      <c r="BJ139" s="99"/>
      <c r="BK139" s="51"/>
      <c r="BL139" s="51"/>
      <c r="BM139" s="51"/>
      <c r="BN139" s="51"/>
      <c r="BO139" s="99"/>
      <c r="BP139" s="99"/>
      <c r="BQ139" s="99"/>
      <c r="BR139" s="99"/>
      <c r="BS139" s="51"/>
      <c r="BT139" s="99"/>
      <c r="BU139" s="99"/>
      <c r="BV139" s="99"/>
      <c r="BW139" s="51"/>
      <c r="BX139" s="51"/>
      <c r="BY139" s="100"/>
      <c r="BZ139" s="100"/>
      <c r="CA139" s="36"/>
      <c r="CB139" s="36"/>
      <c r="CC139" s="51"/>
      <c r="CD139" s="36"/>
      <c r="CE139" s="36"/>
      <c r="CF139" s="36"/>
      <c r="CG139" s="36"/>
      <c r="CH139" s="51"/>
      <c r="CI139" s="36"/>
      <c r="CJ139" s="36"/>
      <c r="CK139" s="36"/>
      <c r="CL139" s="36"/>
      <c r="CM139" s="51"/>
      <c r="CN139" s="36"/>
      <c r="CO139" s="36"/>
      <c r="CP139" s="36"/>
      <c r="CQ139" s="36"/>
      <c r="CR139" s="51"/>
      <c r="CS139" s="36"/>
      <c r="CT139" s="36"/>
      <c r="CU139" s="36"/>
      <c r="CV139" s="36"/>
      <c r="CW139" s="51"/>
      <c r="CX139" s="36"/>
      <c r="CY139" s="36"/>
      <c r="CZ139" s="36"/>
      <c r="DA139" s="36"/>
      <c r="DB139" s="51"/>
      <c r="DC139" s="36"/>
      <c r="DD139" s="36"/>
      <c r="DE139" s="36"/>
      <c r="DF139" s="36"/>
      <c r="DG139" s="51"/>
      <c r="DH139" s="36"/>
      <c r="DI139" s="36"/>
      <c r="DJ139" s="36"/>
      <c r="DK139" s="36"/>
      <c r="DL139" s="51"/>
      <c r="DM139" s="51"/>
      <c r="DN139" s="51"/>
    </row>
    <row r="140" spans="1:118" ht="15.75" customHeight="1">
      <c r="A140" s="171"/>
      <c r="B140" s="51"/>
      <c r="C140" s="99"/>
      <c r="D140" s="101"/>
      <c r="E140" s="102"/>
      <c r="F140" s="51"/>
      <c r="G140" s="103"/>
      <c r="H140" s="103"/>
      <c r="I140" s="104"/>
      <c r="J140" s="101"/>
      <c r="K140" s="101"/>
      <c r="M140" s="51"/>
      <c r="N140" s="51"/>
      <c r="O140" s="51"/>
      <c r="P140" s="51"/>
      <c r="Q140" s="51"/>
      <c r="R140" s="36"/>
      <c r="S140" s="51"/>
      <c r="T140" s="59"/>
      <c r="U140" s="112"/>
      <c r="V140" s="39"/>
      <c r="W140" s="39"/>
      <c r="X140" s="40"/>
      <c r="Y140" s="39"/>
      <c r="Z140" s="41"/>
      <c r="AA140" s="41"/>
      <c r="AB140" s="51"/>
      <c r="AC140" s="51"/>
      <c r="AD140" s="51"/>
      <c r="AE140" s="51"/>
      <c r="AF140" s="51"/>
      <c r="AG140" s="51"/>
      <c r="AH140" s="51"/>
      <c r="AI140" s="106"/>
      <c r="AJ140" s="61"/>
      <c r="AK140" s="106"/>
      <c r="AL140" s="61"/>
      <c r="AM140" s="107"/>
      <c r="AN140" s="99"/>
      <c r="AO140" s="99"/>
      <c r="AP140" s="51"/>
      <c r="AQ140" s="51"/>
      <c r="AR140" s="51"/>
      <c r="AS140" s="101"/>
      <c r="AT140" s="101"/>
      <c r="AU140" s="51"/>
      <c r="AV140" s="51"/>
      <c r="AW140" s="51"/>
      <c r="AX140" s="51"/>
      <c r="AY140" s="106"/>
      <c r="AZ140" s="106"/>
      <c r="BA140" s="106"/>
      <c r="BB140" s="106"/>
      <c r="BC140" s="38"/>
      <c r="BD140" s="38"/>
      <c r="BE140" s="34"/>
      <c r="BF140" s="51"/>
      <c r="BG140" s="36"/>
      <c r="BH140" s="51"/>
      <c r="BI140" s="99"/>
      <c r="BJ140" s="99"/>
      <c r="BK140" s="51"/>
      <c r="BL140" s="51"/>
      <c r="BM140" s="51"/>
      <c r="BN140" s="51"/>
      <c r="BO140" s="99"/>
      <c r="BP140" s="99"/>
      <c r="BQ140" s="99"/>
      <c r="BR140" s="99"/>
      <c r="BS140" s="51"/>
      <c r="BT140" s="99"/>
      <c r="BU140" s="99"/>
      <c r="BV140" s="99"/>
      <c r="BW140" s="51"/>
      <c r="BX140" s="51"/>
      <c r="BY140" s="100"/>
      <c r="BZ140" s="100"/>
      <c r="CA140" s="36"/>
      <c r="CB140" s="36"/>
      <c r="CC140" s="51"/>
      <c r="CD140" s="36"/>
      <c r="CE140" s="36"/>
      <c r="CF140" s="36"/>
      <c r="CG140" s="36"/>
      <c r="CH140" s="51"/>
      <c r="CI140" s="36"/>
      <c r="CJ140" s="36"/>
      <c r="CK140" s="36"/>
      <c r="CL140" s="36"/>
      <c r="CM140" s="51"/>
      <c r="CN140" s="36"/>
      <c r="CO140" s="36"/>
      <c r="CP140" s="36"/>
      <c r="CQ140" s="36"/>
      <c r="CR140" s="51"/>
      <c r="CS140" s="36"/>
      <c r="CT140" s="36"/>
      <c r="CU140" s="36"/>
      <c r="CV140" s="36"/>
      <c r="CW140" s="51"/>
      <c r="CX140" s="36"/>
      <c r="CY140" s="36"/>
      <c r="CZ140" s="36"/>
      <c r="DA140" s="36"/>
      <c r="DB140" s="51"/>
      <c r="DC140" s="36"/>
      <c r="DD140" s="36"/>
      <c r="DE140" s="36"/>
      <c r="DF140" s="36"/>
      <c r="DG140" s="51"/>
      <c r="DH140" s="36"/>
      <c r="DI140" s="36"/>
      <c r="DJ140" s="36"/>
      <c r="DK140" s="36"/>
      <c r="DL140" s="51"/>
      <c r="DM140" s="51"/>
      <c r="DN140" s="51"/>
    </row>
    <row r="141" spans="1:118" ht="15.75" customHeight="1">
      <c r="A141" s="171"/>
      <c r="B141" s="51"/>
      <c r="C141" s="99"/>
      <c r="D141" s="101"/>
      <c r="E141" s="102"/>
      <c r="F141" s="51"/>
      <c r="G141" s="103"/>
      <c r="H141" s="103"/>
      <c r="I141" s="104"/>
      <c r="J141" s="101"/>
      <c r="K141" s="101"/>
      <c r="M141" s="51"/>
      <c r="N141" s="51"/>
      <c r="O141" s="51"/>
      <c r="P141" s="51"/>
      <c r="Q141" s="51"/>
      <c r="R141" s="36"/>
      <c r="S141" s="51"/>
      <c r="T141" s="59"/>
      <c r="U141" s="112"/>
      <c r="V141" s="39"/>
      <c r="W141" s="39"/>
      <c r="X141" s="40"/>
      <c r="Y141" s="39"/>
      <c r="Z141" s="41"/>
      <c r="AA141" s="41"/>
      <c r="AB141" s="51"/>
      <c r="AC141" s="51"/>
      <c r="AD141" s="51"/>
      <c r="AE141" s="51"/>
      <c r="AF141" s="51"/>
      <c r="AG141" s="51"/>
      <c r="AH141" s="51"/>
      <c r="AI141" s="106"/>
      <c r="AJ141" s="61"/>
      <c r="AK141" s="106"/>
      <c r="AL141" s="61"/>
      <c r="AM141" s="107"/>
      <c r="AN141" s="99"/>
      <c r="AO141" s="99"/>
      <c r="AP141" s="51"/>
      <c r="AQ141" s="51"/>
      <c r="AR141" s="51"/>
      <c r="AS141" s="101"/>
      <c r="AT141" s="101"/>
      <c r="AU141" s="51"/>
      <c r="AV141" s="51"/>
      <c r="AW141" s="51"/>
      <c r="AX141" s="51"/>
      <c r="AY141" s="106"/>
      <c r="AZ141" s="106"/>
      <c r="BA141" s="106"/>
      <c r="BB141" s="106"/>
      <c r="BC141" s="38"/>
      <c r="BD141" s="38"/>
      <c r="BE141" s="34"/>
      <c r="BF141" s="51"/>
      <c r="BG141" s="36"/>
      <c r="BH141" s="51"/>
      <c r="BI141" s="99"/>
      <c r="BJ141" s="99"/>
      <c r="BK141" s="51"/>
      <c r="BL141" s="51"/>
      <c r="BM141" s="51"/>
      <c r="BN141" s="51"/>
      <c r="BO141" s="99"/>
      <c r="BP141" s="99"/>
      <c r="BQ141" s="99"/>
      <c r="BR141" s="99"/>
      <c r="BS141" s="51"/>
      <c r="BT141" s="99"/>
      <c r="BU141" s="99"/>
      <c r="BV141" s="99"/>
      <c r="BW141" s="51"/>
      <c r="BX141" s="51"/>
      <c r="BY141" s="100"/>
      <c r="BZ141" s="100"/>
      <c r="CA141" s="36"/>
      <c r="CB141" s="36"/>
      <c r="CC141" s="51"/>
      <c r="CD141" s="36"/>
      <c r="CE141" s="36"/>
      <c r="CF141" s="36"/>
      <c r="CG141" s="36"/>
      <c r="CH141" s="51"/>
      <c r="CI141" s="36"/>
      <c r="CJ141" s="36"/>
      <c r="CK141" s="36"/>
      <c r="CL141" s="36"/>
      <c r="CM141" s="51"/>
      <c r="CN141" s="36"/>
      <c r="CO141" s="36"/>
      <c r="CP141" s="36"/>
      <c r="CQ141" s="36"/>
      <c r="CR141" s="51"/>
      <c r="CS141" s="36"/>
      <c r="CT141" s="36"/>
      <c r="CU141" s="36"/>
      <c r="CV141" s="36"/>
      <c r="CW141" s="51"/>
      <c r="CX141" s="36"/>
      <c r="CY141" s="36"/>
      <c r="CZ141" s="36"/>
      <c r="DA141" s="36"/>
      <c r="DB141" s="51"/>
      <c r="DC141" s="36"/>
      <c r="DD141" s="36"/>
      <c r="DE141" s="36"/>
      <c r="DF141" s="36"/>
      <c r="DG141" s="51"/>
      <c r="DH141" s="36"/>
      <c r="DI141" s="36"/>
      <c r="DJ141" s="36"/>
      <c r="DK141" s="36"/>
      <c r="DL141" s="51"/>
      <c r="DM141" s="51"/>
      <c r="DN141" s="51"/>
    </row>
    <row r="142" spans="1:118" ht="15.75" customHeight="1">
      <c r="A142" s="171"/>
      <c r="B142" s="51"/>
      <c r="C142" s="99"/>
      <c r="D142" s="101"/>
      <c r="E142" s="102"/>
      <c r="F142" s="51"/>
      <c r="G142" s="103"/>
      <c r="H142" s="103"/>
      <c r="I142" s="104"/>
      <c r="J142" s="101"/>
      <c r="K142" s="101"/>
      <c r="M142" s="51"/>
      <c r="N142" s="51"/>
      <c r="O142" s="51"/>
      <c r="P142" s="51"/>
      <c r="Q142" s="51"/>
      <c r="R142" s="36"/>
      <c r="S142" s="51"/>
      <c r="T142" s="59"/>
      <c r="U142" s="112"/>
      <c r="V142" s="39"/>
      <c r="W142" s="39"/>
      <c r="X142" s="40"/>
      <c r="Y142" s="39"/>
      <c r="Z142" s="41"/>
      <c r="AA142" s="41"/>
      <c r="AB142" s="51"/>
      <c r="AC142" s="51"/>
      <c r="AD142" s="51"/>
      <c r="AE142" s="51"/>
      <c r="AF142" s="51"/>
      <c r="AG142" s="51"/>
      <c r="AH142" s="51"/>
      <c r="AI142" s="106"/>
      <c r="AJ142" s="61"/>
      <c r="AK142" s="106"/>
      <c r="AL142" s="61"/>
      <c r="AM142" s="107"/>
      <c r="AN142" s="99"/>
      <c r="AO142" s="99"/>
      <c r="AP142" s="51"/>
      <c r="AQ142" s="51"/>
      <c r="AR142" s="51"/>
      <c r="AS142" s="101"/>
      <c r="AT142" s="101"/>
      <c r="AU142" s="51"/>
      <c r="AV142" s="51"/>
      <c r="AW142" s="51"/>
      <c r="AX142" s="51"/>
      <c r="AY142" s="106"/>
      <c r="AZ142" s="106"/>
      <c r="BA142" s="106"/>
      <c r="BB142" s="106"/>
      <c r="BC142" s="38"/>
      <c r="BD142" s="38"/>
      <c r="BE142" s="34"/>
      <c r="BF142" s="51"/>
      <c r="BG142" s="36"/>
      <c r="BH142" s="51"/>
      <c r="BI142" s="99"/>
      <c r="BJ142" s="99"/>
      <c r="BK142" s="51"/>
      <c r="BL142" s="51"/>
      <c r="BM142" s="51"/>
      <c r="BN142" s="51"/>
      <c r="BO142" s="99"/>
      <c r="BP142" s="99"/>
      <c r="BQ142" s="99"/>
      <c r="BR142" s="99"/>
      <c r="BS142" s="51"/>
      <c r="BT142" s="99"/>
      <c r="BU142" s="99"/>
      <c r="BV142" s="99"/>
      <c r="BW142" s="51"/>
      <c r="BX142" s="51"/>
      <c r="BY142" s="100"/>
      <c r="BZ142" s="100"/>
      <c r="CA142" s="36"/>
      <c r="CB142" s="36"/>
      <c r="CC142" s="51"/>
      <c r="CD142" s="36"/>
      <c r="CE142" s="36"/>
      <c r="CF142" s="36"/>
      <c r="CG142" s="36"/>
      <c r="CH142" s="51"/>
      <c r="CI142" s="36"/>
      <c r="CJ142" s="36"/>
      <c r="CK142" s="36"/>
      <c r="CL142" s="36"/>
      <c r="CM142" s="51"/>
      <c r="CN142" s="36"/>
      <c r="CO142" s="36"/>
      <c r="CP142" s="36"/>
      <c r="CQ142" s="36"/>
      <c r="CR142" s="51"/>
      <c r="CS142" s="36"/>
      <c r="CT142" s="36"/>
      <c r="CU142" s="36"/>
      <c r="CV142" s="36"/>
      <c r="CW142" s="51"/>
      <c r="CX142" s="36"/>
      <c r="CY142" s="36"/>
      <c r="CZ142" s="36"/>
      <c r="DA142" s="36"/>
      <c r="DB142" s="51"/>
      <c r="DC142" s="36"/>
      <c r="DD142" s="36"/>
      <c r="DE142" s="36"/>
      <c r="DF142" s="36"/>
      <c r="DG142" s="51"/>
      <c r="DH142" s="36"/>
      <c r="DI142" s="36"/>
      <c r="DJ142" s="36"/>
      <c r="DK142" s="36"/>
      <c r="DL142" s="51"/>
      <c r="DM142" s="51"/>
      <c r="DN142" s="51"/>
    </row>
    <row r="143" spans="1:118" ht="15.75" customHeight="1">
      <c r="A143" s="171"/>
      <c r="B143" s="51"/>
      <c r="C143" s="99"/>
      <c r="D143" s="101"/>
      <c r="E143" s="102"/>
      <c r="F143" s="51"/>
      <c r="G143" s="103"/>
      <c r="H143" s="103"/>
      <c r="I143" s="104"/>
      <c r="J143" s="101"/>
      <c r="K143" s="101"/>
      <c r="M143" s="51"/>
      <c r="N143" s="51"/>
      <c r="O143" s="51"/>
      <c r="P143" s="51"/>
      <c r="Q143" s="51"/>
      <c r="R143" s="36"/>
      <c r="S143" s="51"/>
      <c r="T143" s="59"/>
      <c r="U143" s="112"/>
      <c r="V143" s="39"/>
      <c r="W143" s="39"/>
      <c r="X143" s="40"/>
      <c r="Y143" s="39"/>
      <c r="Z143" s="41"/>
      <c r="AA143" s="41"/>
      <c r="AB143" s="51"/>
      <c r="AC143" s="51"/>
      <c r="AD143" s="51"/>
      <c r="AE143" s="51"/>
      <c r="AF143" s="51"/>
      <c r="AG143" s="51"/>
      <c r="AH143" s="51"/>
      <c r="AI143" s="106"/>
      <c r="AJ143" s="61"/>
      <c r="AK143" s="106"/>
      <c r="AL143" s="61"/>
      <c r="AM143" s="107"/>
      <c r="AN143" s="99"/>
      <c r="AO143" s="99"/>
      <c r="AP143" s="51"/>
      <c r="AQ143" s="51"/>
      <c r="AR143" s="51"/>
      <c r="AS143" s="101"/>
      <c r="AT143" s="101"/>
      <c r="AU143" s="51"/>
      <c r="AV143" s="51"/>
      <c r="AW143" s="51"/>
      <c r="AX143" s="51"/>
      <c r="AY143" s="106"/>
      <c r="AZ143" s="106"/>
      <c r="BA143" s="106"/>
      <c r="BB143" s="106"/>
      <c r="BC143" s="38"/>
      <c r="BD143" s="38"/>
      <c r="BE143" s="34"/>
      <c r="BF143" s="51"/>
      <c r="BG143" s="36"/>
      <c r="BH143" s="51"/>
      <c r="BI143" s="99"/>
      <c r="BJ143" s="99"/>
      <c r="BK143" s="51"/>
      <c r="BL143" s="51"/>
      <c r="BM143" s="51"/>
      <c r="BN143" s="51"/>
      <c r="BO143" s="99"/>
      <c r="BP143" s="99"/>
      <c r="BQ143" s="99"/>
      <c r="BR143" s="99"/>
      <c r="BS143" s="51"/>
      <c r="BT143" s="99"/>
      <c r="BU143" s="99"/>
      <c r="BV143" s="99"/>
      <c r="BW143" s="51"/>
      <c r="BX143" s="51"/>
      <c r="BY143" s="100"/>
      <c r="BZ143" s="100"/>
      <c r="CA143" s="36"/>
      <c r="CB143" s="36"/>
      <c r="CC143" s="51"/>
      <c r="CD143" s="36"/>
      <c r="CE143" s="36"/>
      <c r="CF143" s="36"/>
      <c r="CG143" s="36"/>
      <c r="CH143" s="51"/>
      <c r="CI143" s="36"/>
      <c r="CJ143" s="36"/>
      <c r="CK143" s="36"/>
      <c r="CL143" s="36"/>
      <c r="CM143" s="51"/>
      <c r="CN143" s="36"/>
      <c r="CO143" s="36"/>
      <c r="CP143" s="36"/>
      <c r="CQ143" s="36"/>
      <c r="CR143" s="51"/>
      <c r="CS143" s="36"/>
      <c r="CT143" s="36"/>
      <c r="CU143" s="36"/>
      <c r="CV143" s="36"/>
      <c r="CW143" s="51"/>
      <c r="CX143" s="36"/>
      <c r="CY143" s="36"/>
      <c r="CZ143" s="36"/>
      <c r="DA143" s="36"/>
      <c r="DB143" s="51"/>
      <c r="DC143" s="36"/>
      <c r="DD143" s="36"/>
      <c r="DE143" s="36"/>
      <c r="DF143" s="36"/>
      <c r="DG143" s="51"/>
      <c r="DH143" s="36"/>
      <c r="DI143" s="36"/>
      <c r="DJ143" s="36"/>
      <c r="DK143" s="36"/>
      <c r="DL143" s="51"/>
      <c r="DM143" s="51"/>
      <c r="DN143" s="51"/>
    </row>
    <row r="144" spans="1:118" ht="15.75" customHeight="1">
      <c r="A144" s="171"/>
      <c r="B144" s="51"/>
      <c r="C144" s="99"/>
      <c r="D144" s="101"/>
      <c r="E144" s="102"/>
      <c r="F144" s="51"/>
      <c r="G144" s="103"/>
      <c r="H144" s="103"/>
      <c r="I144" s="104"/>
      <c r="J144" s="101"/>
      <c r="K144" s="101"/>
      <c r="M144" s="51"/>
      <c r="N144" s="51"/>
      <c r="O144" s="51"/>
      <c r="P144" s="51"/>
      <c r="Q144" s="51"/>
      <c r="R144" s="36"/>
      <c r="S144" s="51"/>
      <c r="T144" s="59"/>
      <c r="U144" s="112"/>
      <c r="V144" s="39"/>
      <c r="W144" s="39"/>
      <c r="X144" s="40"/>
      <c r="Y144" s="39"/>
      <c r="Z144" s="41"/>
      <c r="AA144" s="41"/>
      <c r="AB144" s="51"/>
      <c r="AC144" s="51"/>
      <c r="AD144" s="51"/>
      <c r="AE144" s="51"/>
      <c r="AF144" s="51"/>
      <c r="AG144" s="51"/>
      <c r="AH144" s="51"/>
      <c r="AI144" s="106"/>
      <c r="AJ144" s="61"/>
      <c r="AK144" s="106"/>
      <c r="AL144" s="61"/>
      <c r="AM144" s="107"/>
      <c r="AN144" s="99"/>
      <c r="AO144" s="99"/>
      <c r="AP144" s="51"/>
      <c r="AQ144" s="51"/>
      <c r="AR144" s="51"/>
      <c r="AS144" s="101"/>
      <c r="AT144" s="101"/>
      <c r="AU144" s="51"/>
      <c r="AV144" s="51"/>
      <c r="AW144" s="51"/>
      <c r="AX144" s="51"/>
      <c r="AY144" s="106"/>
      <c r="AZ144" s="106"/>
      <c r="BA144" s="106"/>
      <c r="BB144" s="106"/>
      <c r="BC144" s="38"/>
      <c r="BD144" s="38"/>
      <c r="BE144" s="34"/>
      <c r="BF144" s="51"/>
      <c r="BG144" s="36"/>
      <c r="BH144" s="51"/>
      <c r="BI144" s="99"/>
      <c r="BJ144" s="99"/>
      <c r="BK144" s="51"/>
      <c r="BL144" s="51"/>
      <c r="BM144" s="51"/>
      <c r="BN144" s="51"/>
      <c r="BO144" s="99"/>
      <c r="BP144" s="99"/>
      <c r="BQ144" s="99"/>
      <c r="BR144" s="99"/>
      <c r="BS144" s="51"/>
      <c r="BT144" s="99"/>
      <c r="BU144" s="99"/>
      <c r="BV144" s="99"/>
      <c r="BW144" s="51"/>
      <c r="BX144" s="51"/>
      <c r="BY144" s="100"/>
      <c r="BZ144" s="100"/>
      <c r="CA144" s="36"/>
      <c r="CB144" s="36"/>
      <c r="CC144" s="51"/>
      <c r="CD144" s="36"/>
      <c r="CE144" s="36"/>
      <c r="CF144" s="36"/>
      <c r="CG144" s="36"/>
      <c r="CH144" s="51"/>
      <c r="CI144" s="36"/>
      <c r="CJ144" s="36"/>
      <c r="CK144" s="36"/>
      <c r="CL144" s="36"/>
      <c r="CM144" s="51"/>
      <c r="CN144" s="36"/>
      <c r="CO144" s="36"/>
      <c r="CP144" s="36"/>
      <c r="CQ144" s="36"/>
      <c r="CR144" s="51"/>
      <c r="CS144" s="36"/>
      <c r="CT144" s="36"/>
      <c r="CU144" s="36"/>
      <c r="CV144" s="36"/>
      <c r="CW144" s="51"/>
      <c r="CX144" s="36"/>
      <c r="CY144" s="36"/>
      <c r="CZ144" s="36"/>
      <c r="DA144" s="36"/>
      <c r="DB144" s="51"/>
      <c r="DC144" s="36"/>
      <c r="DD144" s="36"/>
      <c r="DE144" s="36"/>
      <c r="DF144" s="36"/>
      <c r="DG144" s="51"/>
      <c r="DH144" s="36"/>
      <c r="DI144" s="36"/>
      <c r="DJ144" s="36"/>
      <c r="DK144" s="36"/>
      <c r="DL144" s="51"/>
      <c r="DM144" s="51"/>
      <c r="DN144" s="51"/>
    </row>
    <row r="145" spans="1:118" ht="15.75" customHeight="1">
      <c r="A145" s="171"/>
      <c r="B145" s="51"/>
      <c r="C145" s="99"/>
      <c r="D145" s="101"/>
      <c r="E145" s="102"/>
      <c r="F145" s="51"/>
      <c r="G145" s="103"/>
      <c r="H145" s="103"/>
      <c r="I145" s="104"/>
      <c r="J145" s="101"/>
      <c r="K145" s="101"/>
      <c r="M145" s="51"/>
      <c r="N145" s="51"/>
      <c r="O145" s="51"/>
      <c r="P145" s="51"/>
      <c r="Q145" s="51"/>
      <c r="R145" s="36"/>
      <c r="S145" s="51"/>
      <c r="T145" s="59"/>
      <c r="U145" s="112"/>
      <c r="V145" s="39"/>
      <c r="W145" s="39"/>
      <c r="X145" s="40"/>
      <c r="Y145" s="39"/>
      <c r="Z145" s="41"/>
      <c r="AA145" s="41"/>
      <c r="AB145" s="51"/>
      <c r="AC145" s="51"/>
      <c r="AD145" s="51"/>
      <c r="AE145" s="51"/>
      <c r="AF145" s="51"/>
      <c r="AG145" s="51"/>
      <c r="AH145" s="51"/>
      <c r="AI145" s="106"/>
      <c r="AJ145" s="61"/>
      <c r="AK145" s="106"/>
      <c r="AL145" s="61"/>
      <c r="AM145" s="107"/>
      <c r="AN145" s="99"/>
      <c r="AO145" s="99"/>
      <c r="AP145" s="51"/>
      <c r="AQ145" s="51"/>
      <c r="AR145" s="51"/>
      <c r="AS145" s="101"/>
      <c r="AT145" s="101"/>
      <c r="AU145" s="51"/>
      <c r="AV145" s="51"/>
      <c r="AW145" s="51"/>
      <c r="AX145" s="51"/>
      <c r="AY145" s="106"/>
      <c r="AZ145" s="106"/>
      <c r="BA145" s="106"/>
      <c r="BB145" s="106"/>
      <c r="BC145" s="38"/>
      <c r="BD145" s="38"/>
      <c r="BE145" s="34"/>
      <c r="BF145" s="51"/>
      <c r="BG145" s="36"/>
      <c r="BH145" s="51"/>
      <c r="BI145" s="99"/>
      <c r="BJ145" s="99"/>
      <c r="BK145" s="51"/>
      <c r="BL145" s="51"/>
      <c r="BM145" s="51"/>
      <c r="BN145" s="51"/>
      <c r="BO145" s="99"/>
      <c r="BP145" s="99"/>
      <c r="BQ145" s="99"/>
      <c r="BR145" s="99"/>
      <c r="BS145" s="51"/>
      <c r="BT145" s="99"/>
      <c r="BU145" s="99"/>
      <c r="BV145" s="99"/>
      <c r="BW145" s="51"/>
      <c r="BX145" s="51"/>
      <c r="BY145" s="100"/>
      <c r="BZ145" s="100"/>
      <c r="CA145" s="36"/>
      <c r="CB145" s="36"/>
      <c r="CC145" s="51"/>
      <c r="CD145" s="36"/>
      <c r="CE145" s="36"/>
      <c r="CF145" s="36"/>
      <c r="CG145" s="36"/>
      <c r="CH145" s="51"/>
      <c r="CI145" s="36"/>
      <c r="CJ145" s="36"/>
      <c r="CK145" s="36"/>
      <c r="CL145" s="36"/>
      <c r="CM145" s="51"/>
      <c r="CN145" s="36"/>
      <c r="CO145" s="36"/>
      <c r="CP145" s="36"/>
      <c r="CQ145" s="36"/>
      <c r="CR145" s="51"/>
      <c r="CS145" s="36"/>
      <c r="CT145" s="36"/>
      <c r="CU145" s="36"/>
      <c r="CV145" s="36"/>
      <c r="CW145" s="51"/>
      <c r="CX145" s="36"/>
      <c r="CY145" s="36"/>
      <c r="CZ145" s="36"/>
      <c r="DA145" s="36"/>
      <c r="DB145" s="51"/>
      <c r="DC145" s="36"/>
      <c r="DD145" s="36"/>
      <c r="DE145" s="36"/>
      <c r="DF145" s="36"/>
      <c r="DG145" s="51"/>
      <c r="DH145" s="36"/>
      <c r="DI145" s="36"/>
      <c r="DJ145" s="36"/>
      <c r="DK145" s="36"/>
      <c r="DL145" s="51"/>
      <c r="DM145" s="51"/>
      <c r="DN145" s="51"/>
    </row>
    <row r="146" spans="1:118" ht="15.75" customHeight="1">
      <c r="A146" s="171"/>
      <c r="B146" s="51"/>
      <c r="C146" s="99"/>
      <c r="D146" s="101"/>
      <c r="E146" s="102"/>
      <c r="F146" s="51"/>
      <c r="G146" s="103"/>
      <c r="H146" s="103"/>
      <c r="I146" s="104"/>
      <c r="J146" s="101"/>
      <c r="K146" s="101"/>
      <c r="M146" s="51"/>
      <c r="N146" s="51"/>
      <c r="O146" s="51"/>
      <c r="P146" s="51"/>
      <c r="Q146" s="51"/>
      <c r="R146" s="36"/>
      <c r="S146" s="51"/>
      <c r="T146" s="59"/>
      <c r="U146" s="112"/>
      <c r="V146" s="39"/>
      <c r="W146" s="39"/>
      <c r="X146" s="40"/>
      <c r="Y146" s="39"/>
      <c r="Z146" s="41"/>
      <c r="AA146" s="41"/>
      <c r="AB146" s="51"/>
      <c r="AC146" s="51"/>
      <c r="AD146" s="51"/>
      <c r="AE146" s="51"/>
      <c r="AF146" s="51"/>
      <c r="AG146" s="51"/>
      <c r="AH146" s="51"/>
      <c r="AI146" s="106"/>
      <c r="AJ146" s="61"/>
      <c r="AK146" s="106"/>
      <c r="AL146" s="61"/>
      <c r="AM146" s="107"/>
      <c r="AN146" s="99"/>
      <c r="AO146" s="99"/>
      <c r="AP146" s="51"/>
      <c r="AQ146" s="51"/>
      <c r="AR146" s="51"/>
      <c r="AS146" s="101"/>
      <c r="AT146" s="101"/>
      <c r="AU146" s="51"/>
      <c r="AV146" s="51"/>
      <c r="AW146" s="51"/>
      <c r="AX146" s="51"/>
      <c r="AY146" s="106"/>
      <c r="AZ146" s="106"/>
      <c r="BA146" s="106"/>
      <c r="BB146" s="106"/>
      <c r="BC146" s="38"/>
      <c r="BD146" s="38"/>
      <c r="BE146" s="34"/>
      <c r="BF146" s="51"/>
      <c r="BG146" s="36"/>
      <c r="BH146" s="51"/>
      <c r="BI146" s="99"/>
      <c r="BJ146" s="99"/>
      <c r="BK146" s="51"/>
      <c r="BL146" s="51"/>
      <c r="BM146" s="51"/>
      <c r="BN146" s="51"/>
      <c r="BO146" s="99"/>
      <c r="BP146" s="99"/>
      <c r="BQ146" s="99"/>
      <c r="BR146" s="99"/>
      <c r="BS146" s="51"/>
      <c r="BT146" s="99"/>
      <c r="BU146" s="99"/>
      <c r="BV146" s="99"/>
      <c r="BW146" s="51"/>
      <c r="BX146" s="51"/>
      <c r="BY146" s="100"/>
      <c r="BZ146" s="100"/>
      <c r="CA146" s="36"/>
      <c r="CB146" s="36"/>
      <c r="CC146" s="51"/>
      <c r="CD146" s="36"/>
      <c r="CE146" s="36"/>
      <c r="CF146" s="36"/>
      <c r="CG146" s="36"/>
      <c r="CH146" s="51"/>
      <c r="CI146" s="36"/>
      <c r="CJ146" s="36"/>
      <c r="CK146" s="36"/>
      <c r="CL146" s="36"/>
      <c r="CM146" s="51"/>
      <c r="CN146" s="36"/>
      <c r="CO146" s="36"/>
      <c r="CP146" s="36"/>
      <c r="CQ146" s="36"/>
      <c r="CR146" s="51"/>
      <c r="CS146" s="36"/>
      <c r="CT146" s="36"/>
      <c r="CU146" s="36"/>
      <c r="CV146" s="36"/>
      <c r="CW146" s="51"/>
      <c r="CX146" s="36"/>
      <c r="CY146" s="36"/>
      <c r="CZ146" s="36"/>
      <c r="DA146" s="36"/>
      <c r="DB146" s="51"/>
      <c r="DC146" s="36"/>
      <c r="DD146" s="36"/>
      <c r="DE146" s="36"/>
      <c r="DF146" s="36"/>
      <c r="DG146" s="51"/>
      <c r="DH146" s="36"/>
      <c r="DI146" s="36"/>
      <c r="DJ146" s="36"/>
      <c r="DK146" s="36"/>
      <c r="DL146" s="51"/>
      <c r="DM146" s="51"/>
      <c r="DN146" s="51"/>
    </row>
    <row r="147" spans="1:118" ht="15.75" customHeight="1">
      <c r="A147" s="171"/>
      <c r="B147" s="51"/>
      <c r="C147" s="99"/>
      <c r="D147" s="101"/>
      <c r="E147" s="102"/>
      <c r="F147" s="51"/>
      <c r="G147" s="103"/>
      <c r="H147" s="103"/>
      <c r="I147" s="104"/>
      <c r="J147" s="101"/>
      <c r="K147" s="101"/>
      <c r="M147" s="51"/>
      <c r="N147" s="51"/>
      <c r="O147" s="51"/>
      <c r="P147" s="51"/>
      <c r="Q147" s="51"/>
      <c r="R147" s="36"/>
      <c r="S147" s="51"/>
      <c r="T147" s="59"/>
      <c r="U147" s="112"/>
      <c r="V147" s="39"/>
      <c r="W147" s="39"/>
      <c r="X147" s="40"/>
      <c r="Y147" s="39"/>
      <c r="Z147" s="41"/>
      <c r="AA147" s="41"/>
      <c r="AB147" s="51"/>
      <c r="AC147" s="51"/>
      <c r="AD147" s="51"/>
      <c r="AE147" s="51"/>
      <c r="AF147" s="51"/>
      <c r="AG147" s="51"/>
      <c r="AH147" s="51"/>
      <c r="AI147" s="106"/>
      <c r="AJ147" s="61"/>
      <c r="AK147" s="106"/>
      <c r="AL147" s="61"/>
      <c r="AM147" s="107"/>
      <c r="AN147" s="99"/>
      <c r="AO147" s="99"/>
      <c r="AP147" s="51"/>
      <c r="AQ147" s="51"/>
      <c r="AR147" s="51"/>
      <c r="AS147" s="101"/>
      <c r="AT147" s="101"/>
      <c r="AU147" s="51"/>
      <c r="AV147" s="51"/>
      <c r="AW147" s="51"/>
      <c r="AX147" s="51"/>
      <c r="AY147" s="106"/>
      <c r="AZ147" s="106"/>
      <c r="BA147" s="106"/>
      <c r="BB147" s="106"/>
      <c r="BC147" s="38"/>
      <c r="BD147" s="38"/>
      <c r="BE147" s="34"/>
      <c r="BF147" s="51"/>
      <c r="BG147" s="36"/>
      <c r="BH147" s="51"/>
      <c r="BI147" s="99"/>
      <c r="BJ147" s="99"/>
      <c r="BK147" s="51"/>
      <c r="BL147" s="51"/>
      <c r="BM147" s="51"/>
      <c r="BN147" s="51"/>
      <c r="BO147" s="99"/>
      <c r="BP147" s="99"/>
      <c r="BQ147" s="99"/>
      <c r="BR147" s="99"/>
      <c r="BS147" s="51"/>
      <c r="BT147" s="99"/>
      <c r="BU147" s="99"/>
      <c r="BV147" s="99"/>
      <c r="BW147" s="51"/>
      <c r="BX147" s="51"/>
      <c r="BY147" s="100"/>
      <c r="BZ147" s="100"/>
      <c r="CA147" s="36"/>
      <c r="CB147" s="36"/>
      <c r="CC147" s="51"/>
      <c r="CD147" s="36"/>
      <c r="CE147" s="36"/>
      <c r="CF147" s="36"/>
      <c r="CG147" s="36"/>
      <c r="CH147" s="51"/>
      <c r="CI147" s="36"/>
      <c r="CJ147" s="36"/>
      <c r="CK147" s="36"/>
      <c r="CL147" s="36"/>
      <c r="CM147" s="51"/>
      <c r="CN147" s="36"/>
      <c r="CO147" s="36"/>
      <c r="CP147" s="36"/>
      <c r="CQ147" s="36"/>
      <c r="CR147" s="51"/>
      <c r="CS147" s="36"/>
      <c r="CT147" s="36"/>
      <c r="CU147" s="36"/>
      <c r="CV147" s="36"/>
      <c r="CW147" s="51"/>
      <c r="CX147" s="36"/>
      <c r="CY147" s="36"/>
      <c r="CZ147" s="36"/>
      <c r="DA147" s="36"/>
      <c r="DB147" s="51"/>
      <c r="DC147" s="36"/>
      <c r="DD147" s="36"/>
      <c r="DE147" s="36"/>
      <c r="DF147" s="36"/>
      <c r="DG147" s="51"/>
      <c r="DH147" s="36"/>
      <c r="DI147" s="36"/>
      <c r="DJ147" s="36"/>
      <c r="DK147" s="36"/>
      <c r="DL147" s="51"/>
      <c r="DM147" s="51"/>
      <c r="DN147" s="51"/>
    </row>
    <row r="148" spans="1:118" ht="15.75" customHeight="1">
      <c r="A148" s="171"/>
      <c r="B148" s="51"/>
      <c r="C148" s="99"/>
      <c r="D148" s="101"/>
      <c r="E148" s="102"/>
      <c r="F148" s="51"/>
      <c r="G148" s="103"/>
      <c r="H148" s="103"/>
      <c r="I148" s="104"/>
      <c r="J148" s="101"/>
      <c r="K148" s="101"/>
      <c r="M148" s="51"/>
      <c r="N148" s="51"/>
      <c r="O148" s="51"/>
      <c r="P148" s="51"/>
      <c r="Q148" s="51"/>
      <c r="R148" s="36"/>
      <c r="S148" s="51"/>
      <c r="T148" s="59"/>
      <c r="U148" s="112"/>
      <c r="V148" s="39"/>
      <c r="W148" s="39"/>
      <c r="X148" s="40"/>
      <c r="Y148" s="39"/>
      <c r="Z148" s="41"/>
      <c r="AA148" s="41"/>
      <c r="AB148" s="51"/>
      <c r="AC148" s="51"/>
      <c r="AD148" s="51"/>
      <c r="AE148" s="51"/>
      <c r="AF148" s="51"/>
      <c r="AG148" s="51"/>
      <c r="AH148" s="51"/>
      <c r="AI148" s="106"/>
      <c r="AJ148" s="61"/>
      <c r="AK148" s="106"/>
      <c r="AL148" s="61"/>
      <c r="AM148" s="107"/>
      <c r="AN148" s="99"/>
      <c r="AO148" s="99"/>
      <c r="AP148" s="51"/>
      <c r="AQ148" s="51"/>
      <c r="AR148" s="51"/>
      <c r="AS148" s="101"/>
      <c r="AT148" s="101"/>
      <c r="AU148" s="51"/>
      <c r="AV148" s="51"/>
      <c r="AW148" s="51"/>
      <c r="AX148" s="51"/>
      <c r="AY148" s="106"/>
      <c r="AZ148" s="106"/>
      <c r="BA148" s="106"/>
      <c r="BB148" s="106"/>
      <c r="BC148" s="38"/>
      <c r="BD148" s="38"/>
      <c r="BE148" s="34"/>
      <c r="BF148" s="51"/>
      <c r="BG148" s="36"/>
      <c r="BH148" s="51"/>
      <c r="BI148" s="99"/>
      <c r="BJ148" s="99"/>
      <c r="BK148" s="51"/>
      <c r="BL148" s="51"/>
      <c r="BM148" s="51"/>
      <c r="BN148" s="51"/>
      <c r="BO148" s="99"/>
      <c r="BP148" s="99"/>
      <c r="BQ148" s="99"/>
      <c r="BR148" s="99"/>
      <c r="BS148" s="51"/>
      <c r="BT148" s="99"/>
      <c r="BU148" s="99"/>
      <c r="BV148" s="99"/>
      <c r="BW148" s="51"/>
      <c r="BX148" s="51"/>
      <c r="BY148" s="100"/>
      <c r="BZ148" s="100"/>
      <c r="CA148" s="36"/>
      <c r="CB148" s="36"/>
      <c r="CC148" s="51"/>
      <c r="CD148" s="36"/>
      <c r="CE148" s="36"/>
      <c r="CF148" s="36"/>
      <c r="CG148" s="36"/>
      <c r="CH148" s="51"/>
      <c r="CI148" s="36"/>
      <c r="CJ148" s="36"/>
      <c r="CK148" s="36"/>
      <c r="CL148" s="36"/>
      <c r="CM148" s="51"/>
      <c r="CN148" s="36"/>
      <c r="CO148" s="36"/>
      <c r="CP148" s="36"/>
      <c r="CQ148" s="36"/>
      <c r="CR148" s="51"/>
      <c r="CS148" s="36"/>
      <c r="CT148" s="36"/>
      <c r="CU148" s="36"/>
      <c r="CV148" s="36"/>
      <c r="CW148" s="51"/>
      <c r="CX148" s="36"/>
      <c r="CY148" s="36"/>
      <c r="CZ148" s="36"/>
      <c r="DA148" s="36"/>
      <c r="DB148" s="51"/>
      <c r="DC148" s="36"/>
      <c r="DD148" s="36"/>
      <c r="DE148" s="36"/>
      <c r="DF148" s="36"/>
      <c r="DG148" s="51"/>
      <c r="DH148" s="36"/>
      <c r="DI148" s="36"/>
      <c r="DJ148" s="36"/>
      <c r="DK148" s="36"/>
      <c r="DL148" s="51"/>
      <c r="DM148" s="51"/>
      <c r="DN148" s="51"/>
    </row>
    <row r="149" spans="1:118" ht="15.75" customHeight="1">
      <c r="A149" s="171"/>
      <c r="B149" s="51"/>
      <c r="C149" s="99"/>
      <c r="D149" s="101"/>
      <c r="E149" s="102"/>
      <c r="F149" s="51"/>
      <c r="G149" s="103"/>
      <c r="H149" s="103"/>
      <c r="I149" s="104"/>
      <c r="J149" s="101"/>
      <c r="K149" s="101"/>
      <c r="M149" s="51"/>
      <c r="N149" s="51"/>
      <c r="O149" s="51"/>
      <c r="P149" s="51"/>
      <c r="Q149" s="51"/>
      <c r="R149" s="36"/>
      <c r="S149" s="51"/>
      <c r="T149" s="59"/>
      <c r="U149" s="112"/>
      <c r="V149" s="39"/>
      <c r="W149" s="39"/>
      <c r="X149" s="40"/>
      <c r="Y149" s="39"/>
      <c r="Z149" s="41"/>
      <c r="AA149" s="41"/>
      <c r="AB149" s="51"/>
      <c r="AC149" s="51"/>
      <c r="AD149" s="51"/>
      <c r="AE149" s="51"/>
      <c r="AF149" s="51"/>
      <c r="AG149" s="51"/>
      <c r="AH149" s="51"/>
      <c r="AI149" s="106"/>
      <c r="AJ149" s="61"/>
      <c r="AK149" s="106"/>
      <c r="AL149" s="61"/>
      <c r="AM149" s="107"/>
      <c r="AN149" s="99"/>
      <c r="AO149" s="99"/>
      <c r="AP149" s="51"/>
      <c r="AQ149" s="51"/>
      <c r="AR149" s="51"/>
      <c r="AS149" s="101"/>
      <c r="AT149" s="101"/>
      <c r="AU149" s="51"/>
      <c r="AV149" s="51"/>
      <c r="AW149" s="51"/>
      <c r="AX149" s="51"/>
      <c r="AY149" s="106"/>
      <c r="AZ149" s="106"/>
      <c r="BA149" s="106"/>
      <c r="BB149" s="106"/>
      <c r="BC149" s="38"/>
      <c r="BD149" s="38"/>
      <c r="BE149" s="34"/>
      <c r="BF149" s="51"/>
      <c r="BG149" s="36"/>
      <c r="BH149" s="51"/>
      <c r="BI149" s="99"/>
      <c r="BJ149" s="99"/>
      <c r="BK149" s="51"/>
      <c r="BL149" s="51"/>
      <c r="BM149" s="51"/>
      <c r="BN149" s="51"/>
      <c r="BO149" s="99"/>
      <c r="BP149" s="99"/>
      <c r="BQ149" s="99"/>
      <c r="BR149" s="99"/>
      <c r="BS149" s="51"/>
      <c r="BT149" s="99"/>
      <c r="BU149" s="99"/>
      <c r="BV149" s="99"/>
      <c r="BW149" s="51"/>
      <c r="BX149" s="51"/>
      <c r="BY149" s="100"/>
      <c r="BZ149" s="100"/>
      <c r="CA149" s="36"/>
      <c r="CB149" s="36"/>
      <c r="CC149" s="51"/>
      <c r="CD149" s="36"/>
      <c r="CE149" s="36"/>
      <c r="CF149" s="36"/>
      <c r="CG149" s="36"/>
      <c r="CH149" s="51"/>
      <c r="CI149" s="36"/>
      <c r="CJ149" s="36"/>
      <c r="CK149" s="36"/>
      <c r="CL149" s="36"/>
      <c r="CM149" s="51"/>
      <c r="CN149" s="36"/>
      <c r="CO149" s="36"/>
      <c r="CP149" s="36"/>
      <c r="CQ149" s="36"/>
      <c r="CR149" s="51"/>
      <c r="CS149" s="36"/>
      <c r="CT149" s="36"/>
      <c r="CU149" s="36"/>
      <c r="CV149" s="36"/>
      <c r="CW149" s="51"/>
      <c r="CX149" s="36"/>
      <c r="CY149" s="36"/>
      <c r="CZ149" s="36"/>
      <c r="DA149" s="36"/>
      <c r="DB149" s="51"/>
      <c r="DC149" s="36"/>
      <c r="DD149" s="36"/>
      <c r="DE149" s="36"/>
      <c r="DF149" s="36"/>
      <c r="DG149" s="51"/>
      <c r="DH149" s="36"/>
      <c r="DI149" s="36"/>
      <c r="DJ149" s="36"/>
      <c r="DK149" s="36"/>
      <c r="DL149" s="51"/>
      <c r="DM149" s="51"/>
      <c r="DN149" s="51"/>
    </row>
    <row r="150" spans="1:118" ht="15.75" customHeight="1">
      <c r="A150" s="171"/>
      <c r="B150" s="51"/>
      <c r="C150" s="99"/>
      <c r="D150" s="101"/>
      <c r="E150" s="102"/>
      <c r="F150" s="51"/>
      <c r="G150" s="103"/>
      <c r="H150" s="103"/>
      <c r="I150" s="104"/>
      <c r="J150" s="101"/>
      <c r="K150" s="101"/>
      <c r="M150" s="51"/>
      <c r="N150" s="51"/>
      <c r="O150" s="51"/>
      <c r="P150" s="51"/>
      <c r="Q150" s="51"/>
      <c r="R150" s="36"/>
      <c r="S150" s="51"/>
      <c r="T150" s="59"/>
      <c r="U150" s="112"/>
      <c r="V150" s="39"/>
      <c r="W150" s="39"/>
      <c r="X150" s="40"/>
      <c r="Y150" s="39"/>
      <c r="Z150" s="41"/>
      <c r="AA150" s="41"/>
      <c r="AB150" s="51"/>
      <c r="AC150" s="51"/>
      <c r="AD150" s="51"/>
      <c r="AE150" s="51"/>
      <c r="AF150" s="51"/>
      <c r="AG150" s="51"/>
      <c r="AH150" s="51"/>
      <c r="AI150" s="106"/>
      <c r="AJ150" s="61"/>
      <c r="AK150" s="106"/>
      <c r="AL150" s="61"/>
      <c r="AM150" s="107"/>
      <c r="AN150" s="99"/>
      <c r="AO150" s="99"/>
      <c r="AP150" s="51"/>
      <c r="AQ150" s="51"/>
      <c r="AR150" s="51"/>
      <c r="AS150" s="101"/>
      <c r="AT150" s="101"/>
      <c r="AU150" s="51"/>
      <c r="AV150" s="51"/>
      <c r="AW150" s="51"/>
      <c r="AX150" s="51"/>
      <c r="AY150" s="106"/>
      <c r="AZ150" s="106"/>
      <c r="BA150" s="106"/>
      <c r="BB150" s="106"/>
      <c r="BC150" s="38"/>
      <c r="BD150" s="38"/>
      <c r="BE150" s="34"/>
      <c r="BF150" s="51"/>
      <c r="BG150" s="36"/>
      <c r="BH150" s="51"/>
      <c r="BI150" s="99"/>
      <c r="BJ150" s="99"/>
      <c r="BK150" s="51"/>
      <c r="BL150" s="51"/>
      <c r="BM150" s="51"/>
      <c r="BN150" s="51"/>
      <c r="BO150" s="99"/>
      <c r="BP150" s="99"/>
      <c r="BQ150" s="99"/>
      <c r="BR150" s="99"/>
      <c r="BS150" s="51"/>
      <c r="BT150" s="99"/>
      <c r="BU150" s="99"/>
      <c r="BV150" s="99"/>
      <c r="BW150" s="51"/>
      <c r="BX150" s="51"/>
      <c r="BY150" s="100"/>
      <c r="BZ150" s="100"/>
      <c r="CA150" s="36"/>
      <c r="CB150" s="36"/>
      <c r="CC150" s="51"/>
      <c r="CD150" s="36"/>
      <c r="CE150" s="36"/>
      <c r="CF150" s="36"/>
      <c r="CG150" s="36"/>
      <c r="CH150" s="51"/>
      <c r="CI150" s="36"/>
      <c r="CJ150" s="36"/>
      <c r="CK150" s="36"/>
      <c r="CL150" s="36"/>
      <c r="CM150" s="51"/>
      <c r="CN150" s="36"/>
      <c r="CO150" s="36"/>
      <c r="CP150" s="36"/>
      <c r="CQ150" s="36"/>
      <c r="CR150" s="51"/>
      <c r="CS150" s="36"/>
      <c r="CT150" s="36"/>
      <c r="CU150" s="36"/>
      <c r="CV150" s="36"/>
      <c r="CW150" s="51"/>
      <c r="CX150" s="36"/>
      <c r="CY150" s="36"/>
      <c r="CZ150" s="36"/>
      <c r="DA150" s="36"/>
      <c r="DB150" s="51"/>
      <c r="DC150" s="36"/>
      <c r="DD150" s="36"/>
      <c r="DE150" s="36"/>
      <c r="DF150" s="36"/>
      <c r="DG150" s="51"/>
      <c r="DH150" s="36"/>
      <c r="DI150" s="36"/>
      <c r="DJ150" s="36"/>
      <c r="DK150" s="36"/>
      <c r="DL150" s="51"/>
      <c r="DM150" s="51"/>
      <c r="DN150" s="51"/>
    </row>
    <row r="151" spans="1:118" ht="15.75" customHeight="1">
      <c r="A151" s="171"/>
      <c r="B151" s="51"/>
      <c r="C151" s="99"/>
      <c r="D151" s="101"/>
      <c r="E151" s="102"/>
      <c r="F151" s="51"/>
      <c r="G151" s="103"/>
      <c r="H151" s="103"/>
      <c r="I151" s="104"/>
      <c r="J151" s="101"/>
      <c r="K151" s="101"/>
      <c r="M151" s="51"/>
      <c r="N151" s="51"/>
      <c r="O151" s="51"/>
      <c r="P151" s="51"/>
      <c r="Q151" s="51"/>
      <c r="R151" s="36"/>
      <c r="S151" s="51"/>
      <c r="T151" s="59"/>
      <c r="U151" s="112"/>
      <c r="V151" s="39"/>
      <c r="W151" s="39"/>
      <c r="X151" s="40"/>
      <c r="Y151" s="39"/>
      <c r="Z151" s="41"/>
      <c r="AA151" s="41"/>
      <c r="AB151" s="51"/>
      <c r="AC151" s="51"/>
      <c r="AD151" s="51"/>
      <c r="AE151" s="51"/>
      <c r="AF151" s="51"/>
      <c r="AG151" s="51"/>
      <c r="AH151" s="51"/>
      <c r="AI151" s="106"/>
      <c r="AJ151" s="61"/>
      <c r="AK151" s="106"/>
      <c r="AL151" s="61"/>
      <c r="AM151" s="107"/>
      <c r="AN151" s="99"/>
      <c r="AO151" s="99"/>
      <c r="AP151" s="51"/>
      <c r="AQ151" s="51"/>
      <c r="AR151" s="51"/>
      <c r="AS151" s="101"/>
      <c r="AT151" s="101"/>
      <c r="AU151" s="51"/>
      <c r="AV151" s="51"/>
      <c r="AW151" s="51"/>
      <c r="AX151" s="51"/>
      <c r="AY151" s="106"/>
      <c r="AZ151" s="106"/>
      <c r="BA151" s="106"/>
      <c r="BB151" s="106"/>
      <c r="BC151" s="38"/>
      <c r="BD151" s="38"/>
      <c r="BE151" s="34"/>
      <c r="BF151" s="51"/>
      <c r="BG151" s="36"/>
      <c r="BH151" s="51"/>
      <c r="BI151" s="99"/>
      <c r="BJ151" s="99"/>
      <c r="BK151" s="51"/>
      <c r="BL151" s="51"/>
      <c r="BM151" s="51"/>
      <c r="BN151" s="51"/>
      <c r="BO151" s="99"/>
      <c r="BP151" s="99"/>
      <c r="BQ151" s="99"/>
      <c r="BR151" s="99"/>
      <c r="BS151" s="51"/>
      <c r="BT151" s="99"/>
      <c r="BU151" s="99"/>
      <c r="BV151" s="99"/>
      <c r="BW151" s="51"/>
      <c r="BX151" s="51"/>
      <c r="BY151" s="100"/>
      <c r="BZ151" s="100"/>
      <c r="CA151" s="36"/>
      <c r="CB151" s="36"/>
      <c r="CC151" s="51"/>
      <c r="CD151" s="36"/>
      <c r="CE151" s="36"/>
      <c r="CF151" s="36"/>
      <c r="CG151" s="36"/>
      <c r="CH151" s="51"/>
      <c r="CI151" s="36"/>
      <c r="CJ151" s="36"/>
      <c r="CK151" s="36"/>
      <c r="CL151" s="36"/>
      <c r="CM151" s="51"/>
      <c r="CN151" s="36"/>
      <c r="CO151" s="36"/>
      <c r="CP151" s="36"/>
      <c r="CQ151" s="36"/>
      <c r="CR151" s="51"/>
      <c r="CS151" s="36"/>
      <c r="CT151" s="36"/>
      <c r="CU151" s="36"/>
      <c r="CV151" s="36"/>
      <c r="CW151" s="51"/>
      <c r="CX151" s="36"/>
      <c r="CY151" s="36"/>
      <c r="CZ151" s="36"/>
      <c r="DA151" s="36"/>
      <c r="DB151" s="51"/>
      <c r="DC151" s="36"/>
      <c r="DD151" s="36"/>
      <c r="DE151" s="36"/>
      <c r="DF151" s="36"/>
      <c r="DG151" s="51"/>
      <c r="DH151" s="36"/>
      <c r="DI151" s="36"/>
      <c r="DJ151" s="36"/>
      <c r="DK151" s="36"/>
      <c r="DL151" s="51"/>
      <c r="DM151" s="51"/>
      <c r="DN151" s="51"/>
    </row>
    <row r="152" spans="1:118" ht="15.75" customHeight="1">
      <c r="A152" s="171"/>
      <c r="B152" s="51"/>
      <c r="C152" s="99"/>
      <c r="D152" s="101"/>
      <c r="E152" s="102"/>
      <c r="F152" s="51"/>
      <c r="G152" s="103"/>
      <c r="H152" s="103"/>
      <c r="I152" s="104"/>
      <c r="J152" s="101"/>
      <c r="K152" s="101"/>
      <c r="M152" s="51"/>
      <c r="N152" s="51"/>
      <c r="O152" s="51"/>
      <c r="P152" s="51"/>
      <c r="Q152" s="51"/>
      <c r="R152" s="36"/>
      <c r="S152" s="51"/>
      <c r="T152" s="59"/>
      <c r="U152" s="112"/>
      <c r="V152" s="39"/>
      <c r="W152" s="39"/>
      <c r="X152" s="40"/>
      <c r="Y152" s="39"/>
      <c r="Z152" s="41"/>
      <c r="AA152" s="41"/>
      <c r="AB152" s="51"/>
      <c r="AC152" s="51"/>
      <c r="AD152" s="51"/>
      <c r="AE152" s="51"/>
      <c r="AF152" s="51"/>
      <c r="AG152" s="51"/>
      <c r="AH152" s="51"/>
      <c r="AI152" s="106"/>
      <c r="AJ152" s="61"/>
      <c r="AK152" s="106"/>
      <c r="AL152" s="61"/>
      <c r="AM152" s="107"/>
      <c r="AN152" s="99"/>
      <c r="AO152" s="99"/>
      <c r="AP152" s="51"/>
      <c r="AQ152" s="51"/>
      <c r="AR152" s="51"/>
      <c r="AS152" s="101"/>
      <c r="AT152" s="101"/>
      <c r="AU152" s="51"/>
      <c r="AV152" s="51"/>
      <c r="AW152" s="51"/>
      <c r="AX152" s="51"/>
      <c r="AY152" s="106"/>
      <c r="AZ152" s="106"/>
      <c r="BA152" s="106"/>
      <c r="BB152" s="106"/>
      <c r="BC152" s="38"/>
      <c r="BD152" s="38"/>
      <c r="BE152" s="34"/>
      <c r="BF152" s="51"/>
      <c r="BG152" s="36"/>
      <c r="BH152" s="51"/>
      <c r="BI152" s="99"/>
      <c r="BJ152" s="99"/>
      <c r="BK152" s="51"/>
      <c r="BL152" s="51"/>
      <c r="BM152" s="51"/>
      <c r="BN152" s="51"/>
      <c r="BO152" s="99"/>
      <c r="BP152" s="99"/>
      <c r="BQ152" s="99"/>
      <c r="BR152" s="99"/>
      <c r="BS152" s="51"/>
      <c r="BT152" s="99"/>
      <c r="BU152" s="99"/>
      <c r="BV152" s="99"/>
      <c r="BW152" s="51"/>
      <c r="BX152" s="51"/>
      <c r="BY152" s="100"/>
      <c r="BZ152" s="100"/>
      <c r="CA152" s="36"/>
      <c r="CB152" s="36"/>
      <c r="CC152" s="51"/>
      <c r="CD152" s="36"/>
      <c r="CE152" s="36"/>
      <c r="CF152" s="36"/>
      <c r="CG152" s="36"/>
      <c r="CH152" s="51"/>
      <c r="CI152" s="36"/>
      <c r="CJ152" s="36"/>
      <c r="CK152" s="36"/>
      <c r="CL152" s="36"/>
      <c r="CM152" s="51"/>
      <c r="CN152" s="36"/>
      <c r="CO152" s="36"/>
      <c r="CP152" s="36"/>
      <c r="CQ152" s="36"/>
      <c r="CR152" s="51"/>
      <c r="CS152" s="36"/>
      <c r="CT152" s="36"/>
      <c r="CU152" s="36"/>
      <c r="CV152" s="36"/>
      <c r="CW152" s="51"/>
      <c r="CX152" s="36"/>
      <c r="CY152" s="36"/>
      <c r="CZ152" s="36"/>
      <c r="DA152" s="36"/>
      <c r="DB152" s="51"/>
      <c r="DC152" s="36"/>
      <c r="DD152" s="36"/>
      <c r="DE152" s="36"/>
      <c r="DF152" s="36"/>
      <c r="DG152" s="51"/>
      <c r="DH152" s="36"/>
      <c r="DI152" s="36"/>
      <c r="DJ152" s="36"/>
      <c r="DK152" s="36"/>
      <c r="DL152" s="51"/>
      <c r="DM152" s="51"/>
      <c r="DN152" s="51"/>
    </row>
    <row r="153" spans="1:118" ht="15.75" customHeight="1">
      <c r="A153" s="171"/>
      <c r="B153" s="51"/>
      <c r="C153" s="99"/>
      <c r="D153" s="101"/>
      <c r="E153" s="102"/>
      <c r="F153" s="51"/>
      <c r="G153" s="103"/>
      <c r="H153" s="103"/>
      <c r="I153" s="104"/>
      <c r="J153" s="101"/>
      <c r="K153" s="101"/>
      <c r="M153" s="51"/>
      <c r="N153" s="51"/>
      <c r="O153" s="51"/>
      <c r="P153" s="51"/>
      <c r="Q153" s="51"/>
      <c r="R153" s="36"/>
      <c r="S153" s="51"/>
      <c r="T153" s="59"/>
      <c r="U153" s="112"/>
      <c r="V153" s="39"/>
      <c r="W153" s="39"/>
      <c r="X153" s="40"/>
      <c r="Y153" s="39"/>
      <c r="Z153" s="41"/>
      <c r="AA153" s="41"/>
      <c r="AB153" s="51"/>
      <c r="AC153" s="51"/>
      <c r="AD153" s="51"/>
      <c r="AE153" s="51"/>
      <c r="AF153" s="51"/>
      <c r="AG153" s="51"/>
      <c r="AH153" s="51"/>
      <c r="AI153" s="106"/>
      <c r="AJ153" s="61"/>
      <c r="AK153" s="106"/>
      <c r="AL153" s="61"/>
      <c r="AM153" s="107"/>
      <c r="AN153" s="99"/>
      <c r="AO153" s="99"/>
      <c r="AP153" s="51"/>
      <c r="AQ153" s="51"/>
      <c r="AR153" s="51"/>
      <c r="AS153" s="101"/>
      <c r="AT153" s="101"/>
      <c r="AU153" s="51"/>
      <c r="AV153" s="51"/>
      <c r="AW153" s="51"/>
      <c r="AX153" s="51"/>
      <c r="AY153" s="106"/>
      <c r="AZ153" s="106"/>
      <c r="BA153" s="106"/>
      <c r="BB153" s="106"/>
      <c r="BC153" s="38"/>
      <c r="BD153" s="38"/>
      <c r="BE153" s="34"/>
      <c r="BF153" s="51"/>
      <c r="BG153" s="36"/>
      <c r="BH153" s="51"/>
      <c r="BI153" s="99"/>
      <c r="BJ153" s="99"/>
      <c r="BK153" s="51"/>
      <c r="BL153" s="51"/>
      <c r="BM153" s="51"/>
      <c r="BN153" s="51"/>
      <c r="BO153" s="99"/>
      <c r="BP153" s="99"/>
      <c r="BQ153" s="99"/>
      <c r="BR153" s="99"/>
      <c r="BS153" s="51"/>
      <c r="BT153" s="99"/>
      <c r="BU153" s="99"/>
      <c r="BV153" s="99"/>
      <c r="BW153" s="51"/>
      <c r="BX153" s="51"/>
      <c r="BY153" s="100"/>
      <c r="BZ153" s="100"/>
      <c r="CA153" s="36"/>
      <c r="CB153" s="36"/>
      <c r="CC153" s="51"/>
      <c r="CD153" s="36"/>
      <c r="CE153" s="36"/>
      <c r="CF153" s="36"/>
      <c r="CG153" s="36"/>
      <c r="CH153" s="51"/>
      <c r="CI153" s="36"/>
      <c r="CJ153" s="36"/>
      <c r="CK153" s="36"/>
      <c r="CL153" s="36"/>
      <c r="CM153" s="51"/>
      <c r="CN153" s="36"/>
      <c r="CO153" s="36"/>
      <c r="CP153" s="36"/>
      <c r="CQ153" s="36"/>
      <c r="CR153" s="51"/>
      <c r="CS153" s="36"/>
      <c r="CT153" s="36"/>
      <c r="CU153" s="36"/>
      <c r="CV153" s="36"/>
      <c r="CW153" s="51"/>
      <c r="CX153" s="36"/>
      <c r="CY153" s="36"/>
      <c r="CZ153" s="36"/>
      <c r="DA153" s="36"/>
      <c r="DB153" s="51"/>
      <c r="DC153" s="36"/>
      <c r="DD153" s="36"/>
      <c r="DE153" s="36"/>
      <c r="DF153" s="36"/>
      <c r="DG153" s="51"/>
      <c r="DH153" s="36"/>
      <c r="DI153" s="36"/>
      <c r="DJ153" s="36"/>
      <c r="DK153" s="36"/>
      <c r="DL153" s="51"/>
      <c r="DM153" s="51"/>
      <c r="DN153" s="51"/>
    </row>
    <row r="154" spans="1:118" ht="15.75" customHeight="1">
      <c r="A154" s="171"/>
      <c r="B154" s="51"/>
      <c r="C154" s="99"/>
      <c r="D154" s="101"/>
      <c r="E154" s="102"/>
      <c r="F154" s="51"/>
      <c r="G154" s="103"/>
      <c r="H154" s="103"/>
      <c r="I154" s="104"/>
      <c r="J154" s="101"/>
      <c r="K154" s="101"/>
      <c r="M154" s="51"/>
      <c r="N154" s="51"/>
      <c r="O154" s="51"/>
      <c r="P154" s="51"/>
      <c r="Q154" s="51"/>
      <c r="R154" s="36"/>
      <c r="S154" s="51"/>
      <c r="T154" s="59"/>
      <c r="U154" s="112"/>
      <c r="V154" s="39"/>
      <c r="W154" s="39"/>
      <c r="X154" s="40"/>
      <c r="Y154" s="39"/>
      <c r="Z154" s="41"/>
      <c r="AA154" s="41"/>
      <c r="AB154" s="51"/>
      <c r="AC154" s="51"/>
      <c r="AD154" s="51"/>
      <c r="AE154" s="51"/>
      <c r="AF154" s="51"/>
      <c r="AG154" s="51"/>
      <c r="AH154" s="51"/>
      <c r="AI154" s="106"/>
      <c r="AJ154" s="61"/>
      <c r="AK154" s="106"/>
      <c r="AL154" s="61"/>
      <c r="AM154" s="107"/>
      <c r="AN154" s="99"/>
      <c r="AO154" s="99"/>
      <c r="AP154" s="51"/>
      <c r="AQ154" s="51"/>
      <c r="AR154" s="51"/>
      <c r="AS154" s="101"/>
      <c r="AT154" s="101"/>
      <c r="AU154" s="51"/>
      <c r="AV154" s="51"/>
      <c r="AW154" s="51"/>
      <c r="AX154" s="51"/>
      <c r="AY154" s="106"/>
      <c r="AZ154" s="106"/>
      <c r="BA154" s="106"/>
      <c r="BB154" s="106"/>
      <c r="BC154" s="38"/>
      <c r="BD154" s="38"/>
      <c r="BE154" s="34"/>
      <c r="BF154" s="51"/>
      <c r="BG154" s="36"/>
      <c r="BH154" s="51"/>
      <c r="BI154" s="99"/>
      <c r="BJ154" s="99"/>
      <c r="BK154" s="51"/>
      <c r="BL154" s="51"/>
      <c r="BM154" s="51"/>
      <c r="BN154" s="51"/>
      <c r="BO154" s="99"/>
      <c r="BP154" s="99"/>
      <c r="BQ154" s="99"/>
      <c r="BR154" s="99"/>
      <c r="BS154" s="51"/>
      <c r="BT154" s="99"/>
      <c r="BU154" s="99"/>
      <c r="BV154" s="99"/>
      <c r="BW154" s="51"/>
      <c r="BX154" s="51"/>
      <c r="BY154" s="100"/>
      <c r="BZ154" s="100"/>
      <c r="CA154" s="36"/>
      <c r="CB154" s="36"/>
      <c r="CC154" s="51"/>
      <c r="CD154" s="36"/>
      <c r="CE154" s="36"/>
      <c r="CF154" s="36"/>
      <c r="CG154" s="36"/>
      <c r="CH154" s="51"/>
      <c r="CI154" s="36"/>
      <c r="CJ154" s="36"/>
      <c r="CK154" s="36"/>
      <c r="CL154" s="36"/>
      <c r="CM154" s="51"/>
      <c r="CN154" s="36"/>
      <c r="CO154" s="36"/>
      <c r="CP154" s="36"/>
      <c r="CQ154" s="36"/>
      <c r="CR154" s="51"/>
      <c r="CS154" s="36"/>
      <c r="CT154" s="36"/>
      <c r="CU154" s="36"/>
      <c r="CV154" s="36"/>
      <c r="CW154" s="51"/>
      <c r="CX154" s="36"/>
      <c r="CY154" s="36"/>
      <c r="CZ154" s="36"/>
      <c r="DA154" s="36"/>
      <c r="DB154" s="51"/>
      <c r="DC154" s="36"/>
      <c r="DD154" s="36"/>
      <c r="DE154" s="36"/>
      <c r="DF154" s="36"/>
      <c r="DG154" s="51"/>
      <c r="DH154" s="36"/>
      <c r="DI154" s="36"/>
      <c r="DJ154" s="36"/>
      <c r="DK154" s="36"/>
      <c r="DL154" s="51"/>
      <c r="DM154" s="51"/>
      <c r="DN154" s="51"/>
    </row>
    <row r="155" spans="1:118" ht="15.75" customHeight="1">
      <c r="A155" s="171"/>
      <c r="B155" s="51"/>
      <c r="C155" s="99"/>
      <c r="D155" s="101"/>
      <c r="E155" s="102"/>
      <c r="F155" s="51"/>
      <c r="G155" s="103"/>
      <c r="H155" s="103"/>
      <c r="I155" s="104"/>
      <c r="J155" s="101"/>
      <c r="K155" s="101"/>
      <c r="M155" s="51"/>
      <c r="N155" s="51"/>
      <c r="O155" s="51"/>
      <c r="P155" s="51"/>
      <c r="Q155" s="51"/>
      <c r="R155" s="36"/>
      <c r="S155" s="51"/>
      <c r="T155" s="59"/>
      <c r="U155" s="112"/>
      <c r="V155" s="39"/>
      <c r="W155" s="39"/>
      <c r="X155" s="40"/>
      <c r="Y155" s="39"/>
      <c r="Z155" s="41"/>
      <c r="AA155" s="41"/>
      <c r="AB155" s="51"/>
      <c r="AC155" s="51"/>
      <c r="AD155" s="51"/>
      <c r="AE155" s="51"/>
      <c r="AF155" s="51"/>
      <c r="AG155" s="51"/>
      <c r="AH155" s="51"/>
      <c r="AI155" s="106"/>
      <c r="AJ155" s="61"/>
      <c r="AK155" s="106"/>
      <c r="AL155" s="61"/>
      <c r="AM155" s="107"/>
      <c r="AN155" s="99"/>
      <c r="AO155" s="99"/>
      <c r="AP155" s="51"/>
      <c r="AQ155" s="51"/>
      <c r="AR155" s="51"/>
      <c r="AS155" s="101"/>
      <c r="AT155" s="101"/>
      <c r="AU155" s="51"/>
      <c r="AV155" s="51"/>
      <c r="AW155" s="51"/>
      <c r="AX155" s="51"/>
      <c r="AY155" s="106"/>
      <c r="AZ155" s="106"/>
      <c r="BA155" s="106"/>
      <c r="BB155" s="106"/>
      <c r="BC155" s="38"/>
      <c r="BD155" s="38"/>
      <c r="BE155" s="34"/>
      <c r="BF155" s="51"/>
      <c r="BG155" s="36"/>
      <c r="BH155" s="51"/>
      <c r="BI155" s="99"/>
      <c r="BJ155" s="99"/>
      <c r="BK155" s="51"/>
      <c r="BL155" s="51"/>
      <c r="BM155" s="51"/>
      <c r="BN155" s="51"/>
      <c r="BO155" s="99"/>
      <c r="BP155" s="99"/>
      <c r="BQ155" s="99"/>
      <c r="BR155" s="99"/>
      <c r="BS155" s="51"/>
      <c r="BT155" s="99"/>
      <c r="BU155" s="99"/>
      <c r="BV155" s="99"/>
      <c r="BW155" s="51"/>
      <c r="BX155" s="51"/>
      <c r="BY155" s="100"/>
      <c r="BZ155" s="100"/>
      <c r="CA155" s="36"/>
      <c r="CB155" s="36"/>
      <c r="CC155" s="51"/>
      <c r="CD155" s="36"/>
      <c r="CE155" s="36"/>
      <c r="CF155" s="36"/>
      <c r="CG155" s="36"/>
      <c r="CH155" s="51"/>
      <c r="CI155" s="36"/>
      <c r="CJ155" s="36"/>
      <c r="CK155" s="36"/>
      <c r="CL155" s="36"/>
      <c r="CM155" s="51"/>
      <c r="CN155" s="36"/>
      <c r="CO155" s="36"/>
      <c r="CP155" s="36"/>
      <c r="CQ155" s="36"/>
      <c r="CR155" s="51"/>
      <c r="CS155" s="36"/>
      <c r="CT155" s="36"/>
      <c r="CU155" s="36"/>
      <c r="CV155" s="36"/>
      <c r="CW155" s="51"/>
      <c r="CX155" s="36"/>
      <c r="CY155" s="36"/>
      <c r="CZ155" s="36"/>
      <c r="DA155" s="36"/>
      <c r="DB155" s="51"/>
      <c r="DC155" s="36"/>
      <c r="DD155" s="36"/>
      <c r="DE155" s="36"/>
      <c r="DF155" s="36"/>
      <c r="DG155" s="51"/>
      <c r="DH155" s="36"/>
      <c r="DI155" s="36"/>
      <c r="DJ155" s="36"/>
      <c r="DK155" s="36"/>
      <c r="DL155" s="51"/>
      <c r="DM155" s="51"/>
      <c r="DN155" s="51"/>
    </row>
    <row r="156" spans="1:118" ht="15.75" customHeight="1">
      <c r="A156" s="171"/>
      <c r="B156" s="51"/>
      <c r="C156" s="99"/>
      <c r="D156" s="101"/>
      <c r="E156" s="102"/>
      <c r="F156" s="51"/>
      <c r="G156" s="103"/>
      <c r="H156" s="103"/>
      <c r="I156" s="104"/>
      <c r="J156" s="101"/>
      <c r="K156" s="101"/>
      <c r="M156" s="51"/>
      <c r="N156" s="51"/>
      <c r="O156" s="51"/>
      <c r="P156" s="51"/>
      <c r="Q156" s="51"/>
      <c r="R156" s="36"/>
      <c r="S156" s="51"/>
      <c r="T156" s="59"/>
      <c r="U156" s="112"/>
      <c r="V156" s="39"/>
      <c r="W156" s="39"/>
      <c r="X156" s="40"/>
      <c r="Y156" s="39"/>
      <c r="Z156" s="41"/>
      <c r="AA156" s="41"/>
      <c r="AB156" s="51"/>
      <c r="AC156" s="51"/>
      <c r="AD156" s="51"/>
      <c r="AE156" s="51"/>
      <c r="AF156" s="51"/>
      <c r="AG156" s="51"/>
      <c r="AH156" s="51"/>
      <c r="AI156" s="106"/>
      <c r="AJ156" s="61"/>
      <c r="AK156" s="106"/>
      <c r="AL156" s="61"/>
      <c r="AM156" s="107"/>
      <c r="AN156" s="99"/>
      <c r="AO156" s="99"/>
      <c r="AP156" s="51"/>
      <c r="AQ156" s="51"/>
      <c r="AR156" s="51"/>
      <c r="AS156" s="101"/>
      <c r="AT156" s="101"/>
      <c r="AU156" s="51"/>
      <c r="AV156" s="51"/>
      <c r="AW156" s="51"/>
      <c r="AX156" s="51"/>
      <c r="AY156" s="106"/>
      <c r="AZ156" s="106"/>
      <c r="BA156" s="106"/>
      <c r="BB156" s="106"/>
      <c r="BC156" s="38"/>
      <c r="BD156" s="38"/>
      <c r="BE156" s="34"/>
      <c r="BF156" s="51"/>
      <c r="BG156" s="36"/>
      <c r="BH156" s="51"/>
      <c r="BI156" s="99"/>
      <c r="BJ156" s="99"/>
      <c r="BK156" s="51"/>
      <c r="BL156" s="51"/>
      <c r="BM156" s="51"/>
      <c r="BN156" s="51"/>
      <c r="BO156" s="99"/>
      <c r="BP156" s="99"/>
      <c r="BQ156" s="99"/>
      <c r="BR156" s="99"/>
      <c r="BS156" s="51"/>
      <c r="BT156" s="99"/>
      <c r="BU156" s="99"/>
      <c r="BV156" s="99"/>
      <c r="BW156" s="51"/>
      <c r="BX156" s="51"/>
      <c r="BY156" s="100"/>
      <c r="BZ156" s="100"/>
      <c r="CA156" s="36"/>
      <c r="CB156" s="36"/>
      <c r="CC156" s="51"/>
      <c r="CD156" s="36"/>
      <c r="CE156" s="36"/>
      <c r="CF156" s="36"/>
      <c r="CG156" s="36"/>
      <c r="CH156" s="51"/>
      <c r="CI156" s="36"/>
      <c r="CJ156" s="36"/>
      <c r="CK156" s="36"/>
      <c r="CL156" s="36"/>
      <c r="CM156" s="51"/>
      <c r="CN156" s="36"/>
      <c r="CO156" s="36"/>
      <c r="CP156" s="36"/>
      <c r="CQ156" s="36"/>
      <c r="CR156" s="51"/>
      <c r="CS156" s="36"/>
      <c r="CT156" s="36"/>
      <c r="CU156" s="36"/>
      <c r="CV156" s="36"/>
      <c r="CW156" s="51"/>
      <c r="CX156" s="36"/>
      <c r="CY156" s="36"/>
      <c r="CZ156" s="36"/>
      <c r="DA156" s="36"/>
      <c r="DB156" s="51"/>
      <c r="DC156" s="36"/>
      <c r="DD156" s="36"/>
      <c r="DE156" s="36"/>
      <c r="DF156" s="36"/>
      <c r="DG156" s="51"/>
      <c r="DH156" s="36"/>
      <c r="DI156" s="36"/>
      <c r="DJ156" s="36"/>
      <c r="DK156" s="36"/>
      <c r="DL156" s="51"/>
      <c r="DM156" s="51"/>
      <c r="DN156" s="51"/>
    </row>
    <row r="157" spans="1:118" ht="15.75" customHeight="1">
      <c r="A157" s="171"/>
      <c r="B157" s="51"/>
      <c r="C157" s="99"/>
      <c r="D157" s="101"/>
      <c r="E157" s="102"/>
      <c r="F157" s="51"/>
      <c r="G157" s="103"/>
      <c r="H157" s="103"/>
      <c r="I157" s="104"/>
      <c r="J157" s="101"/>
      <c r="K157" s="101"/>
      <c r="M157" s="51"/>
      <c r="N157" s="51"/>
      <c r="O157" s="51"/>
      <c r="P157" s="51"/>
      <c r="Q157" s="51"/>
      <c r="R157" s="36"/>
      <c r="S157" s="51"/>
      <c r="T157" s="59"/>
      <c r="U157" s="112"/>
      <c r="V157" s="39"/>
      <c r="W157" s="39"/>
      <c r="X157" s="40"/>
      <c r="Y157" s="39"/>
      <c r="Z157" s="41"/>
      <c r="AA157" s="41"/>
      <c r="AB157" s="51"/>
      <c r="AC157" s="51"/>
      <c r="AD157" s="51"/>
      <c r="AE157" s="51"/>
      <c r="AF157" s="51"/>
      <c r="AG157" s="51"/>
      <c r="AH157" s="51"/>
      <c r="AI157" s="106"/>
      <c r="AJ157" s="61"/>
      <c r="AK157" s="106"/>
      <c r="AL157" s="61"/>
      <c r="AM157" s="107"/>
      <c r="AN157" s="99"/>
      <c r="AO157" s="99"/>
      <c r="AP157" s="51"/>
      <c r="AQ157" s="51"/>
      <c r="AR157" s="51"/>
      <c r="AS157" s="101"/>
      <c r="AT157" s="101"/>
      <c r="AU157" s="51"/>
      <c r="AV157" s="51"/>
      <c r="AW157" s="51"/>
      <c r="AX157" s="51"/>
      <c r="AY157" s="106"/>
      <c r="AZ157" s="106"/>
      <c r="BA157" s="106"/>
      <c r="BB157" s="106"/>
      <c r="BC157" s="38"/>
      <c r="BD157" s="38"/>
      <c r="BE157" s="34"/>
      <c r="BF157" s="51"/>
      <c r="BG157" s="36"/>
      <c r="BH157" s="51"/>
      <c r="BI157" s="99"/>
      <c r="BJ157" s="99"/>
      <c r="BK157" s="51"/>
      <c r="BL157" s="51"/>
      <c r="BM157" s="51"/>
      <c r="BN157" s="51"/>
      <c r="BO157" s="99"/>
      <c r="BP157" s="99"/>
      <c r="BQ157" s="99"/>
      <c r="BR157" s="99"/>
      <c r="BS157" s="51"/>
      <c r="BT157" s="99"/>
      <c r="BU157" s="99"/>
      <c r="BV157" s="99"/>
      <c r="BW157" s="51"/>
      <c r="BX157" s="51"/>
      <c r="BY157" s="100"/>
      <c r="BZ157" s="100"/>
      <c r="CA157" s="36"/>
      <c r="CB157" s="36"/>
      <c r="CC157" s="51"/>
      <c r="CD157" s="36"/>
      <c r="CE157" s="36"/>
      <c r="CF157" s="36"/>
      <c r="CG157" s="36"/>
      <c r="CH157" s="51"/>
      <c r="CI157" s="36"/>
      <c r="CJ157" s="36"/>
      <c r="CK157" s="36"/>
      <c r="CL157" s="36"/>
      <c r="CM157" s="51"/>
      <c r="CN157" s="36"/>
      <c r="CO157" s="36"/>
      <c r="CP157" s="36"/>
      <c r="CQ157" s="36"/>
      <c r="CR157" s="51"/>
      <c r="CS157" s="36"/>
      <c r="CT157" s="36"/>
      <c r="CU157" s="36"/>
      <c r="CV157" s="36"/>
      <c r="CW157" s="51"/>
      <c r="CX157" s="36"/>
      <c r="CY157" s="36"/>
      <c r="CZ157" s="36"/>
      <c r="DA157" s="36"/>
      <c r="DB157" s="51"/>
      <c r="DC157" s="36"/>
      <c r="DD157" s="36"/>
      <c r="DE157" s="36"/>
      <c r="DF157" s="36"/>
      <c r="DG157" s="51"/>
      <c r="DH157" s="36"/>
      <c r="DI157" s="36"/>
      <c r="DJ157" s="36"/>
      <c r="DK157" s="36"/>
      <c r="DL157" s="51"/>
      <c r="DM157" s="51"/>
      <c r="DN157" s="51"/>
    </row>
    <row r="158" spans="1:118" ht="15.75" customHeight="1">
      <c r="A158" s="171"/>
      <c r="B158" s="51"/>
      <c r="C158" s="99"/>
      <c r="D158" s="101"/>
      <c r="E158" s="102"/>
      <c r="F158" s="51"/>
      <c r="G158" s="103"/>
      <c r="H158" s="103"/>
      <c r="I158" s="104"/>
      <c r="J158" s="101"/>
      <c r="K158" s="101"/>
      <c r="M158" s="51"/>
      <c r="N158" s="51"/>
      <c r="O158" s="51"/>
      <c r="P158" s="51"/>
      <c r="Q158" s="51"/>
      <c r="R158" s="36"/>
      <c r="S158" s="51"/>
      <c r="T158" s="59"/>
      <c r="U158" s="112"/>
      <c r="V158" s="39"/>
      <c r="W158" s="39"/>
      <c r="X158" s="40"/>
      <c r="Y158" s="39"/>
      <c r="Z158" s="41"/>
      <c r="AA158" s="41"/>
      <c r="AB158" s="51"/>
      <c r="AC158" s="51"/>
      <c r="AD158" s="51"/>
      <c r="AE158" s="51"/>
      <c r="AF158" s="51"/>
      <c r="AG158" s="51"/>
      <c r="AH158" s="51"/>
      <c r="AI158" s="106"/>
      <c r="AJ158" s="61"/>
      <c r="AK158" s="106"/>
      <c r="AL158" s="61"/>
      <c r="AM158" s="107"/>
      <c r="AN158" s="99"/>
      <c r="AO158" s="99"/>
      <c r="AP158" s="51"/>
      <c r="AQ158" s="51"/>
      <c r="AR158" s="51"/>
      <c r="AS158" s="101"/>
      <c r="AT158" s="101"/>
      <c r="AU158" s="51"/>
      <c r="AV158" s="51"/>
      <c r="AW158" s="51"/>
      <c r="AX158" s="51"/>
      <c r="AY158" s="106"/>
      <c r="AZ158" s="106"/>
      <c r="BA158" s="106"/>
      <c r="BB158" s="106"/>
      <c r="BC158" s="38"/>
      <c r="BD158" s="38"/>
      <c r="BE158" s="34"/>
      <c r="BF158" s="51"/>
      <c r="BG158" s="36"/>
      <c r="BH158" s="51"/>
      <c r="BI158" s="99"/>
      <c r="BJ158" s="99"/>
      <c r="BK158" s="51"/>
      <c r="BL158" s="51"/>
      <c r="BM158" s="51"/>
      <c r="BN158" s="51"/>
      <c r="BO158" s="99"/>
      <c r="BP158" s="99"/>
      <c r="BQ158" s="99"/>
      <c r="BR158" s="99"/>
      <c r="BS158" s="51"/>
      <c r="BT158" s="99"/>
      <c r="BU158" s="99"/>
      <c r="BV158" s="99"/>
      <c r="BW158" s="51"/>
      <c r="BX158" s="51"/>
      <c r="BY158" s="100"/>
      <c r="BZ158" s="100"/>
      <c r="CA158" s="36"/>
      <c r="CB158" s="36"/>
      <c r="CC158" s="51"/>
      <c r="CD158" s="36"/>
      <c r="CE158" s="36"/>
      <c r="CF158" s="36"/>
      <c r="CG158" s="36"/>
      <c r="CH158" s="51"/>
      <c r="CI158" s="36"/>
      <c r="CJ158" s="36"/>
      <c r="CK158" s="36"/>
      <c r="CL158" s="36"/>
      <c r="CM158" s="51"/>
      <c r="CN158" s="36"/>
      <c r="CO158" s="36"/>
      <c r="CP158" s="36"/>
      <c r="CQ158" s="36"/>
      <c r="CR158" s="51"/>
      <c r="CS158" s="36"/>
      <c r="CT158" s="36"/>
      <c r="CU158" s="36"/>
      <c r="CV158" s="36"/>
      <c r="CW158" s="51"/>
      <c r="CX158" s="36"/>
      <c r="CY158" s="36"/>
      <c r="CZ158" s="36"/>
      <c r="DA158" s="36"/>
      <c r="DB158" s="51"/>
      <c r="DC158" s="36"/>
      <c r="DD158" s="36"/>
      <c r="DE158" s="36"/>
      <c r="DF158" s="36"/>
      <c r="DG158" s="51"/>
      <c r="DH158" s="36"/>
      <c r="DI158" s="36"/>
      <c r="DJ158" s="36"/>
      <c r="DK158" s="36"/>
      <c r="DL158" s="51"/>
      <c r="DM158" s="51"/>
      <c r="DN158" s="51"/>
    </row>
    <row r="159" spans="1:118" ht="15.75" customHeight="1">
      <c r="A159" s="171"/>
      <c r="B159" s="51"/>
      <c r="C159" s="99"/>
      <c r="D159" s="101"/>
      <c r="E159" s="102"/>
      <c r="F159" s="51"/>
      <c r="G159" s="103"/>
      <c r="H159" s="103"/>
      <c r="I159" s="104"/>
      <c r="J159" s="101"/>
      <c r="K159" s="101"/>
      <c r="M159" s="51"/>
      <c r="N159" s="51"/>
      <c r="O159" s="51"/>
      <c r="P159" s="51"/>
      <c r="Q159" s="51"/>
      <c r="R159" s="36"/>
      <c r="S159" s="51"/>
      <c r="T159" s="59"/>
      <c r="U159" s="112"/>
      <c r="V159" s="39"/>
      <c r="W159" s="39"/>
      <c r="X159" s="40"/>
      <c r="Y159" s="39"/>
      <c r="Z159" s="41"/>
      <c r="AA159" s="41"/>
      <c r="AB159" s="51"/>
      <c r="AC159" s="51"/>
      <c r="AD159" s="51"/>
      <c r="AE159" s="51"/>
      <c r="AF159" s="51"/>
      <c r="AG159" s="51"/>
      <c r="AH159" s="51"/>
      <c r="AI159" s="106"/>
      <c r="AJ159" s="61"/>
      <c r="AK159" s="106"/>
      <c r="AL159" s="61"/>
      <c r="AM159" s="107"/>
      <c r="AN159" s="99"/>
      <c r="AO159" s="99"/>
      <c r="AP159" s="51"/>
      <c r="AQ159" s="51"/>
      <c r="AR159" s="51"/>
      <c r="AS159" s="101"/>
      <c r="AT159" s="101"/>
      <c r="AU159" s="51"/>
      <c r="AV159" s="51"/>
      <c r="AW159" s="51"/>
      <c r="AX159" s="51"/>
      <c r="AY159" s="106"/>
      <c r="AZ159" s="106"/>
      <c r="BA159" s="106"/>
      <c r="BB159" s="106"/>
      <c r="BC159" s="38"/>
      <c r="BD159" s="38"/>
      <c r="BE159" s="34"/>
      <c r="BF159" s="51"/>
      <c r="BG159" s="36"/>
      <c r="BH159" s="51"/>
      <c r="BI159" s="99"/>
      <c r="BJ159" s="99"/>
      <c r="BK159" s="51"/>
      <c r="BL159" s="51"/>
      <c r="BM159" s="51"/>
      <c r="BN159" s="51"/>
      <c r="BO159" s="99"/>
      <c r="BP159" s="99"/>
      <c r="BQ159" s="99"/>
      <c r="BR159" s="99"/>
      <c r="BS159" s="51"/>
      <c r="BT159" s="99"/>
      <c r="BU159" s="99"/>
      <c r="BV159" s="99"/>
      <c r="BW159" s="51"/>
      <c r="BX159" s="51"/>
      <c r="BY159" s="100"/>
      <c r="BZ159" s="100"/>
      <c r="CA159" s="36"/>
      <c r="CB159" s="36"/>
      <c r="CC159" s="51"/>
      <c r="CD159" s="36"/>
      <c r="CE159" s="36"/>
      <c r="CF159" s="36"/>
      <c r="CG159" s="36"/>
      <c r="CH159" s="51"/>
      <c r="CI159" s="36"/>
      <c r="CJ159" s="36"/>
      <c r="CK159" s="36"/>
      <c r="CL159" s="36"/>
      <c r="CM159" s="51"/>
      <c r="CN159" s="36"/>
      <c r="CO159" s="36"/>
      <c r="CP159" s="36"/>
      <c r="CQ159" s="36"/>
      <c r="CR159" s="51"/>
      <c r="CS159" s="36"/>
      <c r="CT159" s="36"/>
      <c r="CU159" s="36"/>
      <c r="CV159" s="36"/>
      <c r="CW159" s="51"/>
      <c r="CX159" s="36"/>
      <c r="CY159" s="36"/>
      <c r="CZ159" s="36"/>
      <c r="DA159" s="36"/>
      <c r="DB159" s="51"/>
      <c r="DC159" s="36"/>
      <c r="DD159" s="36"/>
      <c r="DE159" s="36"/>
      <c r="DF159" s="36"/>
      <c r="DG159" s="51"/>
      <c r="DH159" s="36"/>
      <c r="DI159" s="36"/>
      <c r="DJ159" s="36"/>
      <c r="DK159" s="36"/>
      <c r="DL159" s="51"/>
      <c r="DM159" s="51"/>
      <c r="DN159" s="51"/>
    </row>
    <row r="160" spans="1:118" ht="15.75" customHeight="1">
      <c r="A160" s="171"/>
      <c r="B160" s="51"/>
      <c r="C160" s="99"/>
      <c r="D160" s="101"/>
      <c r="E160" s="102"/>
      <c r="F160" s="51"/>
      <c r="G160" s="103"/>
      <c r="H160" s="103"/>
      <c r="I160" s="104"/>
      <c r="J160" s="101"/>
      <c r="K160" s="101"/>
      <c r="M160" s="51"/>
      <c r="N160" s="51"/>
      <c r="O160" s="51"/>
      <c r="P160" s="51"/>
      <c r="Q160" s="51"/>
      <c r="R160" s="36"/>
      <c r="S160" s="51"/>
      <c r="T160" s="59"/>
      <c r="U160" s="112"/>
      <c r="V160" s="39"/>
      <c r="W160" s="39"/>
      <c r="X160" s="40"/>
      <c r="Y160" s="39"/>
      <c r="Z160" s="41"/>
      <c r="AA160" s="41"/>
      <c r="AB160" s="51"/>
      <c r="AC160" s="51"/>
      <c r="AD160" s="51"/>
      <c r="AE160" s="51"/>
      <c r="AF160" s="51"/>
      <c r="AG160" s="51"/>
      <c r="AH160" s="51"/>
      <c r="AI160" s="106"/>
      <c r="AJ160" s="61"/>
      <c r="AK160" s="106"/>
      <c r="AL160" s="61"/>
      <c r="AM160" s="107"/>
      <c r="AN160" s="99"/>
      <c r="AO160" s="99"/>
      <c r="AP160" s="51"/>
      <c r="AQ160" s="51"/>
      <c r="AR160" s="51"/>
      <c r="AS160" s="101"/>
      <c r="AT160" s="101"/>
      <c r="AU160" s="51"/>
      <c r="AV160" s="51"/>
      <c r="AW160" s="51"/>
      <c r="AX160" s="51"/>
      <c r="AY160" s="106"/>
      <c r="AZ160" s="106"/>
      <c r="BA160" s="106"/>
      <c r="BB160" s="106"/>
      <c r="BC160" s="38"/>
      <c r="BD160" s="38"/>
      <c r="BE160" s="34"/>
      <c r="BF160" s="51"/>
      <c r="BG160" s="36"/>
      <c r="BH160" s="51"/>
      <c r="BI160" s="99"/>
      <c r="BJ160" s="99"/>
      <c r="BK160" s="51"/>
      <c r="BL160" s="51"/>
      <c r="BM160" s="51"/>
      <c r="BN160" s="51"/>
      <c r="BO160" s="99"/>
      <c r="BP160" s="99"/>
      <c r="BQ160" s="99"/>
      <c r="BR160" s="99"/>
      <c r="BS160" s="51"/>
      <c r="BT160" s="99"/>
      <c r="BU160" s="99"/>
      <c r="BV160" s="99"/>
      <c r="BW160" s="51"/>
      <c r="BX160" s="51"/>
      <c r="BY160" s="100"/>
      <c r="BZ160" s="100"/>
      <c r="CA160" s="36"/>
      <c r="CB160" s="36"/>
      <c r="CC160" s="51"/>
      <c r="CD160" s="36"/>
      <c r="CE160" s="36"/>
      <c r="CF160" s="36"/>
      <c r="CG160" s="36"/>
      <c r="CH160" s="51"/>
      <c r="CI160" s="36"/>
      <c r="CJ160" s="36"/>
      <c r="CK160" s="36"/>
      <c r="CL160" s="36"/>
      <c r="CM160" s="51"/>
      <c r="CN160" s="36"/>
      <c r="CO160" s="36"/>
      <c r="CP160" s="36"/>
      <c r="CQ160" s="36"/>
      <c r="CR160" s="51"/>
      <c r="CS160" s="36"/>
      <c r="CT160" s="36"/>
      <c r="CU160" s="36"/>
      <c r="CV160" s="36"/>
      <c r="CW160" s="51"/>
      <c r="CX160" s="36"/>
      <c r="CY160" s="36"/>
      <c r="CZ160" s="36"/>
      <c r="DA160" s="36"/>
      <c r="DB160" s="51"/>
      <c r="DC160" s="36"/>
      <c r="DD160" s="36"/>
      <c r="DE160" s="36"/>
      <c r="DF160" s="36"/>
      <c r="DG160" s="51"/>
      <c r="DH160" s="36"/>
      <c r="DI160" s="36"/>
      <c r="DJ160" s="36"/>
      <c r="DK160" s="36"/>
      <c r="DL160" s="51"/>
      <c r="DM160" s="51"/>
      <c r="DN160" s="51"/>
    </row>
    <row r="161" spans="1:118" ht="15.75" customHeight="1">
      <c r="A161" s="171"/>
      <c r="B161" s="51"/>
      <c r="C161" s="99"/>
      <c r="D161" s="101"/>
      <c r="E161" s="102"/>
      <c r="F161" s="51"/>
      <c r="G161" s="103"/>
      <c r="H161" s="103"/>
      <c r="I161" s="104"/>
      <c r="J161" s="101"/>
      <c r="K161" s="101"/>
      <c r="M161" s="51"/>
      <c r="N161" s="51"/>
      <c r="O161" s="51"/>
      <c r="P161" s="51"/>
      <c r="Q161" s="51"/>
      <c r="R161" s="36"/>
      <c r="S161" s="51"/>
      <c r="T161" s="59"/>
      <c r="U161" s="112"/>
      <c r="V161" s="39"/>
      <c r="W161" s="39"/>
      <c r="X161" s="40"/>
      <c r="Y161" s="39"/>
      <c r="Z161" s="41"/>
      <c r="AA161" s="41"/>
      <c r="AB161" s="51"/>
      <c r="AC161" s="51"/>
      <c r="AD161" s="51"/>
      <c r="AE161" s="51"/>
      <c r="AF161" s="51"/>
      <c r="AG161" s="51"/>
      <c r="AH161" s="51"/>
      <c r="AI161" s="106"/>
      <c r="AJ161" s="61"/>
      <c r="AK161" s="106"/>
      <c r="AL161" s="61"/>
      <c r="AM161" s="107"/>
      <c r="AN161" s="99"/>
      <c r="AO161" s="99"/>
      <c r="AP161" s="51"/>
      <c r="AQ161" s="51"/>
      <c r="AR161" s="51"/>
      <c r="AS161" s="101"/>
      <c r="AT161" s="101"/>
      <c r="AU161" s="51"/>
      <c r="AV161" s="51"/>
      <c r="AW161" s="51"/>
      <c r="AX161" s="51"/>
      <c r="AY161" s="106"/>
      <c r="AZ161" s="106"/>
      <c r="BA161" s="106"/>
      <c r="BB161" s="106"/>
      <c r="BC161" s="38"/>
      <c r="BD161" s="38"/>
      <c r="BE161" s="34"/>
      <c r="BF161" s="51"/>
      <c r="BG161" s="36"/>
      <c r="BH161" s="51"/>
      <c r="BI161" s="99"/>
      <c r="BJ161" s="99"/>
      <c r="BK161" s="51"/>
      <c r="BL161" s="51"/>
      <c r="BM161" s="51"/>
      <c r="BN161" s="51"/>
      <c r="BO161" s="99"/>
      <c r="BP161" s="99"/>
      <c r="BQ161" s="99"/>
      <c r="BR161" s="99"/>
      <c r="BS161" s="51"/>
      <c r="BT161" s="99"/>
      <c r="BU161" s="99"/>
      <c r="BV161" s="99"/>
      <c r="BW161" s="51"/>
      <c r="BX161" s="51"/>
      <c r="BY161" s="100"/>
      <c r="BZ161" s="100"/>
      <c r="CA161" s="36"/>
      <c r="CB161" s="36"/>
      <c r="CC161" s="51"/>
      <c r="CD161" s="36"/>
      <c r="CE161" s="36"/>
      <c r="CF161" s="36"/>
      <c r="CG161" s="36"/>
      <c r="CH161" s="51"/>
      <c r="CI161" s="36"/>
      <c r="CJ161" s="36"/>
      <c r="CK161" s="36"/>
      <c r="CL161" s="36"/>
      <c r="CM161" s="51"/>
      <c r="CN161" s="36"/>
      <c r="CO161" s="36"/>
      <c r="CP161" s="36"/>
      <c r="CQ161" s="36"/>
      <c r="CR161" s="51"/>
      <c r="CS161" s="36"/>
      <c r="CT161" s="36"/>
      <c r="CU161" s="36"/>
      <c r="CV161" s="36"/>
      <c r="CW161" s="51"/>
      <c r="CX161" s="36"/>
      <c r="CY161" s="36"/>
      <c r="CZ161" s="36"/>
      <c r="DA161" s="36"/>
      <c r="DB161" s="51"/>
      <c r="DC161" s="36"/>
      <c r="DD161" s="36"/>
      <c r="DE161" s="36"/>
      <c r="DF161" s="36"/>
      <c r="DG161" s="51"/>
      <c r="DH161" s="36"/>
      <c r="DI161" s="36"/>
      <c r="DJ161" s="36"/>
      <c r="DK161" s="36"/>
      <c r="DL161" s="51"/>
      <c r="DM161" s="51"/>
      <c r="DN161" s="51"/>
    </row>
    <row r="162" spans="1:118" ht="15.75" customHeight="1">
      <c r="A162" s="171"/>
      <c r="B162" s="51"/>
      <c r="C162" s="99"/>
      <c r="D162" s="101"/>
      <c r="E162" s="102"/>
      <c r="F162" s="51"/>
      <c r="G162" s="103"/>
      <c r="H162" s="103"/>
      <c r="I162" s="104"/>
      <c r="J162" s="101"/>
      <c r="K162" s="101"/>
      <c r="M162" s="51"/>
      <c r="N162" s="51"/>
      <c r="O162" s="51"/>
      <c r="P162" s="51"/>
      <c r="Q162" s="51"/>
      <c r="R162" s="36"/>
      <c r="S162" s="51"/>
      <c r="T162" s="59"/>
      <c r="U162" s="112"/>
      <c r="V162" s="39"/>
      <c r="W162" s="39"/>
      <c r="X162" s="40"/>
      <c r="Y162" s="39"/>
      <c r="Z162" s="41"/>
      <c r="AA162" s="41"/>
      <c r="AB162" s="51"/>
      <c r="AC162" s="51"/>
      <c r="AD162" s="51"/>
      <c r="AE162" s="51"/>
      <c r="AF162" s="51"/>
      <c r="AG162" s="51"/>
      <c r="AH162" s="51"/>
      <c r="AI162" s="106"/>
      <c r="AJ162" s="61"/>
      <c r="AK162" s="106"/>
      <c r="AL162" s="61"/>
      <c r="AM162" s="107"/>
      <c r="AN162" s="99"/>
      <c r="AO162" s="99"/>
      <c r="AP162" s="51"/>
      <c r="AQ162" s="51"/>
      <c r="AR162" s="51"/>
      <c r="AS162" s="101"/>
      <c r="AT162" s="101"/>
      <c r="AU162" s="51"/>
      <c r="AV162" s="51"/>
      <c r="AW162" s="51"/>
      <c r="AX162" s="51"/>
      <c r="AY162" s="106"/>
      <c r="AZ162" s="106"/>
      <c r="BA162" s="106"/>
      <c r="BB162" s="106"/>
      <c r="BC162" s="38"/>
      <c r="BD162" s="38"/>
      <c r="BE162" s="34"/>
      <c r="BF162" s="51"/>
      <c r="BG162" s="36"/>
      <c r="BH162" s="51"/>
      <c r="BI162" s="99"/>
      <c r="BJ162" s="99"/>
      <c r="BK162" s="51"/>
      <c r="BL162" s="51"/>
      <c r="BM162" s="51"/>
      <c r="BN162" s="51"/>
      <c r="BO162" s="99"/>
      <c r="BP162" s="99"/>
      <c r="BQ162" s="99"/>
      <c r="BR162" s="99"/>
      <c r="BS162" s="51"/>
      <c r="BT162" s="99"/>
      <c r="BU162" s="99"/>
      <c r="BV162" s="99"/>
      <c r="BW162" s="51"/>
      <c r="BX162" s="51"/>
      <c r="BY162" s="100"/>
      <c r="BZ162" s="100"/>
      <c r="CA162" s="36"/>
      <c r="CB162" s="36"/>
      <c r="CC162" s="51"/>
      <c r="CD162" s="36"/>
      <c r="CE162" s="36"/>
      <c r="CF162" s="36"/>
      <c r="CG162" s="36"/>
      <c r="CH162" s="51"/>
      <c r="CI162" s="36"/>
      <c r="CJ162" s="36"/>
      <c r="CK162" s="36"/>
      <c r="CL162" s="36"/>
      <c r="CM162" s="51"/>
      <c r="CN162" s="36"/>
      <c r="CO162" s="36"/>
      <c r="CP162" s="36"/>
      <c r="CQ162" s="36"/>
      <c r="CR162" s="51"/>
      <c r="CS162" s="36"/>
      <c r="CT162" s="36"/>
      <c r="CU162" s="36"/>
      <c r="CV162" s="36"/>
      <c r="CW162" s="51"/>
      <c r="CX162" s="36"/>
      <c r="CY162" s="36"/>
      <c r="CZ162" s="36"/>
      <c r="DA162" s="36"/>
      <c r="DB162" s="51"/>
      <c r="DC162" s="36"/>
      <c r="DD162" s="36"/>
      <c r="DE162" s="36"/>
      <c r="DF162" s="36"/>
      <c r="DG162" s="51"/>
      <c r="DH162" s="36"/>
      <c r="DI162" s="36"/>
      <c r="DJ162" s="36"/>
      <c r="DK162" s="36"/>
      <c r="DL162" s="51"/>
      <c r="DM162" s="51"/>
      <c r="DN162" s="51"/>
    </row>
    <row r="163" spans="1:118" ht="15.75" customHeight="1">
      <c r="A163" s="171"/>
      <c r="B163" s="51"/>
      <c r="C163" s="99"/>
      <c r="D163" s="101"/>
      <c r="E163" s="102"/>
      <c r="F163" s="51"/>
      <c r="G163" s="103"/>
      <c r="H163" s="103"/>
      <c r="I163" s="104"/>
      <c r="J163" s="101"/>
      <c r="K163" s="101"/>
      <c r="M163" s="51"/>
      <c r="N163" s="51"/>
      <c r="O163" s="51"/>
      <c r="P163" s="51"/>
      <c r="Q163" s="51"/>
      <c r="R163" s="36"/>
      <c r="S163" s="51"/>
      <c r="T163" s="59"/>
      <c r="U163" s="112"/>
      <c r="V163" s="39"/>
      <c r="W163" s="39"/>
      <c r="X163" s="40"/>
      <c r="Y163" s="39"/>
      <c r="Z163" s="41"/>
      <c r="AA163" s="41"/>
      <c r="AB163" s="51"/>
      <c r="AC163" s="51"/>
      <c r="AD163" s="51"/>
      <c r="AE163" s="51"/>
      <c r="AF163" s="51"/>
      <c r="AG163" s="51"/>
      <c r="AH163" s="51"/>
      <c r="AI163" s="106"/>
      <c r="AJ163" s="61"/>
      <c r="AK163" s="106"/>
      <c r="AL163" s="61"/>
      <c r="AM163" s="107"/>
      <c r="AN163" s="99"/>
      <c r="AO163" s="99"/>
      <c r="AP163" s="51"/>
      <c r="AQ163" s="51"/>
      <c r="AR163" s="51"/>
      <c r="AS163" s="101"/>
      <c r="AT163" s="101"/>
      <c r="AU163" s="51"/>
      <c r="AV163" s="51"/>
      <c r="AW163" s="51"/>
      <c r="AX163" s="51"/>
      <c r="AY163" s="106"/>
      <c r="AZ163" s="106"/>
      <c r="BA163" s="106"/>
      <c r="BB163" s="106"/>
      <c r="BC163" s="38"/>
      <c r="BD163" s="38"/>
      <c r="BE163" s="34"/>
      <c r="BF163" s="51"/>
      <c r="BG163" s="36"/>
      <c r="BH163" s="51"/>
      <c r="BI163" s="99"/>
      <c r="BJ163" s="99"/>
      <c r="BK163" s="51"/>
      <c r="BL163" s="51"/>
      <c r="BM163" s="51"/>
      <c r="BN163" s="51"/>
      <c r="BO163" s="99"/>
      <c r="BP163" s="99"/>
      <c r="BQ163" s="99"/>
      <c r="BR163" s="99"/>
      <c r="BS163" s="51"/>
      <c r="BT163" s="99"/>
      <c r="BU163" s="99"/>
      <c r="BV163" s="99"/>
      <c r="BW163" s="51"/>
      <c r="BX163" s="51"/>
      <c r="BY163" s="100"/>
      <c r="BZ163" s="100"/>
      <c r="CA163" s="36"/>
      <c r="CB163" s="36"/>
      <c r="CC163" s="51"/>
      <c r="CD163" s="36"/>
      <c r="CE163" s="36"/>
      <c r="CF163" s="36"/>
      <c r="CG163" s="36"/>
      <c r="CH163" s="51"/>
      <c r="CI163" s="36"/>
      <c r="CJ163" s="36"/>
      <c r="CK163" s="36"/>
      <c r="CL163" s="36"/>
      <c r="CM163" s="51"/>
      <c r="CN163" s="36"/>
      <c r="CO163" s="36"/>
      <c r="CP163" s="36"/>
      <c r="CQ163" s="36"/>
      <c r="CR163" s="51"/>
      <c r="CS163" s="36"/>
      <c r="CT163" s="36"/>
      <c r="CU163" s="36"/>
      <c r="CV163" s="36"/>
      <c r="CW163" s="51"/>
      <c r="CX163" s="36"/>
      <c r="CY163" s="36"/>
      <c r="CZ163" s="36"/>
      <c r="DA163" s="36"/>
      <c r="DB163" s="51"/>
      <c r="DC163" s="36"/>
      <c r="DD163" s="36"/>
      <c r="DE163" s="36"/>
      <c r="DF163" s="36"/>
      <c r="DG163" s="51"/>
      <c r="DH163" s="36"/>
      <c r="DI163" s="36"/>
      <c r="DJ163" s="36"/>
      <c r="DK163" s="36"/>
      <c r="DL163" s="51"/>
      <c r="DM163" s="51"/>
      <c r="DN163" s="51"/>
    </row>
    <row r="164" spans="1:118" ht="15.75" customHeight="1">
      <c r="A164" s="171"/>
      <c r="B164" s="51"/>
      <c r="C164" s="99"/>
      <c r="D164" s="101"/>
      <c r="E164" s="102"/>
      <c r="F164" s="51"/>
      <c r="G164" s="103"/>
      <c r="H164" s="103"/>
      <c r="I164" s="104"/>
      <c r="J164" s="101"/>
      <c r="K164" s="101"/>
      <c r="M164" s="51"/>
      <c r="N164" s="51"/>
      <c r="O164" s="51"/>
      <c r="P164" s="51"/>
      <c r="Q164" s="51"/>
      <c r="R164" s="36"/>
      <c r="S164" s="51"/>
      <c r="T164" s="59"/>
      <c r="U164" s="112"/>
      <c r="V164" s="39"/>
      <c r="W164" s="39"/>
      <c r="X164" s="40"/>
      <c r="Y164" s="39"/>
      <c r="Z164" s="41"/>
      <c r="AA164" s="41"/>
      <c r="AB164" s="51"/>
      <c r="AC164" s="51"/>
      <c r="AD164" s="51"/>
      <c r="AE164" s="51"/>
      <c r="AF164" s="51"/>
      <c r="AG164" s="51"/>
      <c r="AH164" s="51"/>
      <c r="AI164" s="106"/>
      <c r="AJ164" s="61"/>
      <c r="AK164" s="106"/>
      <c r="AL164" s="61"/>
      <c r="AM164" s="107"/>
      <c r="AN164" s="99"/>
      <c r="AO164" s="99"/>
      <c r="AP164" s="51"/>
      <c r="AQ164" s="51"/>
      <c r="AR164" s="51"/>
      <c r="AS164" s="101"/>
      <c r="AT164" s="101"/>
      <c r="AU164" s="51"/>
      <c r="AV164" s="51"/>
      <c r="AW164" s="51"/>
      <c r="AX164" s="51"/>
      <c r="AY164" s="106"/>
      <c r="AZ164" s="106"/>
      <c r="BA164" s="106"/>
      <c r="BB164" s="106"/>
      <c r="BC164" s="38"/>
      <c r="BD164" s="38"/>
      <c r="BE164" s="34"/>
      <c r="BF164" s="51"/>
      <c r="BG164" s="36"/>
      <c r="BH164" s="51"/>
      <c r="BI164" s="99"/>
      <c r="BJ164" s="99"/>
      <c r="BK164" s="51"/>
      <c r="BL164" s="51"/>
      <c r="BM164" s="51"/>
      <c r="BN164" s="51"/>
      <c r="BO164" s="99"/>
      <c r="BP164" s="99"/>
      <c r="BQ164" s="99"/>
      <c r="BR164" s="99"/>
      <c r="BS164" s="51"/>
      <c r="BT164" s="99"/>
      <c r="BU164" s="99"/>
      <c r="BV164" s="99"/>
      <c r="BW164" s="51"/>
      <c r="BX164" s="51"/>
      <c r="BY164" s="100"/>
      <c r="BZ164" s="100"/>
      <c r="CA164" s="36"/>
      <c r="CB164" s="36"/>
      <c r="CC164" s="51"/>
      <c r="CD164" s="36"/>
      <c r="CE164" s="36"/>
      <c r="CF164" s="36"/>
      <c r="CG164" s="36"/>
      <c r="CH164" s="51"/>
      <c r="CI164" s="36"/>
      <c r="CJ164" s="36"/>
      <c r="CK164" s="36"/>
      <c r="CL164" s="36"/>
      <c r="CM164" s="51"/>
      <c r="CN164" s="36"/>
      <c r="CO164" s="36"/>
      <c r="CP164" s="36"/>
      <c r="CQ164" s="36"/>
      <c r="CR164" s="51"/>
      <c r="CS164" s="36"/>
      <c r="CT164" s="36"/>
      <c r="CU164" s="36"/>
      <c r="CV164" s="36"/>
      <c r="CW164" s="51"/>
      <c r="CX164" s="36"/>
      <c r="CY164" s="36"/>
      <c r="CZ164" s="36"/>
      <c r="DA164" s="36"/>
      <c r="DB164" s="51"/>
      <c r="DC164" s="36"/>
      <c r="DD164" s="36"/>
      <c r="DE164" s="36"/>
      <c r="DF164" s="36"/>
      <c r="DG164" s="51"/>
      <c r="DH164" s="36"/>
      <c r="DI164" s="36"/>
      <c r="DJ164" s="36"/>
      <c r="DK164" s="36"/>
      <c r="DL164" s="51"/>
      <c r="DM164" s="51"/>
      <c r="DN164" s="51"/>
    </row>
    <row r="165" spans="1:118" ht="15.75" customHeight="1">
      <c r="A165" s="171"/>
      <c r="B165" s="51"/>
      <c r="C165" s="99"/>
      <c r="D165" s="101"/>
      <c r="E165" s="102"/>
      <c r="F165" s="51"/>
      <c r="G165" s="103"/>
      <c r="H165" s="103"/>
      <c r="I165" s="104"/>
      <c r="J165" s="101"/>
      <c r="K165" s="101"/>
      <c r="M165" s="51"/>
      <c r="N165" s="51"/>
      <c r="O165" s="51"/>
      <c r="P165" s="51"/>
      <c r="Q165" s="51"/>
      <c r="R165" s="36"/>
      <c r="S165" s="51"/>
      <c r="T165" s="59"/>
      <c r="U165" s="112"/>
      <c r="V165" s="39"/>
      <c r="W165" s="39"/>
      <c r="X165" s="40"/>
      <c r="Y165" s="39"/>
      <c r="Z165" s="41"/>
      <c r="AA165" s="41"/>
      <c r="AB165" s="51"/>
      <c r="AC165" s="51"/>
      <c r="AD165" s="51"/>
      <c r="AE165" s="51"/>
      <c r="AF165" s="51"/>
      <c r="AG165" s="51"/>
      <c r="AH165" s="51"/>
      <c r="AI165" s="106"/>
      <c r="AJ165" s="61"/>
      <c r="AK165" s="106"/>
      <c r="AL165" s="61"/>
      <c r="AM165" s="107"/>
      <c r="AN165" s="99"/>
      <c r="AO165" s="99"/>
      <c r="AP165" s="51"/>
      <c r="AQ165" s="51"/>
      <c r="AR165" s="51"/>
      <c r="AS165" s="101"/>
      <c r="AT165" s="101"/>
      <c r="AU165" s="51"/>
      <c r="AV165" s="51"/>
      <c r="AW165" s="51"/>
      <c r="AX165" s="51"/>
      <c r="AY165" s="106"/>
      <c r="AZ165" s="106"/>
      <c r="BA165" s="106"/>
      <c r="BB165" s="106"/>
      <c r="BC165" s="38"/>
      <c r="BD165" s="38"/>
      <c r="BE165" s="34"/>
      <c r="BF165" s="51"/>
      <c r="BG165" s="36"/>
      <c r="BH165" s="51"/>
      <c r="BI165" s="99"/>
      <c r="BJ165" s="99"/>
      <c r="BK165" s="51"/>
      <c r="BL165" s="51"/>
      <c r="BM165" s="51"/>
      <c r="BN165" s="51"/>
      <c r="BO165" s="99"/>
      <c r="BP165" s="99"/>
      <c r="BQ165" s="99"/>
      <c r="BR165" s="99"/>
      <c r="BS165" s="51"/>
      <c r="BT165" s="99"/>
      <c r="BU165" s="99"/>
      <c r="BV165" s="99"/>
      <c r="BW165" s="51"/>
      <c r="BX165" s="51"/>
      <c r="BY165" s="100"/>
      <c r="BZ165" s="100"/>
      <c r="CA165" s="36"/>
      <c r="CB165" s="36"/>
      <c r="CC165" s="51"/>
      <c r="CD165" s="36"/>
      <c r="CE165" s="36"/>
      <c r="CF165" s="36"/>
      <c r="CG165" s="36"/>
      <c r="CH165" s="51"/>
      <c r="CI165" s="36"/>
      <c r="CJ165" s="36"/>
      <c r="CK165" s="36"/>
      <c r="CL165" s="36"/>
      <c r="CM165" s="51"/>
      <c r="CN165" s="36"/>
      <c r="CO165" s="36"/>
      <c r="CP165" s="36"/>
      <c r="CQ165" s="36"/>
      <c r="CR165" s="51"/>
      <c r="CS165" s="36"/>
      <c r="CT165" s="36"/>
      <c r="CU165" s="36"/>
      <c r="CV165" s="36"/>
      <c r="CW165" s="51"/>
      <c r="CX165" s="36"/>
      <c r="CY165" s="36"/>
      <c r="CZ165" s="36"/>
      <c r="DA165" s="36"/>
      <c r="DB165" s="51"/>
      <c r="DC165" s="36"/>
      <c r="DD165" s="36"/>
      <c r="DE165" s="36"/>
      <c r="DF165" s="36"/>
      <c r="DG165" s="51"/>
      <c r="DH165" s="36"/>
      <c r="DI165" s="36"/>
      <c r="DJ165" s="36"/>
      <c r="DK165" s="36"/>
      <c r="DL165" s="51"/>
      <c r="DM165" s="51"/>
      <c r="DN165" s="51"/>
    </row>
    <row r="166" spans="1:118" ht="15.75" customHeight="1">
      <c r="A166" s="171"/>
      <c r="B166" s="51"/>
      <c r="C166" s="99"/>
      <c r="D166" s="101"/>
      <c r="E166" s="102"/>
      <c r="F166" s="51"/>
      <c r="G166" s="103"/>
      <c r="H166" s="103"/>
      <c r="I166" s="104"/>
      <c r="J166" s="101"/>
      <c r="K166" s="101"/>
      <c r="M166" s="51"/>
      <c r="N166" s="51"/>
      <c r="O166" s="51"/>
      <c r="P166" s="51"/>
      <c r="Q166" s="51"/>
      <c r="R166" s="36"/>
      <c r="S166" s="51"/>
      <c r="T166" s="59"/>
      <c r="U166" s="112"/>
      <c r="V166" s="39"/>
      <c r="W166" s="39"/>
      <c r="X166" s="40"/>
      <c r="Y166" s="39"/>
      <c r="Z166" s="41"/>
      <c r="AA166" s="41"/>
      <c r="AB166" s="51"/>
      <c r="AC166" s="51"/>
      <c r="AD166" s="51"/>
      <c r="AE166" s="51"/>
      <c r="AF166" s="51"/>
      <c r="AG166" s="51"/>
      <c r="AH166" s="51"/>
      <c r="AI166" s="106"/>
      <c r="AJ166" s="61"/>
      <c r="AK166" s="106"/>
      <c r="AL166" s="61"/>
      <c r="AM166" s="107"/>
      <c r="AN166" s="99"/>
      <c r="AO166" s="99"/>
      <c r="AP166" s="51"/>
      <c r="AQ166" s="51"/>
      <c r="AR166" s="51"/>
      <c r="AS166" s="101"/>
      <c r="AT166" s="101"/>
      <c r="AU166" s="51"/>
      <c r="AV166" s="51"/>
      <c r="AW166" s="51"/>
      <c r="AX166" s="51"/>
      <c r="AY166" s="106"/>
      <c r="AZ166" s="106"/>
      <c r="BA166" s="106"/>
      <c r="BB166" s="106"/>
      <c r="BC166" s="38"/>
      <c r="BD166" s="38"/>
      <c r="BE166" s="34"/>
      <c r="BF166" s="51"/>
      <c r="BG166" s="36"/>
      <c r="BH166" s="51"/>
      <c r="BI166" s="99"/>
      <c r="BJ166" s="99"/>
      <c r="BK166" s="51"/>
      <c r="BL166" s="51"/>
      <c r="BM166" s="51"/>
      <c r="BN166" s="51"/>
      <c r="BO166" s="99"/>
      <c r="BP166" s="99"/>
      <c r="BQ166" s="99"/>
      <c r="BR166" s="99"/>
      <c r="BS166" s="51"/>
      <c r="BT166" s="99"/>
      <c r="BU166" s="99"/>
      <c r="BV166" s="99"/>
      <c r="BW166" s="51"/>
      <c r="BX166" s="51"/>
      <c r="BY166" s="100"/>
      <c r="BZ166" s="100"/>
      <c r="CA166" s="36"/>
      <c r="CB166" s="36"/>
      <c r="CC166" s="51"/>
      <c r="CD166" s="36"/>
      <c r="CE166" s="36"/>
      <c r="CF166" s="36"/>
      <c r="CG166" s="36"/>
      <c r="CH166" s="51"/>
      <c r="CI166" s="36"/>
      <c r="CJ166" s="36"/>
      <c r="CK166" s="36"/>
      <c r="CL166" s="36"/>
      <c r="CM166" s="51"/>
      <c r="CN166" s="36"/>
      <c r="CO166" s="36"/>
      <c r="CP166" s="36"/>
      <c r="CQ166" s="36"/>
      <c r="CR166" s="51"/>
      <c r="CS166" s="36"/>
      <c r="CT166" s="36"/>
      <c r="CU166" s="36"/>
      <c r="CV166" s="36"/>
      <c r="CW166" s="51"/>
      <c r="CX166" s="36"/>
      <c r="CY166" s="36"/>
      <c r="CZ166" s="36"/>
      <c r="DA166" s="36"/>
      <c r="DB166" s="51"/>
      <c r="DC166" s="36"/>
      <c r="DD166" s="36"/>
      <c r="DE166" s="36"/>
      <c r="DF166" s="36"/>
      <c r="DG166" s="51"/>
      <c r="DH166" s="36"/>
      <c r="DI166" s="36"/>
      <c r="DJ166" s="36"/>
      <c r="DK166" s="36"/>
      <c r="DL166" s="51"/>
      <c r="DM166" s="51"/>
      <c r="DN166" s="51"/>
    </row>
    <row r="167" spans="1:118" ht="15.75" customHeight="1">
      <c r="A167" s="171"/>
      <c r="B167" s="51"/>
      <c r="C167" s="99"/>
      <c r="D167" s="101"/>
      <c r="E167" s="102"/>
      <c r="F167" s="51"/>
      <c r="G167" s="103"/>
      <c r="H167" s="103"/>
      <c r="I167" s="104"/>
      <c r="J167" s="101"/>
      <c r="K167" s="101"/>
      <c r="M167" s="51"/>
      <c r="N167" s="51"/>
      <c r="O167" s="51"/>
      <c r="P167" s="51"/>
      <c r="Q167" s="51"/>
      <c r="R167" s="36"/>
      <c r="S167" s="51"/>
      <c r="T167" s="59"/>
      <c r="U167" s="112"/>
      <c r="V167" s="39"/>
      <c r="W167" s="39"/>
      <c r="X167" s="40"/>
      <c r="Y167" s="39"/>
      <c r="Z167" s="41"/>
      <c r="AA167" s="41"/>
      <c r="AB167" s="51"/>
      <c r="AC167" s="51"/>
      <c r="AD167" s="51"/>
      <c r="AE167" s="51"/>
      <c r="AF167" s="51"/>
      <c r="AG167" s="51"/>
      <c r="AH167" s="51"/>
      <c r="AI167" s="106"/>
      <c r="AJ167" s="61"/>
      <c r="AK167" s="106"/>
      <c r="AL167" s="61"/>
      <c r="AM167" s="107"/>
      <c r="AN167" s="99"/>
      <c r="AO167" s="99"/>
      <c r="AP167" s="51"/>
      <c r="AQ167" s="51"/>
      <c r="AR167" s="51"/>
      <c r="AS167" s="101"/>
      <c r="AT167" s="101"/>
      <c r="AU167" s="51"/>
      <c r="AV167" s="51"/>
      <c r="AW167" s="51"/>
      <c r="AX167" s="51"/>
      <c r="AY167" s="106"/>
      <c r="AZ167" s="106"/>
      <c r="BA167" s="106"/>
      <c r="BB167" s="106"/>
      <c r="BC167" s="38"/>
      <c r="BD167" s="38"/>
      <c r="BE167" s="34"/>
      <c r="BF167" s="51"/>
      <c r="BG167" s="36"/>
      <c r="BH167" s="51"/>
      <c r="BI167" s="99"/>
      <c r="BJ167" s="99"/>
      <c r="BK167" s="51"/>
      <c r="BL167" s="51"/>
      <c r="BM167" s="51"/>
      <c r="BN167" s="51"/>
      <c r="BO167" s="99"/>
      <c r="BP167" s="99"/>
      <c r="BQ167" s="99"/>
      <c r="BR167" s="99"/>
      <c r="BS167" s="51"/>
      <c r="BT167" s="99"/>
      <c r="BU167" s="99"/>
      <c r="BV167" s="99"/>
      <c r="BW167" s="51"/>
      <c r="BX167" s="51"/>
      <c r="BY167" s="100"/>
      <c r="BZ167" s="100"/>
      <c r="CA167" s="36"/>
      <c r="CB167" s="36"/>
      <c r="CC167" s="51"/>
      <c r="CD167" s="36"/>
      <c r="CE167" s="36"/>
      <c r="CF167" s="36"/>
      <c r="CG167" s="36"/>
      <c r="CH167" s="51"/>
      <c r="CI167" s="36"/>
      <c r="CJ167" s="36"/>
      <c r="CK167" s="36"/>
      <c r="CL167" s="36"/>
      <c r="CM167" s="51"/>
      <c r="CN167" s="36"/>
      <c r="CO167" s="36"/>
      <c r="CP167" s="36"/>
      <c r="CQ167" s="36"/>
      <c r="CR167" s="51"/>
      <c r="CS167" s="36"/>
      <c r="CT167" s="36"/>
      <c r="CU167" s="36"/>
      <c r="CV167" s="36"/>
      <c r="CW167" s="51"/>
      <c r="CX167" s="36"/>
      <c r="CY167" s="36"/>
      <c r="CZ167" s="36"/>
      <c r="DA167" s="36"/>
      <c r="DB167" s="51"/>
      <c r="DC167" s="36"/>
      <c r="DD167" s="36"/>
      <c r="DE167" s="36"/>
      <c r="DF167" s="36"/>
      <c r="DG167" s="51"/>
      <c r="DH167" s="36"/>
      <c r="DI167" s="36"/>
      <c r="DJ167" s="36"/>
      <c r="DK167" s="36"/>
      <c r="DL167" s="51"/>
      <c r="DM167" s="51"/>
      <c r="DN167" s="51"/>
    </row>
    <row r="168" spans="1:118" ht="15.75" customHeight="1">
      <c r="A168" s="171"/>
      <c r="B168" s="51"/>
      <c r="C168" s="99"/>
      <c r="D168" s="101"/>
      <c r="E168" s="102"/>
      <c r="F168" s="51"/>
      <c r="G168" s="103"/>
      <c r="H168" s="103"/>
      <c r="I168" s="104"/>
      <c r="J168" s="101"/>
      <c r="K168" s="101"/>
      <c r="M168" s="51"/>
      <c r="N168" s="51"/>
      <c r="O168" s="51"/>
      <c r="P168" s="51"/>
      <c r="Q168" s="51"/>
      <c r="R168" s="36"/>
      <c r="S168" s="51"/>
      <c r="T168" s="59"/>
      <c r="U168" s="112"/>
      <c r="V168" s="39"/>
      <c r="W168" s="39"/>
      <c r="X168" s="40"/>
      <c r="Y168" s="39"/>
      <c r="Z168" s="41"/>
      <c r="AA168" s="41"/>
      <c r="AB168" s="51"/>
      <c r="AC168" s="51"/>
      <c r="AD168" s="51"/>
      <c r="AE168" s="51"/>
      <c r="AF168" s="51"/>
      <c r="AG168" s="51"/>
      <c r="AH168" s="51"/>
      <c r="AI168" s="106"/>
      <c r="AJ168" s="61"/>
      <c r="AK168" s="106"/>
      <c r="AL168" s="61"/>
      <c r="AM168" s="107"/>
      <c r="AN168" s="99"/>
      <c r="AO168" s="99"/>
      <c r="AP168" s="51"/>
      <c r="AQ168" s="51"/>
      <c r="AR168" s="51"/>
      <c r="AS168" s="101"/>
      <c r="AT168" s="101"/>
      <c r="AU168" s="51"/>
      <c r="AV168" s="51"/>
      <c r="AW168" s="51"/>
      <c r="AX168" s="51"/>
      <c r="AY168" s="106"/>
      <c r="AZ168" s="106"/>
      <c r="BA168" s="106"/>
      <c r="BB168" s="106"/>
      <c r="BC168" s="38"/>
      <c r="BD168" s="38"/>
      <c r="BE168" s="34"/>
      <c r="BF168" s="51"/>
      <c r="BG168" s="36"/>
      <c r="BH168" s="51"/>
      <c r="BI168" s="99"/>
      <c r="BJ168" s="99"/>
      <c r="BK168" s="51"/>
      <c r="BL168" s="51"/>
      <c r="BM168" s="51"/>
      <c r="BN168" s="51"/>
      <c r="BO168" s="99"/>
      <c r="BP168" s="99"/>
      <c r="BQ168" s="99"/>
      <c r="BR168" s="99"/>
      <c r="BS168" s="51"/>
      <c r="BT168" s="99"/>
      <c r="BU168" s="99"/>
      <c r="BV168" s="99"/>
      <c r="BW168" s="51"/>
      <c r="BX168" s="51"/>
      <c r="BY168" s="100"/>
      <c r="BZ168" s="100"/>
      <c r="CA168" s="36"/>
      <c r="CB168" s="36"/>
      <c r="CC168" s="51"/>
      <c r="CD168" s="36"/>
      <c r="CE168" s="36"/>
      <c r="CF168" s="36"/>
      <c r="CG168" s="36"/>
      <c r="CH168" s="51"/>
      <c r="CI168" s="36"/>
      <c r="CJ168" s="36"/>
      <c r="CK168" s="36"/>
      <c r="CL168" s="36"/>
      <c r="CM168" s="51"/>
      <c r="CN168" s="36"/>
      <c r="CO168" s="36"/>
      <c r="CP168" s="36"/>
      <c r="CQ168" s="36"/>
      <c r="CR168" s="51"/>
      <c r="CS168" s="36"/>
      <c r="CT168" s="36"/>
      <c r="CU168" s="36"/>
      <c r="CV168" s="36"/>
      <c r="CW168" s="51"/>
      <c r="CX168" s="36"/>
      <c r="CY168" s="36"/>
      <c r="CZ168" s="36"/>
      <c r="DA168" s="36"/>
      <c r="DB168" s="51"/>
      <c r="DC168" s="36"/>
      <c r="DD168" s="36"/>
      <c r="DE168" s="36"/>
      <c r="DF168" s="36"/>
      <c r="DG168" s="51"/>
      <c r="DH168" s="36"/>
      <c r="DI168" s="36"/>
      <c r="DJ168" s="36"/>
      <c r="DK168" s="36"/>
      <c r="DL168" s="51"/>
      <c r="DM168" s="51"/>
      <c r="DN168" s="51"/>
    </row>
    <row r="169" spans="1:118" ht="15.75" customHeight="1">
      <c r="A169" s="171"/>
      <c r="B169" s="51"/>
      <c r="C169" s="99"/>
      <c r="D169" s="101"/>
      <c r="E169" s="102"/>
      <c r="F169" s="51"/>
      <c r="G169" s="103"/>
      <c r="H169" s="103"/>
      <c r="I169" s="104"/>
      <c r="J169" s="101"/>
      <c r="K169" s="101"/>
      <c r="M169" s="51"/>
      <c r="N169" s="51"/>
      <c r="O169" s="51"/>
      <c r="P169" s="51"/>
      <c r="Q169" s="51"/>
      <c r="R169" s="36"/>
      <c r="S169" s="51"/>
      <c r="T169" s="59"/>
      <c r="U169" s="112"/>
      <c r="V169" s="39"/>
      <c r="W169" s="39"/>
      <c r="X169" s="40"/>
      <c r="Y169" s="39"/>
      <c r="Z169" s="41"/>
      <c r="AA169" s="41"/>
      <c r="AB169" s="51"/>
      <c r="AC169" s="51"/>
      <c r="AD169" s="51"/>
      <c r="AE169" s="51"/>
      <c r="AF169" s="51"/>
      <c r="AG169" s="51"/>
      <c r="AH169" s="51"/>
      <c r="AI169" s="106"/>
      <c r="AJ169" s="61"/>
      <c r="AK169" s="106"/>
      <c r="AL169" s="61"/>
      <c r="AM169" s="107"/>
      <c r="AN169" s="99"/>
      <c r="AO169" s="99"/>
      <c r="AP169" s="51"/>
      <c r="AQ169" s="51"/>
      <c r="AR169" s="51"/>
      <c r="AS169" s="101"/>
      <c r="AT169" s="101"/>
      <c r="AU169" s="51"/>
      <c r="AV169" s="51"/>
      <c r="AW169" s="51"/>
      <c r="AX169" s="51"/>
      <c r="AY169" s="106"/>
      <c r="AZ169" s="106"/>
      <c r="BA169" s="106"/>
      <c r="BB169" s="106"/>
      <c r="BC169" s="38"/>
      <c r="BD169" s="38"/>
      <c r="BE169" s="34"/>
      <c r="BF169" s="51"/>
      <c r="BG169" s="36"/>
      <c r="BH169" s="51"/>
      <c r="BI169" s="99"/>
      <c r="BJ169" s="99"/>
      <c r="BK169" s="51"/>
      <c r="BL169" s="51"/>
      <c r="BM169" s="51"/>
      <c r="BN169" s="51"/>
      <c r="BO169" s="99"/>
      <c r="BP169" s="99"/>
      <c r="BQ169" s="99"/>
      <c r="BR169" s="99"/>
      <c r="BS169" s="51"/>
      <c r="BT169" s="99"/>
      <c r="BU169" s="99"/>
      <c r="BV169" s="99"/>
      <c r="BW169" s="51"/>
      <c r="BX169" s="51"/>
      <c r="BY169" s="100"/>
      <c r="BZ169" s="100"/>
      <c r="CA169" s="36"/>
      <c r="CB169" s="36"/>
      <c r="CC169" s="51"/>
      <c r="CD169" s="36"/>
      <c r="CE169" s="36"/>
      <c r="CF169" s="36"/>
      <c r="CG169" s="36"/>
      <c r="CH169" s="51"/>
      <c r="CI169" s="36"/>
      <c r="CJ169" s="36"/>
      <c r="CK169" s="36"/>
      <c r="CL169" s="36"/>
      <c r="CM169" s="51"/>
      <c r="CN169" s="36"/>
      <c r="CO169" s="36"/>
      <c r="CP169" s="36"/>
      <c r="CQ169" s="36"/>
      <c r="CR169" s="51"/>
      <c r="CS169" s="36"/>
      <c r="CT169" s="36"/>
      <c r="CU169" s="36"/>
      <c r="CV169" s="36"/>
      <c r="CW169" s="51"/>
      <c r="CX169" s="36"/>
      <c r="CY169" s="36"/>
      <c r="CZ169" s="36"/>
      <c r="DA169" s="36"/>
      <c r="DB169" s="51"/>
      <c r="DC169" s="36"/>
      <c r="DD169" s="36"/>
      <c r="DE169" s="36"/>
      <c r="DF169" s="36"/>
      <c r="DG169" s="51"/>
      <c r="DH169" s="36"/>
      <c r="DI169" s="36"/>
      <c r="DJ169" s="36"/>
      <c r="DK169" s="36"/>
      <c r="DL169" s="51"/>
      <c r="DM169" s="51"/>
      <c r="DN169" s="51"/>
    </row>
    <row r="170" spans="1:118" ht="15.75" customHeight="1">
      <c r="A170" s="171"/>
      <c r="B170" s="51"/>
      <c r="C170" s="99"/>
      <c r="D170" s="101"/>
      <c r="E170" s="102"/>
      <c r="F170" s="51"/>
      <c r="G170" s="103"/>
      <c r="H170" s="103"/>
      <c r="I170" s="104"/>
      <c r="J170" s="101"/>
      <c r="K170" s="101"/>
      <c r="M170" s="51"/>
      <c r="N170" s="51"/>
      <c r="O170" s="51"/>
      <c r="P170" s="51"/>
      <c r="Q170" s="51"/>
      <c r="R170" s="36"/>
      <c r="S170" s="51"/>
      <c r="T170" s="59"/>
      <c r="U170" s="112"/>
      <c r="V170" s="39"/>
      <c r="W170" s="39"/>
      <c r="X170" s="40"/>
      <c r="Y170" s="39"/>
      <c r="Z170" s="41"/>
      <c r="AA170" s="41"/>
      <c r="AB170" s="51"/>
      <c r="AC170" s="51"/>
      <c r="AD170" s="51"/>
      <c r="AE170" s="51"/>
      <c r="AF170" s="51"/>
      <c r="AG170" s="51"/>
      <c r="AH170" s="51"/>
      <c r="AI170" s="106"/>
      <c r="AJ170" s="61"/>
      <c r="AK170" s="106"/>
      <c r="AL170" s="61"/>
      <c r="AM170" s="107"/>
      <c r="AN170" s="99"/>
      <c r="AO170" s="99"/>
      <c r="AP170" s="51"/>
      <c r="AQ170" s="51"/>
      <c r="AR170" s="51"/>
      <c r="AS170" s="101"/>
      <c r="AT170" s="101"/>
      <c r="AU170" s="51"/>
      <c r="AV170" s="51"/>
      <c r="AW170" s="51"/>
      <c r="AX170" s="51"/>
      <c r="AY170" s="106"/>
      <c r="AZ170" s="106"/>
      <c r="BA170" s="106"/>
      <c r="BB170" s="106"/>
      <c r="BC170" s="38"/>
      <c r="BD170" s="38"/>
      <c r="BE170" s="34"/>
      <c r="BF170" s="51"/>
      <c r="BG170" s="36"/>
      <c r="BH170" s="51"/>
      <c r="BI170" s="99"/>
      <c r="BJ170" s="99"/>
      <c r="BK170" s="51"/>
      <c r="BL170" s="51"/>
      <c r="BM170" s="51"/>
      <c r="BN170" s="51"/>
      <c r="BO170" s="99"/>
      <c r="BP170" s="99"/>
      <c r="BQ170" s="99"/>
      <c r="BR170" s="99"/>
      <c r="BS170" s="51"/>
      <c r="BT170" s="99"/>
      <c r="BU170" s="99"/>
      <c r="BV170" s="99"/>
      <c r="BW170" s="51"/>
      <c r="BX170" s="51"/>
      <c r="BY170" s="100"/>
      <c r="BZ170" s="100"/>
      <c r="CA170" s="36"/>
      <c r="CB170" s="36"/>
      <c r="CC170" s="51"/>
      <c r="CD170" s="36"/>
      <c r="CE170" s="36"/>
      <c r="CF170" s="36"/>
      <c r="CG170" s="36"/>
      <c r="CH170" s="51"/>
      <c r="CI170" s="36"/>
      <c r="CJ170" s="36"/>
      <c r="CK170" s="36"/>
      <c r="CL170" s="36"/>
      <c r="CM170" s="51"/>
      <c r="CN170" s="36"/>
      <c r="CO170" s="36"/>
      <c r="CP170" s="36"/>
      <c r="CQ170" s="36"/>
      <c r="CR170" s="51"/>
      <c r="CS170" s="36"/>
      <c r="CT170" s="36"/>
      <c r="CU170" s="36"/>
      <c r="CV170" s="36"/>
      <c r="CW170" s="51"/>
      <c r="CX170" s="36"/>
      <c r="CY170" s="36"/>
      <c r="CZ170" s="36"/>
      <c r="DA170" s="36"/>
      <c r="DB170" s="51"/>
      <c r="DC170" s="36"/>
      <c r="DD170" s="36"/>
      <c r="DE170" s="36"/>
      <c r="DF170" s="36"/>
      <c r="DG170" s="51"/>
      <c r="DH170" s="36"/>
      <c r="DI170" s="36"/>
      <c r="DJ170" s="36"/>
      <c r="DK170" s="36"/>
      <c r="DL170" s="51"/>
      <c r="DM170" s="51"/>
      <c r="DN170" s="51"/>
    </row>
    <row r="171" spans="1:118" ht="15.75" customHeight="1">
      <c r="A171" s="171"/>
      <c r="B171" s="51"/>
      <c r="C171" s="99"/>
      <c r="D171" s="101"/>
      <c r="E171" s="102"/>
      <c r="F171" s="51"/>
      <c r="G171" s="103"/>
      <c r="H171" s="103"/>
      <c r="I171" s="104"/>
      <c r="J171" s="101"/>
      <c r="K171" s="101"/>
      <c r="M171" s="51"/>
      <c r="N171" s="51"/>
      <c r="O171" s="51"/>
      <c r="P171" s="51"/>
      <c r="Q171" s="51"/>
      <c r="R171" s="36"/>
      <c r="S171" s="51"/>
      <c r="T171" s="59"/>
      <c r="U171" s="112"/>
      <c r="V171" s="39"/>
      <c r="W171" s="39"/>
      <c r="X171" s="40"/>
      <c r="Y171" s="39"/>
      <c r="Z171" s="41"/>
      <c r="AA171" s="41"/>
      <c r="AB171" s="51"/>
      <c r="AC171" s="51"/>
      <c r="AD171" s="51"/>
      <c r="AE171" s="51"/>
      <c r="AF171" s="51"/>
      <c r="AG171" s="51"/>
      <c r="AH171" s="51"/>
      <c r="AI171" s="106"/>
      <c r="AJ171" s="61"/>
      <c r="AK171" s="106"/>
      <c r="AL171" s="61"/>
      <c r="AM171" s="107"/>
      <c r="AN171" s="99"/>
      <c r="AO171" s="99"/>
      <c r="AP171" s="51"/>
      <c r="AQ171" s="51"/>
      <c r="AR171" s="51"/>
      <c r="AS171" s="101"/>
      <c r="AT171" s="101"/>
      <c r="AU171" s="51"/>
      <c r="AV171" s="51"/>
      <c r="AW171" s="51"/>
      <c r="AX171" s="51"/>
      <c r="AY171" s="106"/>
      <c r="AZ171" s="106"/>
      <c r="BA171" s="106"/>
      <c r="BB171" s="106"/>
      <c r="BC171" s="38"/>
      <c r="BD171" s="38"/>
      <c r="BE171" s="34"/>
      <c r="BF171" s="51"/>
      <c r="BG171" s="36"/>
      <c r="BH171" s="51"/>
      <c r="BI171" s="99"/>
      <c r="BJ171" s="99"/>
      <c r="BK171" s="51"/>
      <c r="BL171" s="51"/>
      <c r="BM171" s="51"/>
      <c r="BN171" s="51"/>
      <c r="BO171" s="99"/>
      <c r="BP171" s="99"/>
      <c r="BQ171" s="99"/>
      <c r="BR171" s="99"/>
      <c r="BS171" s="51"/>
      <c r="BT171" s="99"/>
      <c r="BU171" s="99"/>
      <c r="BV171" s="99"/>
      <c r="BW171" s="51"/>
      <c r="BX171" s="51"/>
      <c r="BY171" s="100"/>
      <c r="BZ171" s="100"/>
      <c r="CA171" s="36"/>
      <c r="CB171" s="36"/>
      <c r="CC171" s="51"/>
      <c r="CD171" s="36"/>
      <c r="CE171" s="36"/>
      <c r="CF171" s="36"/>
      <c r="CG171" s="36"/>
      <c r="CH171" s="51"/>
      <c r="CI171" s="36"/>
      <c r="CJ171" s="36"/>
      <c r="CK171" s="36"/>
      <c r="CL171" s="36"/>
      <c r="CM171" s="51"/>
      <c r="CN171" s="36"/>
      <c r="CO171" s="36"/>
      <c r="CP171" s="36"/>
      <c r="CQ171" s="36"/>
      <c r="CR171" s="51"/>
      <c r="CS171" s="36"/>
      <c r="CT171" s="36"/>
      <c r="CU171" s="36"/>
      <c r="CV171" s="36"/>
      <c r="CW171" s="51"/>
      <c r="CX171" s="36"/>
      <c r="CY171" s="36"/>
      <c r="CZ171" s="36"/>
      <c r="DA171" s="36"/>
      <c r="DB171" s="51"/>
      <c r="DC171" s="36"/>
      <c r="DD171" s="36"/>
      <c r="DE171" s="36"/>
      <c r="DF171" s="36"/>
      <c r="DG171" s="51"/>
      <c r="DH171" s="36"/>
      <c r="DI171" s="36"/>
      <c r="DJ171" s="36"/>
      <c r="DK171" s="36"/>
      <c r="DL171" s="51"/>
      <c r="DM171" s="51"/>
      <c r="DN171" s="51"/>
    </row>
    <row r="172" spans="1:118" ht="15.75" customHeight="1">
      <c r="A172" s="171"/>
      <c r="B172" s="51"/>
      <c r="C172" s="99"/>
      <c r="D172" s="101"/>
      <c r="E172" s="102"/>
      <c r="F172" s="51"/>
      <c r="G172" s="103"/>
      <c r="H172" s="103"/>
      <c r="I172" s="104"/>
      <c r="J172" s="101"/>
      <c r="K172" s="101"/>
      <c r="M172" s="51"/>
      <c r="N172" s="51"/>
      <c r="O172" s="51"/>
      <c r="P172" s="51"/>
      <c r="Q172" s="51"/>
      <c r="R172" s="36"/>
      <c r="S172" s="51"/>
      <c r="T172" s="59"/>
      <c r="U172" s="112"/>
      <c r="V172" s="39"/>
      <c r="W172" s="39"/>
      <c r="X172" s="40"/>
      <c r="Y172" s="39"/>
      <c r="Z172" s="41"/>
      <c r="AA172" s="41"/>
      <c r="AB172" s="51"/>
      <c r="AC172" s="51"/>
      <c r="AD172" s="51"/>
      <c r="AE172" s="51"/>
      <c r="AF172" s="51"/>
      <c r="AG172" s="51"/>
      <c r="AH172" s="51"/>
      <c r="AI172" s="106"/>
      <c r="AJ172" s="61"/>
      <c r="AK172" s="106"/>
      <c r="AL172" s="61"/>
      <c r="AM172" s="107"/>
      <c r="AN172" s="99"/>
      <c r="AO172" s="99"/>
      <c r="AP172" s="51"/>
      <c r="AQ172" s="51"/>
      <c r="AR172" s="51"/>
      <c r="AS172" s="101"/>
      <c r="AT172" s="101"/>
      <c r="AU172" s="51"/>
      <c r="AV172" s="51"/>
      <c r="AW172" s="51"/>
      <c r="AX172" s="51"/>
      <c r="AY172" s="106"/>
      <c r="AZ172" s="106"/>
      <c r="BA172" s="106"/>
      <c r="BB172" s="106"/>
      <c r="BC172" s="38"/>
      <c r="BD172" s="38"/>
      <c r="BE172" s="34"/>
      <c r="BF172" s="51"/>
      <c r="BG172" s="36"/>
      <c r="BH172" s="51"/>
      <c r="BI172" s="99"/>
      <c r="BJ172" s="99"/>
      <c r="BK172" s="51"/>
      <c r="BL172" s="51"/>
      <c r="BM172" s="51"/>
      <c r="BN172" s="51"/>
      <c r="BO172" s="99"/>
      <c r="BP172" s="99"/>
      <c r="BQ172" s="99"/>
      <c r="BR172" s="99"/>
      <c r="BS172" s="51"/>
      <c r="BT172" s="99"/>
      <c r="BU172" s="99"/>
      <c r="BV172" s="99"/>
      <c r="BW172" s="51"/>
      <c r="BX172" s="51"/>
      <c r="BY172" s="100"/>
      <c r="BZ172" s="100"/>
      <c r="CA172" s="36"/>
      <c r="CB172" s="36"/>
      <c r="CC172" s="51"/>
      <c r="CD172" s="36"/>
      <c r="CE172" s="36"/>
      <c r="CF172" s="36"/>
      <c r="CG172" s="36"/>
      <c r="CH172" s="51"/>
      <c r="CI172" s="36"/>
      <c r="CJ172" s="36"/>
      <c r="CK172" s="36"/>
      <c r="CL172" s="36"/>
      <c r="CM172" s="51"/>
      <c r="CN172" s="36"/>
      <c r="CO172" s="36"/>
      <c r="CP172" s="36"/>
      <c r="CQ172" s="36"/>
      <c r="CR172" s="51"/>
      <c r="CS172" s="36"/>
      <c r="CT172" s="36"/>
      <c r="CU172" s="36"/>
      <c r="CV172" s="36"/>
      <c r="CW172" s="51"/>
      <c r="CX172" s="36"/>
      <c r="CY172" s="36"/>
      <c r="CZ172" s="36"/>
      <c r="DA172" s="36"/>
      <c r="DB172" s="51"/>
      <c r="DC172" s="36"/>
      <c r="DD172" s="36"/>
      <c r="DE172" s="36"/>
      <c r="DF172" s="36"/>
      <c r="DG172" s="51"/>
      <c r="DH172" s="36"/>
      <c r="DI172" s="36"/>
      <c r="DJ172" s="36"/>
      <c r="DK172" s="36"/>
      <c r="DL172" s="51"/>
      <c r="DM172" s="51"/>
      <c r="DN172" s="51"/>
    </row>
    <row r="173" spans="1:118" ht="15.75" customHeight="1">
      <c r="A173" s="171"/>
      <c r="B173" s="51"/>
      <c r="C173" s="99"/>
      <c r="D173" s="101"/>
      <c r="E173" s="102"/>
      <c r="F173" s="51"/>
      <c r="G173" s="103"/>
      <c r="H173" s="103"/>
      <c r="I173" s="104"/>
      <c r="J173" s="101"/>
      <c r="K173" s="101"/>
      <c r="M173" s="51"/>
      <c r="N173" s="51"/>
      <c r="O173" s="51"/>
      <c r="P173" s="51"/>
      <c r="Q173" s="51"/>
      <c r="R173" s="36"/>
      <c r="S173" s="51"/>
      <c r="T173" s="59"/>
      <c r="U173" s="112"/>
      <c r="V173" s="39"/>
      <c r="W173" s="39"/>
      <c r="X173" s="40"/>
      <c r="Y173" s="39"/>
      <c r="Z173" s="41"/>
      <c r="AA173" s="41"/>
      <c r="AB173" s="51"/>
      <c r="AC173" s="51"/>
      <c r="AD173" s="51"/>
      <c r="AE173" s="51"/>
      <c r="AF173" s="51"/>
      <c r="AG173" s="51"/>
      <c r="AH173" s="51"/>
      <c r="AI173" s="106"/>
      <c r="AJ173" s="61"/>
      <c r="AK173" s="106"/>
      <c r="AL173" s="61"/>
      <c r="AM173" s="107"/>
      <c r="AN173" s="99"/>
      <c r="AO173" s="99"/>
      <c r="AP173" s="51"/>
      <c r="AQ173" s="51"/>
      <c r="AR173" s="51"/>
      <c r="AS173" s="101"/>
      <c r="AT173" s="101"/>
      <c r="AU173" s="51"/>
      <c r="AV173" s="51"/>
      <c r="AW173" s="51"/>
      <c r="AX173" s="51"/>
      <c r="AY173" s="106"/>
      <c r="AZ173" s="106"/>
      <c r="BA173" s="106"/>
      <c r="BB173" s="106"/>
      <c r="BC173" s="38"/>
      <c r="BD173" s="38"/>
      <c r="BE173" s="34"/>
      <c r="BF173" s="51"/>
      <c r="BG173" s="36"/>
      <c r="BH173" s="51"/>
      <c r="BI173" s="99"/>
      <c r="BJ173" s="99"/>
      <c r="BK173" s="51"/>
      <c r="BL173" s="51"/>
      <c r="BM173" s="51"/>
      <c r="BN173" s="51"/>
      <c r="BO173" s="99"/>
      <c r="BP173" s="99"/>
      <c r="BQ173" s="99"/>
      <c r="BR173" s="99"/>
      <c r="BS173" s="51"/>
      <c r="BT173" s="99"/>
      <c r="BU173" s="99"/>
      <c r="BV173" s="99"/>
      <c r="BW173" s="51"/>
      <c r="BX173" s="51"/>
      <c r="BY173" s="100"/>
      <c r="BZ173" s="100"/>
      <c r="CA173" s="36"/>
      <c r="CB173" s="36"/>
      <c r="CC173" s="51"/>
      <c r="CD173" s="36"/>
      <c r="CE173" s="36"/>
      <c r="CF173" s="36"/>
      <c r="CG173" s="36"/>
      <c r="CH173" s="51"/>
      <c r="CI173" s="36"/>
      <c r="CJ173" s="36"/>
      <c r="CK173" s="36"/>
      <c r="CL173" s="36"/>
      <c r="CM173" s="51"/>
      <c r="CN173" s="36"/>
      <c r="CO173" s="36"/>
      <c r="CP173" s="36"/>
      <c r="CQ173" s="36"/>
      <c r="CR173" s="51"/>
      <c r="CS173" s="36"/>
      <c r="CT173" s="36"/>
      <c r="CU173" s="36"/>
      <c r="CV173" s="36"/>
      <c r="CW173" s="51"/>
      <c r="CX173" s="36"/>
      <c r="CY173" s="36"/>
      <c r="CZ173" s="36"/>
      <c r="DA173" s="36"/>
      <c r="DB173" s="51"/>
      <c r="DC173" s="36"/>
      <c r="DD173" s="36"/>
      <c r="DE173" s="36"/>
      <c r="DF173" s="36"/>
      <c r="DG173" s="51"/>
      <c r="DH173" s="36"/>
      <c r="DI173" s="36"/>
      <c r="DJ173" s="36"/>
      <c r="DK173" s="36"/>
      <c r="DL173" s="51"/>
      <c r="DM173" s="51"/>
      <c r="DN173" s="51"/>
    </row>
    <row r="174" spans="1:118" ht="15.75" customHeight="1">
      <c r="A174" s="171"/>
      <c r="B174" s="51"/>
      <c r="C174" s="99"/>
      <c r="D174" s="101"/>
      <c r="E174" s="102"/>
      <c r="F174" s="51"/>
      <c r="G174" s="103"/>
      <c r="H174" s="103"/>
      <c r="I174" s="104"/>
      <c r="J174" s="101"/>
      <c r="K174" s="101"/>
      <c r="M174" s="51"/>
      <c r="N174" s="51"/>
      <c r="O174" s="51"/>
      <c r="P174" s="51"/>
      <c r="Q174" s="51"/>
      <c r="R174" s="36"/>
      <c r="S174" s="51"/>
      <c r="T174" s="59"/>
      <c r="U174" s="112"/>
      <c r="V174" s="39"/>
      <c r="W174" s="39"/>
      <c r="X174" s="40"/>
      <c r="Y174" s="39"/>
      <c r="Z174" s="41"/>
      <c r="AA174" s="41"/>
      <c r="AB174" s="51"/>
      <c r="AC174" s="51"/>
      <c r="AD174" s="51"/>
      <c r="AE174" s="51"/>
      <c r="AF174" s="51"/>
      <c r="AG174" s="51"/>
      <c r="AH174" s="51"/>
      <c r="AI174" s="106"/>
      <c r="AJ174" s="61"/>
      <c r="AK174" s="106"/>
      <c r="AL174" s="61"/>
      <c r="AM174" s="107"/>
      <c r="AN174" s="99"/>
      <c r="AO174" s="99"/>
      <c r="AP174" s="51"/>
      <c r="AQ174" s="51"/>
      <c r="AR174" s="51"/>
      <c r="AS174" s="101"/>
      <c r="AT174" s="101"/>
      <c r="AU174" s="51"/>
      <c r="AV174" s="51"/>
      <c r="AW174" s="51"/>
      <c r="AX174" s="51"/>
      <c r="AY174" s="106"/>
      <c r="AZ174" s="106"/>
      <c r="BA174" s="106"/>
      <c r="BB174" s="106"/>
      <c r="BC174" s="38"/>
      <c r="BD174" s="38"/>
      <c r="BE174" s="34"/>
      <c r="BF174" s="51"/>
      <c r="BG174" s="36"/>
      <c r="BH174" s="51"/>
      <c r="BI174" s="99"/>
      <c r="BJ174" s="99"/>
      <c r="BK174" s="51"/>
      <c r="BL174" s="51"/>
      <c r="BM174" s="51"/>
      <c r="BN174" s="51"/>
      <c r="BO174" s="99"/>
      <c r="BP174" s="99"/>
      <c r="BQ174" s="99"/>
      <c r="BR174" s="99"/>
      <c r="BS174" s="51"/>
      <c r="BT174" s="99"/>
      <c r="BU174" s="99"/>
      <c r="BV174" s="99"/>
      <c r="BW174" s="51"/>
      <c r="BX174" s="51"/>
      <c r="BY174" s="100"/>
      <c r="BZ174" s="100"/>
      <c r="CA174" s="36"/>
      <c r="CB174" s="36"/>
      <c r="CC174" s="51"/>
      <c r="CD174" s="36"/>
      <c r="CE174" s="36"/>
      <c r="CF174" s="36"/>
      <c r="CG174" s="36"/>
      <c r="CH174" s="51"/>
      <c r="CI174" s="36"/>
      <c r="CJ174" s="36"/>
      <c r="CK174" s="36"/>
      <c r="CL174" s="36"/>
      <c r="CM174" s="51"/>
      <c r="CN174" s="36"/>
      <c r="CO174" s="36"/>
      <c r="CP174" s="36"/>
      <c r="CQ174" s="36"/>
      <c r="CR174" s="51"/>
      <c r="CS174" s="36"/>
      <c r="CT174" s="36"/>
      <c r="CU174" s="36"/>
      <c r="CV174" s="36"/>
      <c r="CW174" s="51"/>
      <c r="CX174" s="36"/>
      <c r="CY174" s="36"/>
      <c r="CZ174" s="36"/>
      <c r="DA174" s="36"/>
      <c r="DB174" s="51"/>
      <c r="DC174" s="36"/>
      <c r="DD174" s="36"/>
      <c r="DE174" s="36"/>
      <c r="DF174" s="36"/>
      <c r="DG174" s="51"/>
      <c r="DH174" s="36"/>
      <c r="DI174" s="36"/>
      <c r="DJ174" s="36"/>
      <c r="DK174" s="36"/>
      <c r="DL174" s="51"/>
      <c r="DM174" s="51"/>
      <c r="DN174" s="51"/>
    </row>
    <row r="175" spans="1:118" ht="15.75" customHeight="1">
      <c r="A175" s="171"/>
      <c r="B175" s="51"/>
      <c r="C175" s="99"/>
      <c r="D175" s="101"/>
      <c r="E175" s="102"/>
      <c r="F175" s="51"/>
      <c r="G175" s="103"/>
      <c r="H175" s="103"/>
      <c r="I175" s="104"/>
      <c r="J175" s="101"/>
      <c r="K175" s="101"/>
      <c r="M175" s="51"/>
      <c r="N175" s="51"/>
      <c r="O175" s="51"/>
      <c r="P175" s="51"/>
      <c r="Q175" s="51"/>
      <c r="R175" s="36"/>
      <c r="S175" s="51"/>
      <c r="T175" s="59"/>
      <c r="U175" s="112"/>
      <c r="V175" s="39"/>
      <c r="W175" s="39"/>
      <c r="X175" s="40"/>
      <c r="Y175" s="39"/>
      <c r="Z175" s="41"/>
      <c r="AA175" s="41"/>
      <c r="AB175" s="51"/>
      <c r="AC175" s="51"/>
      <c r="AD175" s="51"/>
      <c r="AE175" s="51"/>
      <c r="AF175" s="51"/>
      <c r="AG175" s="51"/>
      <c r="AH175" s="51"/>
      <c r="AI175" s="106"/>
      <c r="AJ175" s="61"/>
      <c r="AK175" s="106"/>
      <c r="AL175" s="61"/>
      <c r="AM175" s="107"/>
      <c r="AN175" s="99"/>
      <c r="AO175" s="99"/>
      <c r="AP175" s="51"/>
      <c r="AQ175" s="51"/>
      <c r="AR175" s="51"/>
      <c r="AS175" s="101"/>
      <c r="AT175" s="101"/>
      <c r="AU175" s="51"/>
      <c r="AV175" s="51"/>
      <c r="AW175" s="51"/>
      <c r="AX175" s="51"/>
      <c r="AY175" s="106"/>
      <c r="AZ175" s="106"/>
      <c r="BA175" s="106"/>
      <c r="BB175" s="106"/>
      <c r="BC175" s="38"/>
      <c r="BD175" s="38"/>
      <c r="BE175" s="34"/>
      <c r="BF175" s="51"/>
      <c r="BG175" s="36"/>
      <c r="BH175" s="51"/>
      <c r="BI175" s="99"/>
      <c r="BJ175" s="99"/>
      <c r="BK175" s="51"/>
      <c r="BL175" s="51"/>
      <c r="BM175" s="51"/>
      <c r="BN175" s="51"/>
      <c r="BO175" s="99"/>
      <c r="BP175" s="99"/>
      <c r="BQ175" s="99"/>
      <c r="BR175" s="99"/>
      <c r="BS175" s="51"/>
      <c r="BT175" s="99"/>
      <c r="BU175" s="99"/>
      <c r="BV175" s="99"/>
      <c r="BW175" s="51"/>
      <c r="BX175" s="51"/>
      <c r="BY175" s="100"/>
      <c r="BZ175" s="100"/>
      <c r="CA175" s="36"/>
      <c r="CB175" s="36"/>
      <c r="CC175" s="51"/>
      <c r="CD175" s="36"/>
      <c r="CE175" s="36"/>
      <c r="CF175" s="36"/>
      <c r="CG175" s="36"/>
      <c r="CH175" s="51"/>
      <c r="CI175" s="36"/>
      <c r="CJ175" s="36"/>
      <c r="CK175" s="36"/>
      <c r="CL175" s="36"/>
      <c r="CM175" s="51"/>
      <c r="CN175" s="36"/>
      <c r="CO175" s="36"/>
      <c r="CP175" s="36"/>
      <c r="CQ175" s="36"/>
      <c r="CR175" s="51"/>
      <c r="CS175" s="36"/>
      <c r="CT175" s="36"/>
      <c r="CU175" s="36"/>
      <c r="CV175" s="36"/>
      <c r="CW175" s="51"/>
      <c r="CX175" s="36"/>
      <c r="CY175" s="36"/>
      <c r="CZ175" s="36"/>
      <c r="DA175" s="36"/>
      <c r="DB175" s="51"/>
      <c r="DC175" s="36"/>
      <c r="DD175" s="36"/>
      <c r="DE175" s="36"/>
      <c r="DF175" s="36"/>
      <c r="DG175" s="51"/>
      <c r="DH175" s="36"/>
      <c r="DI175" s="36"/>
      <c r="DJ175" s="36"/>
      <c r="DK175" s="36"/>
      <c r="DL175" s="51"/>
      <c r="DM175" s="51"/>
      <c r="DN175" s="51"/>
    </row>
    <row r="176" spans="1:118" ht="15.75" customHeight="1">
      <c r="A176" s="171"/>
      <c r="B176" s="51"/>
      <c r="C176" s="99"/>
      <c r="D176" s="101"/>
      <c r="E176" s="102"/>
      <c r="F176" s="51"/>
      <c r="G176" s="103"/>
      <c r="H176" s="103"/>
      <c r="I176" s="104"/>
      <c r="J176" s="101"/>
      <c r="K176" s="101"/>
      <c r="M176" s="51"/>
      <c r="N176" s="51"/>
      <c r="O176" s="51"/>
      <c r="P176" s="51"/>
      <c r="Q176" s="51"/>
      <c r="R176" s="36"/>
      <c r="S176" s="51"/>
      <c r="T176" s="59"/>
      <c r="U176" s="112"/>
      <c r="V176" s="39"/>
      <c r="W176" s="39"/>
      <c r="X176" s="40"/>
      <c r="Y176" s="39"/>
      <c r="Z176" s="41"/>
      <c r="AA176" s="41"/>
      <c r="AB176" s="51"/>
      <c r="AC176" s="51"/>
      <c r="AD176" s="51"/>
      <c r="AE176" s="51"/>
      <c r="AF176" s="51"/>
      <c r="AG176" s="51"/>
      <c r="AH176" s="51"/>
      <c r="AI176" s="106"/>
      <c r="AJ176" s="61"/>
      <c r="AK176" s="106"/>
      <c r="AL176" s="61"/>
      <c r="AM176" s="107"/>
      <c r="AN176" s="99"/>
      <c r="AO176" s="99"/>
      <c r="AP176" s="51"/>
      <c r="AQ176" s="51"/>
      <c r="AR176" s="51"/>
      <c r="AS176" s="101"/>
      <c r="AT176" s="101"/>
      <c r="AU176" s="51"/>
      <c r="AV176" s="51"/>
      <c r="AW176" s="51"/>
      <c r="AX176" s="51"/>
      <c r="AY176" s="106"/>
      <c r="AZ176" s="106"/>
      <c r="BA176" s="106"/>
      <c r="BB176" s="106"/>
      <c r="BC176" s="38"/>
      <c r="BD176" s="38"/>
      <c r="BE176" s="34"/>
      <c r="BF176" s="51"/>
      <c r="BG176" s="36"/>
      <c r="BH176" s="51"/>
      <c r="BI176" s="99"/>
      <c r="BJ176" s="99"/>
      <c r="BK176" s="51"/>
      <c r="BL176" s="51"/>
      <c r="BM176" s="51"/>
      <c r="BN176" s="51"/>
      <c r="BO176" s="99"/>
      <c r="BP176" s="99"/>
      <c r="BQ176" s="99"/>
      <c r="BR176" s="99"/>
      <c r="BS176" s="51"/>
      <c r="BT176" s="99"/>
      <c r="BU176" s="99"/>
      <c r="BV176" s="99"/>
      <c r="BW176" s="51"/>
      <c r="BX176" s="51"/>
      <c r="BY176" s="100"/>
      <c r="BZ176" s="100"/>
      <c r="CA176" s="36"/>
      <c r="CB176" s="36"/>
      <c r="CC176" s="51"/>
      <c r="CD176" s="36"/>
      <c r="CE176" s="36"/>
      <c r="CF176" s="36"/>
      <c r="CG176" s="36"/>
      <c r="CH176" s="51"/>
      <c r="CI176" s="36"/>
      <c r="CJ176" s="36"/>
      <c r="CK176" s="36"/>
      <c r="CL176" s="36"/>
      <c r="CM176" s="51"/>
      <c r="CN176" s="36"/>
      <c r="CO176" s="36"/>
      <c r="CP176" s="36"/>
      <c r="CQ176" s="36"/>
      <c r="CR176" s="51"/>
      <c r="CS176" s="36"/>
      <c r="CT176" s="36"/>
      <c r="CU176" s="36"/>
      <c r="CV176" s="36"/>
      <c r="CW176" s="51"/>
      <c r="CX176" s="36"/>
      <c r="CY176" s="36"/>
      <c r="CZ176" s="36"/>
      <c r="DA176" s="36"/>
      <c r="DB176" s="51"/>
      <c r="DC176" s="36"/>
      <c r="DD176" s="36"/>
      <c r="DE176" s="36"/>
      <c r="DF176" s="36"/>
      <c r="DG176" s="51"/>
      <c r="DH176" s="36"/>
      <c r="DI176" s="36"/>
      <c r="DJ176" s="36"/>
      <c r="DK176" s="36"/>
      <c r="DL176" s="51"/>
      <c r="DM176" s="51"/>
      <c r="DN176" s="51"/>
    </row>
    <row r="177" spans="1:118" ht="15.75" customHeight="1">
      <c r="A177" s="171"/>
      <c r="B177" s="51"/>
      <c r="C177" s="99"/>
      <c r="D177" s="101"/>
      <c r="E177" s="102"/>
      <c r="F177" s="51"/>
      <c r="G177" s="103"/>
      <c r="H177" s="103"/>
      <c r="I177" s="104"/>
      <c r="J177" s="101"/>
      <c r="K177" s="101"/>
      <c r="M177" s="51"/>
      <c r="N177" s="51"/>
      <c r="O177" s="51"/>
      <c r="P177" s="51"/>
      <c r="Q177" s="51"/>
      <c r="R177" s="36"/>
      <c r="S177" s="51"/>
      <c r="T177" s="59"/>
      <c r="U177" s="112"/>
      <c r="V177" s="39"/>
      <c r="W177" s="39"/>
      <c r="X177" s="40"/>
      <c r="Y177" s="39"/>
      <c r="Z177" s="41"/>
      <c r="AA177" s="41"/>
      <c r="AB177" s="51"/>
      <c r="AC177" s="51"/>
      <c r="AD177" s="51"/>
      <c r="AE177" s="51"/>
      <c r="AF177" s="51"/>
      <c r="AG177" s="51"/>
      <c r="AH177" s="51"/>
      <c r="AI177" s="106"/>
      <c r="AJ177" s="61"/>
      <c r="AK177" s="106"/>
      <c r="AL177" s="61"/>
      <c r="AM177" s="107"/>
      <c r="AN177" s="99"/>
      <c r="AO177" s="99"/>
      <c r="AP177" s="51"/>
      <c r="AQ177" s="51"/>
      <c r="AR177" s="51"/>
      <c r="AS177" s="101"/>
      <c r="AT177" s="101"/>
      <c r="AU177" s="51"/>
      <c r="AV177" s="51"/>
      <c r="AW177" s="51"/>
      <c r="AX177" s="51"/>
      <c r="AY177" s="106"/>
      <c r="AZ177" s="106"/>
      <c r="BA177" s="106"/>
      <c r="BB177" s="106"/>
      <c r="BC177" s="38"/>
      <c r="BD177" s="38"/>
      <c r="BE177" s="34"/>
      <c r="BF177" s="51"/>
      <c r="BG177" s="36"/>
      <c r="BH177" s="51"/>
      <c r="BI177" s="99"/>
      <c r="BJ177" s="99"/>
      <c r="BK177" s="51"/>
      <c r="BL177" s="51"/>
      <c r="BM177" s="51"/>
      <c r="BN177" s="51"/>
      <c r="BO177" s="99"/>
      <c r="BP177" s="99"/>
      <c r="BQ177" s="99"/>
      <c r="BR177" s="99"/>
      <c r="BS177" s="51"/>
      <c r="BT177" s="99"/>
      <c r="BU177" s="99"/>
      <c r="BV177" s="99"/>
      <c r="BW177" s="51"/>
      <c r="BX177" s="51"/>
      <c r="BY177" s="100"/>
      <c r="BZ177" s="100"/>
      <c r="CA177" s="36"/>
      <c r="CB177" s="36"/>
      <c r="CC177" s="51"/>
      <c r="CD177" s="36"/>
      <c r="CE177" s="36"/>
      <c r="CF177" s="36"/>
      <c r="CG177" s="36"/>
      <c r="CH177" s="51"/>
      <c r="CI177" s="36"/>
      <c r="CJ177" s="36"/>
      <c r="CK177" s="36"/>
      <c r="CL177" s="36"/>
      <c r="CM177" s="51"/>
      <c r="CN177" s="36"/>
      <c r="CO177" s="36"/>
      <c r="CP177" s="36"/>
      <c r="CQ177" s="36"/>
      <c r="CR177" s="51"/>
      <c r="CS177" s="36"/>
      <c r="CT177" s="36"/>
      <c r="CU177" s="36"/>
      <c r="CV177" s="36"/>
      <c r="CW177" s="51"/>
      <c r="CX177" s="36"/>
      <c r="CY177" s="36"/>
      <c r="CZ177" s="36"/>
      <c r="DA177" s="36"/>
      <c r="DB177" s="51"/>
      <c r="DC177" s="36"/>
      <c r="DD177" s="36"/>
      <c r="DE177" s="36"/>
      <c r="DF177" s="36"/>
      <c r="DG177" s="51"/>
      <c r="DH177" s="36"/>
      <c r="DI177" s="36"/>
      <c r="DJ177" s="36"/>
      <c r="DK177" s="36"/>
      <c r="DL177" s="51"/>
      <c r="DM177" s="51"/>
      <c r="DN177" s="51"/>
    </row>
    <row r="178" spans="1:118" ht="15.75" customHeight="1">
      <c r="A178" s="171"/>
      <c r="B178" s="51"/>
      <c r="C178" s="99"/>
      <c r="D178" s="101"/>
      <c r="E178" s="102"/>
      <c r="F178" s="51"/>
      <c r="G178" s="103"/>
      <c r="H178" s="103"/>
      <c r="I178" s="104"/>
      <c r="J178" s="101"/>
      <c r="K178" s="101"/>
      <c r="M178" s="51"/>
      <c r="N178" s="51"/>
      <c r="O178" s="51"/>
      <c r="P178" s="51"/>
      <c r="Q178" s="51"/>
      <c r="R178" s="36"/>
      <c r="S178" s="51"/>
      <c r="T178" s="59"/>
      <c r="U178" s="112"/>
      <c r="V178" s="39"/>
      <c r="W178" s="39"/>
      <c r="X178" s="40"/>
      <c r="Y178" s="39"/>
      <c r="Z178" s="41"/>
      <c r="AA178" s="41"/>
      <c r="AB178" s="51"/>
      <c r="AC178" s="51"/>
      <c r="AD178" s="51"/>
      <c r="AE178" s="51"/>
      <c r="AF178" s="51"/>
      <c r="AG178" s="51"/>
      <c r="AH178" s="51"/>
      <c r="AI178" s="106"/>
      <c r="AJ178" s="61"/>
      <c r="AK178" s="106"/>
      <c r="AL178" s="61"/>
      <c r="AM178" s="107"/>
      <c r="AN178" s="99"/>
      <c r="AO178" s="99"/>
      <c r="AP178" s="51"/>
      <c r="AQ178" s="51"/>
      <c r="AR178" s="51"/>
      <c r="AS178" s="101"/>
      <c r="AT178" s="101"/>
      <c r="AU178" s="51"/>
      <c r="AV178" s="51"/>
      <c r="AW178" s="51"/>
      <c r="AX178" s="51"/>
      <c r="AY178" s="106"/>
      <c r="AZ178" s="106"/>
      <c r="BA178" s="106"/>
      <c r="BB178" s="106"/>
      <c r="BC178" s="38"/>
      <c r="BD178" s="38"/>
      <c r="BE178" s="34"/>
      <c r="BF178" s="51"/>
      <c r="BG178" s="36"/>
      <c r="BH178" s="51"/>
      <c r="BI178" s="99"/>
      <c r="BJ178" s="99"/>
      <c r="BK178" s="51"/>
      <c r="BL178" s="51"/>
      <c r="BM178" s="51"/>
      <c r="BN178" s="51"/>
      <c r="BO178" s="99"/>
      <c r="BP178" s="99"/>
      <c r="BQ178" s="99"/>
      <c r="BR178" s="99"/>
      <c r="BS178" s="51"/>
      <c r="BT178" s="99"/>
      <c r="BU178" s="99"/>
      <c r="BV178" s="99"/>
      <c r="BW178" s="51"/>
      <c r="BX178" s="51"/>
      <c r="BY178" s="100"/>
      <c r="BZ178" s="100"/>
      <c r="CA178" s="36"/>
      <c r="CB178" s="36"/>
      <c r="CC178" s="51"/>
      <c r="CD178" s="36"/>
      <c r="CE178" s="36"/>
      <c r="CF178" s="36"/>
      <c r="CG178" s="36"/>
      <c r="CH178" s="51"/>
      <c r="CI178" s="36"/>
      <c r="CJ178" s="36"/>
      <c r="CK178" s="36"/>
      <c r="CL178" s="36"/>
      <c r="CM178" s="51"/>
      <c r="CN178" s="36"/>
      <c r="CO178" s="36"/>
      <c r="CP178" s="36"/>
      <c r="CQ178" s="36"/>
      <c r="CR178" s="51"/>
      <c r="CS178" s="36"/>
      <c r="CT178" s="36"/>
      <c r="CU178" s="36"/>
      <c r="CV178" s="36"/>
      <c r="CW178" s="51"/>
      <c r="CX178" s="36"/>
      <c r="CY178" s="36"/>
      <c r="CZ178" s="36"/>
      <c r="DA178" s="36"/>
      <c r="DB178" s="51"/>
      <c r="DC178" s="36"/>
      <c r="DD178" s="36"/>
      <c r="DE178" s="36"/>
      <c r="DF178" s="36"/>
      <c r="DG178" s="51"/>
      <c r="DH178" s="36"/>
      <c r="DI178" s="36"/>
      <c r="DJ178" s="36"/>
      <c r="DK178" s="36"/>
      <c r="DL178" s="51"/>
      <c r="DM178" s="51"/>
      <c r="DN178" s="51"/>
    </row>
    <row r="179" spans="1:118" ht="15.75" customHeight="1">
      <c r="A179" s="171"/>
      <c r="B179" s="51"/>
      <c r="C179" s="99"/>
      <c r="D179" s="101"/>
      <c r="E179" s="102"/>
      <c r="F179" s="51"/>
      <c r="G179" s="103"/>
      <c r="H179" s="103"/>
      <c r="I179" s="104"/>
      <c r="J179" s="101"/>
      <c r="K179" s="101"/>
      <c r="M179" s="51"/>
      <c r="N179" s="51"/>
      <c r="O179" s="51"/>
      <c r="P179" s="51"/>
      <c r="Q179" s="51"/>
      <c r="R179" s="36"/>
      <c r="S179" s="51"/>
      <c r="T179" s="59"/>
      <c r="U179" s="112"/>
      <c r="V179" s="39"/>
      <c r="W179" s="39"/>
      <c r="X179" s="40"/>
      <c r="Y179" s="39"/>
      <c r="Z179" s="41"/>
      <c r="AA179" s="41"/>
      <c r="AB179" s="51"/>
      <c r="AC179" s="51"/>
      <c r="AD179" s="51"/>
      <c r="AE179" s="51"/>
      <c r="AF179" s="51"/>
      <c r="AG179" s="51"/>
      <c r="AH179" s="51"/>
      <c r="AI179" s="106"/>
      <c r="AJ179" s="61"/>
      <c r="AK179" s="106"/>
      <c r="AL179" s="61"/>
      <c r="AM179" s="107"/>
      <c r="AN179" s="99"/>
      <c r="AO179" s="99"/>
      <c r="AP179" s="51"/>
      <c r="AQ179" s="51"/>
      <c r="AR179" s="51"/>
      <c r="AS179" s="101"/>
      <c r="AT179" s="101"/>
      <c r="AU179" s="51"/>
      <c r="AV179" s="51"/>
      <c r="AW179" s="51"/>
      <c r="AX179" s="51"/>
      <c r="AY179" s="106"/>
      <c r="AZ179" s="106"/>
      <c r="BA179" s="106"/>
      <c r="BB179" s="106"/>
      <c r="BC179" s="38"/>
      <c r="BD179" s="38"/>
      <c r="BE179" s="34"/>
      <c r="BF179" s="51"/>
      <c r="BG179" s="36"/>
      <c r="BH179" s="51"/>
      <c r="BI179" s="99"/>
      <c r="BJ179" s="99"/>
      <c r="BK179" s="51"/>
      <c r="BL179" s="51"/>
      <c r="BM179" s="51"/>
      <c r="BN179" s="51"/>
      <c r="BO179" s="99"/>
      <c r="BP179" s="99"/>
      <c r="BQ179" s="99"/>
      <c r="BR179" s="99"/>
      <c r="BS179" s="51"/>
      <c r="BT179" s="99"/>
      <c r="BU179" s="99"/>
      <c r="BV179" s="99"/>
      <c r="BW179" s="51"/>
      <c r="BX179" s="51"/>
      <c r="BY179" s="100"/>
      <c r="BZ179" s="100"/>
      <c r="CA179" s="36"/>
      <c r="CB179" s="36"/>
      <c r="CC179" s="51"/>
      <c r="CD179" s="36"/>
      <c r="CE179" s="36"/>
      <c r="CF179" s="36"/>
      <c r="CG179" s="36"/>
      <c r="CH179" s="51"/>
      <c r="CI179" s="36"/>
      <c r="CJ179" s="36"/>
      <c r="CK179" s="36"/>
      <c r="CL179" s="36"/>
      <c r="CM179" s="51"/>
      <c r="CN179" s="36"/>
      <c r="CO179" s="36"/>
      <c r="CP179" s="36"/>
      <c r="CQ179" s="36"/>
      <c r="CR179" s="51"/>
      <c r="CS179" s="36"/>
      <c r="CT179" s="36"/>
      <c r="CU179" s="36"/>
      <c r="CV179" s="36"/>
      <c r="CW179" s="51"/>
      <c r="CX179" s="36"/>
      <c r="CY179" s="36"/>
      <c r="CZ179" s="36"/>
      <c r="DA179" s="36"/>
      <c r="DB179" s="51"/>
      <c r="DC179" s="36"/>
      <c r="DD179" s="36"/>
      <c r="DE179" s="36"/>
      <c r="DF179" s="36"/>
      <c r="DG179" s="51"/>
      <c r="DH179" s="36"/>
      <c r="DI179" s="36"/>
      <c r="DJ179" s="36"/>
      <c r="DK179" s="36"/>
      <c r="DL179" s="51"/>
      <c r="DM179" s="51"/>
      <c r="DN179" s="51"/>
    </row>
    <row r="180" spans="1:118" ht="15.75" customHeight="1">
      <c r="A180" s="171"/>
      <c r="B180" s="51"/>
      <c r="C180" s="99"/>
      <c r="D180" s="101"/>
      <c r="E180" s="102"/>
      <c r="F180" s="51"/>
      <c r="G180" s="103"/>
      <c r="H180" s="103"/>
      <c r="I180" s="104"/>
      <c r="J180" s="101"/>
      <c r="K180" s="101"/>
      <c r="M180" s="51"/>
      <c r="N180" s="51"/>
      <c r="O180" s="51"/>
      <c r="P180" s="51"/>
      <c r="Q180" s="51"/>
      <c r="R180" s="36"/>
      <c r="S180" s="51"/>
      <c r="T180" s="59"/>
      <c r="U180" s="112"/>
      <c r="V180" s="39"/>
      <c r="W180" s="39"/>
      <c r="X180" s="40"/>
      <c r="Y180" s="39"/>
      <c r="Z180" s="41"/>
      <c r="AA180" s="41"/>
      <c r="AB180" s="51"/>
      <c r="AC180" s="51"/>
      <c r="AD180" s="51"/>
      <c r="AE180" s="51"/>
      <c r="AF180" s="51"/>
      <c r="AG180" s="51"/>
      <c r="AH180" s="51"/>
      <c r="AI180" s="106"/>
      <c r="AJ180" s="61"/>
      <c r="AK180" s="106"/>
      <c r="AL180" s="61"/>
      <c r="AM180" s="107"/>
      <c r="AN180" s="99"/>
      <c r="AO180" s="99"/>
      <c r="AP180" s="51"/>
      <c r="AQ180" s="51"/>
      <c r="AR180" s="51"/>
      <c r="AS180" s="101"/>
      <c r="AT180" s="101"/>
      <c r="AU180" s="51"/>
      <c r="AV180" s="51"/>
      <c r="AW180" s="51"/>
      <c r="AX180" s="51"/>
      <c r="AY180" s="106"/>
      <c r="AZ180" s="106"/>
      <c r="BA180" s="106"/>
      <c r="BB180" s="106"/>
      <c r="BC180" s="38"/>
      <c r="BD180" s="38"/>
      <c r="BE180" s="34"/>
      <c r="BF180" s="51"/>
      <c r="BG180" s="36"/>
      <c r="BH180" s="51"/>
      <c r="BI180" s="99"/>
      <c r="BJ180" s="99"/>
      <c r="BK180" s="51"/>
      <c r="BL180" s="51"/>
      <c r="BM180" s="51"/>
      <c r="BN180" s="51"/>
      <c r="BO180" s="99"/>
      <c r="BP180" s="99"/>
      <c r="BQ180" s="99"/>
      <c r="BR180" s="99"/>
      <c r="BS180" s="51"/>
      <c r="BT180" s="99"/>
      <c r="BU180" s="99"/>
      <c r="BV180" s="99"/>
      <c r="BW180" s="51"/>
      <c r="BX180" s="51"/>
      <c r="BY180" s="100"/>
      <c r="BZ180" s="100"/>
      <c r="CA180" s="36"/>
      <c r="CB180" s="36"/>
      <c r="CC180" s="51"/>
      <c r="CD180" s="36"/>
      <c r="CE180" s="36"/>
      <c r="CF180" s="36"/>
      <c r="CG180" s="36"/>
      <c r="CH180" s="51"/>
      <c r="CI180" s="36"/>
      <c r="CJ180" s="36"/>
      <c r="CK180" s="36"/>
      <c r="CL180" s="36"/>
      <c r="CM180" s="51"/>
      <c r="CN180" s="36"/>
      <c r="CO180" s="36"/>
      <c r="CP180" s="36"/>
      <c r="CQ180" s="36"/>
      <c r="CR180" s="51"/>
      <c r="CS180" s="36"/>
      <c r="CT180" s="36"/>
      <c r="CU180" s="36"/>
      <c r="CV180" s="36"/>
      <c r="CW180" s="51"/>
      <c r="CX180" s="36"/>
      <c r="CY180" s="36"/>
      <c r="CZ180" s="36"/>
      <c r="DA180" s="36"/>
      <c r="DB180" s="51"/>
      <c r="DC180" s="36"/>
      <c r="DD180" s="36"/>
      <c r="DE180" s="36"/>
      <c r="DF180" s="36"/>
      <c r="DG180" s="51"/>
      <c r="DH180" s="36"/>
      <c r="DI180" s="36"/>
      <c r="DJ180" s="36"/>
      <c r="DK180" s="36"/>
      <c r="DL180" s="51"/>
      <c r="DM180" s="51"/>
      <c r="DN180" s="51"/>
    </row>
    <row r="181" spans="1:118" ht="15.75" customHeight="1">
      <c r="A181" s="171"/>
      <c r="B181" s="51"/>
      <c r="C181" s="99"/>
      <c r="D181" s="101"/>
      <c r="E181" s="102"/>
      <c r="F181" s="51"/>
      <c r="G181" s="103"/>
      <c r="H181" s="103"/>
      <c r="I181" s="104"/>
      <c r="J181" s="101"/>
      <c r="K181" s="101"/>
      <c r="M181" s="51"/>
      <c r="N181" s="51"/>
      <c r="O181" s="51"/>
      <c r="P181" s="51"/>
      <c r="Q181" s="51"/>
      <c r="R181" s="36"/>
      <c r="S181" s="51"/>
      <c r="T181" s="59"/>
      <c r="U181" s="112"/>
      <c r="V181" s="39"/>
      <c r="W181" s="39"/>
      <c r="X181" s="40"/>
      <c r="Y181" s="39"/>
      <c r="Z181" s="41"/>
      <c r="AA181" s="41"/>
      <c r="AB181" s="51"/>
      <c r="AC181" s="51"/>
      <c r="AD181" s="51"/>
      <c r="AE181" s="51"/>
      <c r="AF181" s="51"/>
      <c r="AG181" s="51"/>
      <c r="AH181" s="51"/>
      <c r="AI181" s="106"/>
      <c r="AJ181" s="61"/>
      <c r="AK181" s="106"/>
      <c r="AL181" s="61"/>
      <c r="AM181" s="107"/>
      <c r="AN181" s="99"/>
      <c r="AO181" s="99"/>
      <c r="AP181" s="51"/>
      <c r="AQ181" s="51"/>
      <c r="AR181" s="51"/>
      <c r="AS181" s="101"/>
      <c r="AT181" s="101"/>
      <c r="AU181" s="51"/>
      <c r="AV181" s="51"/>
      <c r="AW181" s="51"/>
      <c r="AX181" s="51"/>
      <c r="AY181" s="106"/>
      <c r="AZ181" s="106"/>
      <c r="BA181" s="106"/>
      <c r="BB181" s="106"/>
      <c r="BC181" s="38"/>
      <c r="BD181" s="38"/>
      <c r="BE181" s="34"/>
      <c r="BF181" s="51"/>
      <c r="BG181" s="36"/>
      <c r="BH181" s="51"/>
      <c r="BI181" s="99"/>
      <c r="BJ181" s="99"/>
      <c r="BK181" s="51"/>
      <c r="BL181" s="51"/>
      <c r="BM181" s="51"/>
      <c r="BN181" s="51"/>
      <c r="BO181" s="99"/>
      <c r="BP181" s="99"/>
      <c r="BQ181" s="99"/>
      <c r="BR181" s="99"/>
      <c r="BS181" s="51"/>
      <c r="BT181" s="99"/>
      <c r="BU181" s="99"/>
      <c r="BV181" s="99"/>
      <c r="BW181" s="51"/>
      <c r="BX181" s="51"/>
      <c r="BY181" s="100"/>
      <c r="BZ181" s="100"/>
      <c r="CA181" s="36"/>
      <c r="CB181" s="36"/>
      <c r="CC181" s="51"/>
      <c r="CD181" s="36"/>
      <c r="CE181" s="36"/>
      <c r="CF181" s="36"/>
      <c r="CG181" s="36"/>
      <c r="CH181" s="51"/>
      <c r="CI181" s="36"/>
      <c r="CJ181" s="36"/>
      <c r="CK181" s="36"/>
      <c r="CL181" s="36"/>
      <c r="CM181" s="51"/>
      <c r="CN181" s="36"/>
      <c r="CO181" s="36"/>
      <c r="CP181" s="36"/>
      <c r="CQ181" s="36"/>
      <c r="CR181" s="51"/>
      <c r="CS181" s="36"/>
      <c r="CT181" s="36"/>
      <c r="CU181" s="36"/>
      <c r="CV181" s="36"/>
      <c r="CW181" s="51"/>
      <c r="CX181" s="36"/>
      <c r="CY181" s="36"/>
      <c r="CZ181" s="36"/>
      <c r="DA181" s="36"/>
      <c r="DB181" s="51"/>
      <c r="DC181" s="36"/>
      <c r="DD181" s="36"/>
      <c r="DE181" s="36"/>
      <c r="DF181" s="36"/>
      <c r="DG181" s="51"/>
      <c r="DH181" s="36"/>
      <c r="DI181" s="36"/>
      <c r="DJ181" s="36"/>
      <c r="DK181" s="36"/>
      <c r="DL181" s="51"/>
      <c r="DM181" s="51"/>
      <c r="DN181" s="51"/>
    </row>
    <row r="182" spans="1:118" ht="15.75" customHeight="1">
      <c r="A182" s="171"/>
      <c r="B182" s="51"/>
      <c r="C182" s="99"/>
      <c r="D182" s="101"/>
      <c r="E182" s="102"/>
      <c r="F182" s="51"/>
      <c r="G182" s="103"/>
      <c r="H182" s="103"/>
      <c r="I182" s="104"/>
      <c r="J182" s="101"/>
      <c r="K182" s="101"/>
      <c r="M182" s="51"/>
      <c r="N182" s="51"/>
      <c r="O182" s="51"/>
      <c r="P182" s="51"/>
      <c r="Q182" s="51"/>
      <c r="R182" s="36"/>
      <c r="S182" s="51"/>
      <c r="T182" s="59"/>
      <c r="U182" s="112"/>
      <c r="V182" s="39"/>
      <c r="W182" s="39"/>
      <c r="X182" s="40"/>
      <c r="Y182" s="39"/>
      <c r="Z182" s="41"/>
      <c r="AA182" s="41"/>
      <c r="AB182" s="51"/>
      <c r="AC182" s="51"/>
      <c r="AD182" s="51"/>
      <c r="AE182" s="51"/>
      <c r="AF182" s="51"/>
      <c r="AG182" s="51"/>
      <c r="AH182" s="51"/>
      <c r="AI182" s="106"/>
      <c r="AJ182" s="61"/>
      <c r="AK182" s="106"/>
      <c r="AL182" s="61"/>
      <c r="AM182" s="107"/>
      <c r="AN182" s="99"/>
      <c r="AO182" s="99"/>
      <c r="AP182" s="51"/>
      <c r="AQ182" s="51"/>
      <c r="AR182" s="51"/>
      <c r="AS182" s="101"/>
      <c r="AT182" s="101"/>
      <c r="AU182" s="51"/>
      <c r="AV182" s="51"/>
      <c r="AW182" s="51"/>
      <c r="AX182" s="51"/>
      <c r="AY182" s="106"/>
      <c r="AZ182" s="106"/>
      <c r="BA182" s="106"/>
      <c r="BB182" s="106"/>
      <c r="BC182" s="38"/>
      <c r="BD182" s="38"/>
      <c r="BE182" s="34"/>
      <c r="BF182" s="51"/>
      <c r="BG182" s="36"/>
      <c r="BH182" s="51"/>
      <c r="BI182" s="99"/>
      <c r="BJ182" s="99"/>
      <c r="BK182" s="51"/>
      <c r="BL182" s="51"/>
      <c r="BM182" s="51"/>
      <c r="BN182" s="51"/>
      <c r="BO182" s="99"/>
      <c r="BP182" s="99"/>
      <c r="BQ182" s="99"/>
      <c r="BR182" s="99"/>
      <c r="BS182" s="51"/>
      <c r="BT182" s="99"/>
      <c r="BU182" s="99"/>
      <c r="BV182" s="99"/>
      <c r="BW182" s="51"/>
      <c r="BX182" s="51"/>
      <c r="BY182" s="100"/>
      <c r="BZ182" s="100"/>
      <c r="CA182" s="36"/>
      <c r="CB182" s="36"/>
      <c r="CC182" s="51"/>
      <c r="CD182" s="36"/>
      <c r="CE182" s="36"/>
      <c r="CF182" s="36"/>
      <c r="CG182" s="36"/>
      <c r="CH182" s="51"/>
      <c r="CI182" s="36"/>
      <c r="CJ182" s="36"/>
      <c r="CK182" s="36"/>
      <c r="CL182" s="36"/>
      <c r="CM182" s="51"/>
      <c r="CN182" s="36"/>
      <c r="CO182" s="36"/>
      <c r="CP182" s="36"/>
      <c r="CQ182" s="36"/>
      <c r="CR182" s="51"/>
      <c r="CS182" s="36"/>
      <c r="CT182" s="36"/>
      <c r="CU182" s="36"/>
      <c r="CV182" s="36"/>
      <c r="CW182" s="51"/>
      <c r="CX182" s="36"/>
      <c r="CY182" s="36"/>
      <c r="CZ182" s="36"/>
      <c r="DA182" s="36"/>
      <c r="DB182" s="51"/>
      <c r="DC182" s="36"/>
      <c r="DD182" s="36"/>
      <c r="DE182" s="36"/>
      <c r="DF182" s="36"/>
      <c r="DG182" s="51"/>
      <c r="DH182" s="36"/>
      <c r="DI182" s="36"/>
      <c r="DJ182" s="36"/>
      <c r="DK182" s="36"/>
      <c r="DL182" s="51"/>
      <c r="DM182" s="51"/>
      <c r="DN182" s="51"/>
    </row>
    <row r="183" spans="1:118" ht="15.75" customHeight="1">
      <c r="A183" s="171"/>
      <c r="B183" s="51"/>
      <c r="C183" s="99"/>
      <c r="D183" s="101"/>
      <c r="E183" s="102"/>
      <c r="F183" s="51"/>
      <c r="G183" s="103"/>
      <c r="H183" s="103"/>
      <c r="I183" s="104"/>
      <c r="J183" s="101"/>
      <c r="K183" s="101"/>
      <c r="M183" s="51"/>
      <c r="N183" s="51"/>
      <c r="O183" s="51"/>
      <c r="P183" s="51"/>
      <c r="Q183" s="51"/>
      <c r="R183" s="36"/>
      <c r="S183" s="51"/>
      <c r="T183" s="59"/>
      <c r="U183" s="112"/>
      <c r="V183" s="39"/>
      <c r="W183" s="39"/>
      <c r="X183" s="40"/>
      <c r="Y183" s="39"/>
      <c r="Z183" s="41"/>
      <c r="AA183" s="41"/>
      <c r="AB183" s="51"/>
      <c r="AC183" s="51"/>
      <c r="AD183" s="51"/>
      <c r="AE183" s="51"/>
      <c r="AF183" s="51"/>
      <c r="AG183" s="51"/>
      <c r="AH183" s="51"/>
      <c r="AI183" s="106"/>
      <c r="AJ183" s="61"/>
      <c r="AK183" s="106"/>
      <c r="AL183" s="61"/>
      <c r="AM183" s="107"/>
      <c r="AN183" s="99"/>
      <c r="AO183" s="99"/>
      <c r="AP183" s="51"/>
      <c r="AQ183" s="51"/>
      <c r="AR183" s="51"/>
      <c r="AS183" s="101"/>
      <c r="AT183" s="101"/>
      <c r="AU183" s="51"/>
      <c r="AV183" s="51"/>
      <c r="AW183" s="51"/>
      <c r="AX183" s="51"/>
      <c r="AY183" s="106"/>
      <c r="AZ183" s="106"/>
      <c r="BA183" s="106"/>
      <c r="BB183" s="106"/>
      <c r="BC183" s="38"/>
      <c r="BD183" s="38"/>
      <c r="BE183" s="34"/>
      <c r="BF183" s="51"/>
      <c r="BG183" s="36"/>
      <c r="BH183" s="51"/>
      <c r="BI183" s="99"/>
      <c r="BJ183" s="99"/>
      <c r="BK183" s="51"/>
      <c r="BL183" s="51"/>
      <c r="BM183" s="51"/>
      <c r="BN183" s="51"/>
      <c r="BO183" s="99"/>
      <c r="BP183" s="99"/>
      <c r="BQ183" s="99"/>
      <c r="BR183" s="99"/>
      <c r="BS183" s="51"/>
      <c r="BT183" s="99"/>
      <c r="BU183" s="99"/>
      <c r="BV183" s="99"/>
      <c r="BW183" s="51"/>
      <c r="BX183" s="51"/>
      <c r="BY183" s="100"/>
      <c r="BZ183" s="100"/>
      <c r="CA183" s="36"/>
      <c r="CB183" s="36"/>
      <c r="CC183" s="51"/>
      <c r="CD183" s="36"/>
      <c r="CE183" s="36"/>
      <c r="CF183" s="36"/>
      <c r="CG183" s="36"/>
      <c r="CH183" s="51"/>
      <c r="CI183" s="36"/>
      <c r="CJ183" s="36"/>
      <c r="CK183" s="36"/>
      <c r="CL183" s="36"/>
      <c r="CM183" s="51"/>
      <c r="CN183" s="36"/>
      <c r="CO183" s="36"/>
      <c r="CP183" s="36"/>
      <c r="CQ183" s="36"/>
      <c r="CR183" s="51"/>
      <c r="CS183" s="36"/>
      <c r="CT183" s="36"/>
      <c r="CU183" s="36"/>
      <c r="CV183" s="36"/>
      <c r="CW183" s="51"/>
      <c r="CX183" s="36"/>
      <c r="CY183" s="36"/>
      <c r="CZ183" s="36"/>
      <c r="DA183" s="36"/>
      <c r="DB183" s="51"/>
      <c r="DC183" s="36"/>
      <c r="DD183" s="36"/>
      <c r="DE183" s="36"/>
      <c r="DF183" s="36"/>
      <c r="DG183" s="51"/>
      <c r="DH183" s="36"/>
      <c r="DI183" s="36"/>
      <c r="DJ183" s="36"/>
      <c r="DK183" s="36"/>
      <c r="DL183" s="51"/>
      <c r="DM183" s="51"/>
      <c r="DN183" s="51"/>
    </row>
    <row r="184" spans="1:118" ht="15.75" customHeight="1">
      <c r="A184" s="171"/>
      <c r="B184" s="51"/>
      <c r="C184" s="99"/>
      <c r="D184" s="101"/>
      <c r="E184" s="102"/>
      <c r="F184" s="51"/>
      <c r="G184" s="103"/>
      <c r="H184" s="103"/>
      <c r="I184" s="104"/>
      <c r="J184" s="101"/>
      <c r="K184" s="101"/>
      <c r="M184" s="51"/>
      <c r="N184" s="51"/>
      <c r="O184" s="51"/>
      <c r="P184" s="51"/>
      <c r="Q184" s="51"/>
      <c r="R184" s="36"/>
      <c r="S184" s="51"/>
      <c r="T184" s="59"/>
      <c r="U184" s="112"/>
      <c r="V184" s="39"/>
      <c r="W184" s="39"/>
      <c r="X184" s="40"/>
      <c r="Y184" s="39"/>
      <c r="Z184" s="41"/>
      <c r="AA184" s="41"/>
      <c r="AB184" s="51"/>
      <c r="AC184" s="51"/>
      <c r="AD184" s="51"/>
      <c r="AE184" s="51"/>
      <c r="AF184" s="51"/>
      <c r="AG184" s="51"/>
      <c r="AH184" s="51"/>
      <c r="AI184" s="106"/>
      <c r="AJ184" s="61"/>
      <c r="AK184" s="106"/>
      <c r="AL184" s="61"/>
      <c r="AM184" s="107"/>
      <c r="AN184" s="99"/>
      <c r="AO184" s="99"/>
      <c r="AP184" s="51"/>
      <c r="AQ184" s="51"/>
      <c r="AR184" s="51"/>
      <c r="AS184" s="101"/>
      <c r="AT184" s="101"/>
      <c r="AU184" s="51"/>
      <c r="AV184" s="51"/>
      <c r="AW184" s="51"/>
      <c r="AX184" s="51"/>
      <c r="AY184" s="106"/>
      <c r="AZ184" s="106"/>
      <c r="BA184" s="106"/>
      <c r="BB184" s="106"/>
      <c r="BC184" s="38"/>
      <c r="BD184" s="38"/>
      <c r="BE184" s="34"/>
      <c r="BF184" s="51"/>
      <c r="BG184" s="36"/>
      <c r="BH184" s="51"/>
      <c r="BI184" s="99"/>
      <c r="BJ184" s="99"/>
      <c r="BK184" s="51"/>
      <c r="BL184" s="51"/>
      <c r="BM184" s="51"/>
      <c r="BN184" s="51"/>
      <c r="BO184" s="99"/>
      <c r="BP184" s="99"/>
      <c r="BQ184" s="99"/>
      <c r="BR184" s="99"/>
      <c r="BS184" s="51"/>
      <c r="BT184" s="99"/>
      <c r="BU184" s="99"/>
      <c r="BV184" s="99"/>
      <c r="BW184" s="51"/>
      <c r="BX184" s="51"/>
      <c r="BY184" s="100"/>
      <c r="BZ184" s="100"/>
      <c r="CA184" s="36"/>
      <c r="CB184" s="36"/>
      <c r="CC184" s="51"/>
      <c r="CD184" s="36"/>
      <c r="CE184" s="36"/>
      <c r="CF184" s="36"/>
      <c r="CG184" s="36"/>
      <c r="CH184" s="51"/>
      <c r="CI184" s="36"/>
      <c r="CJ184" s="36"/>
      <c r="CK184" s="36"/>
      <c r="CL184" s="36"/>
      <c r="CM184" s="51"/>
      <c r="CN184" s="36"/>
      <c r="CO184" s="36"/>
      <c r="CP184" s="36"/>
      <c r="CQ184" s="36"/>
      <c r="CR184" s="51"/>
      <c r="CS184" s="36"/>
      <c r="CT184" s="36"/>
      <c r="CU184" s="36"/>
      <c r="CV184" s="36"/>
      <c r="CW184" s="51"/>
      <c r="CX184" s="36"/>
      <c r="CY184" s="36"/>
      <c r="CZ184" s="36"/>
      <c r="DA184" s="36"/>
      <c r="DB184" s="51"/>
      <c r="DC184" s="36"/>
      <c r="DD184" s="36"/>
      <c r="DE184" s="36"/>
      <c r="DF184" s="36"/>
      <c r="DG184" s="51"/>
      <c r="DH184" s="36"/>
      <c r="DI184" s="36"/>
      <c r="DJ184" s="36"/>
      <c r="DK184" s="36"/>
      <c r="DL184" s="51"/>
      <c r="DM184" s="51"/>
      <c r="DN184" s="51"/>
    </row>
    <row r="185" spans="1:118" ht="15.75" customHeight="1">
      <c r="A185" s="171"/>
      <c r="B185" s="51"/>
      <c r="C185" s="99"/>
      <c r="D185" s="101"/>
      <c r="E185" s="102"/>
      <c r="F185" s="51"/>
      <c r="G185" s="103"/>
      <c r="H185" s="103"/>
      <c r="I185" s="104"/>
      <c r="J185" s="101"/>
      <c r="K185" s="101"/>
      <c r="M185" s="51"/>
      <c r="N185" s="51"/>
      <c r="O185" s="51"/>
      <c r="P185" s="51"/>
      <c r="Q185" s="51"/>
      <c r="R185" s="36"/>
      <c r="S185" s="51"/>
      <c r="T185" s="59"/>
      <c r="U185" s="112"/>
      <c r="V185" s="39"/>
      <c r="W185" s="39"/>
      <c r="X185" s="40"/>
      <c r="Y185" s="39"/>
      <c r="Z185" s="41"/>
      <c r="AA185" s="41"/>
      <c r="AB185" s="51"/>
      <c r="AC185" s="51"/>
      <c r="AD185" s="51"/>
      <c r="AE185" s="51"/>
      <c r="AF185" s="51"/>
      <c r="AG185" s="51"/>
      <c r="AH185" s="51"/>
      <c r="AI185" s="106"/>
      <c r="AJ185" s="61"/>
      <c r="AK185" s="106"/>
      <c r="AL185" s="61"/>
      <c r="AM185" s="107"/>
      <c r="AN185" s="99"/>
      <c r="AO185" s="99"/>
      <c r="AP185" s="51"/>
      <c r="AQ185" s="51"/>
      <c r="AR185" s="51"/>
      <c r="AS185" s="101"/>
      <c r="AT185" s="101"/>
      <c r="AU185" s="51"/>
      <c r="AV185" s="51"/>
      <c r="AW185" s="51"/>
      <c r="AX185" s="51"/>
      <c r="AY185" s="106"/>
      <c r="AZ185" s="106"/>
      <c r="BA185" s="106"/>
      <c r="BB185" s="106"/>
      <c r="BC185" s="38"/>
      <c r="BD185" s="38"/>
      <c r="BE185" s="34"/>
      <c r="BF185" s="51"/>
      <c r="BG185" s="36"/>
      <c r="BH185" s="51"/>
      <c r="BI185" s="99"/>
      <c r="BJ185" s="99"/>
      <c r="BK185" s="51"/>
      <c r="BL185" s="51"/>
      <c r="BM185" s="51"/>
      <c r="BN185" s="51"/>
      <c r="BO185" s="99"/>
      <c r="BP185" s="99"/>
      <c r="BQ185" s="99"/>
      <c r="BR185" s="99"/>
      <c r="BS185" s="51"/>
      <c r="BT185" s="99"/>
      <c r="BU185" s="99"/>
      <c r="BV185" s="99"/>
      <c r="BW185" s="51"/>
      <c r="BX185" s="51"/>
      <c r="BY185" s="100"/>
      <c r="BZ185" s="100"/>
      <c r="CA185" s="36"/>
      <c r="CB185" s="36"/>
      <c r="CC185" s="51"/>
      <c r="CD185" s="36"/>
      <c r="CE185" s="36"/>
      <c r="CF185" s="36"/>
      <c r="CG185" s="36"/>
      <c r="CH185" s="51"/>
      <c r="CI185" s="36"/>
      <c r="CJ185" s="36"/>
      <c r="CK185" s="36"/>
      <c r="CL185" s="36"/>
      <c r="CM185" s="51"/>
      <c r="CN185" s="36"/>
      <c r="CO185" s="36"/>
      <c r="CP185" s="36"/>
      <c r="CQ185" s="36"/>
      <c r="CR185" s="51"/>
      <c r="CS185" s="36"/>
      <c r="CT185" s="36"/>
      <c r="CU185" s="36"/>
      <c r="CV185" s="36"/>
      <c r="CW185" s="51"/>
      <c r="CX185" s="36"/>
      <c r="CY185" s="36"/>
      <c r="CZ185" s="36"/>
      <c r="DA185" s="36"/>
      <c r="DB185" s="51"/>
      <c r="DC185" s="36"/>
      <c r="DD185" s="36"/>
      <c r="DE185" s="36"/>
      <c r="DF185" s="36"/>
      <c r="DG185" s="51"/>
      <c r="DH185" s="36"/>
      <c r="DI185" s="36"/>
      <c r="DJ185" s="36"/>
      <c r="DK185" s="36"/>
      <c r="DL185" s="51"/>
      <c r="DM185" s="51"/>
      <c r="DN185" s="51"/>
    </row>
    <row r="186" spans="1:118" ht="15.75" customHeight="1">
      <c r="A186" s="171"/>
      <c r="B186" s="51"/>
      <c r="C186" s="99"/>
      <c r="D186" s="101"/>
      <c r="E186" s="102"/>
      <c r="F186" s="51"/>
      <c r="G186" s="103"/>
      <c r="H186" s="103"/>
      <c r="I186" s="104"/>
      <c r="J186" s="101"/>
      <c r="K186" s="101"/>
      <c r="M186" s="51"/>
      <c r="N186" s="51"/>
      <c r="O186" s="51"/>
      <c r="P186" s="51"/>
      <c r="Q186" s="51"/>
      <c r="R186" s="36"/>
      <c r="S186" s="51"/>
      <c r="T186" s="59"/>
      <c r="U186" s="112"/>
      <c r="V186" s="39"/>
      <c r="W186" s="39"/>
      <c r="X186" s="40"/>
      <c r="Y186" s="39"/>
      <c r="Z186" s="41"/>
      <c r="AA186" s="41"/>
      <c r="AB186" s="51"/>
      <c r="AC186" s="51"/>
      <c r="AD186" s="51"/>
      <c r="AE186" s="51"/>
      <c r="AF186" s="51"/>
      <c r="AG186" s="51"/>
      <c r="AH186" s="51"/>
      <c r="AI186" s="106"/>
      <c r="AJ186" s="61"/>
      <c r="AK186" s="106"/>
      <c r="AL186" s="61"/>
      <c r="AM186" s="107"/>
      <c r="AN186" s="99"/>
      <c r="AO186" s="99"/>
      <c r="AP186" s="51"/>
      <c r="AQ186" s="51"/>
      <c r="AR186" s="51"/>
      <c r="AS186" s="101"/>
      <c r="AT186" s="101"/>
      <c r="AU186" s="51"/>
      <c r="AV186" s="51"/>
      <c r="AW186" s="51"/>
      <c r="AX186" s="51"/>
      <c r="AY186" s="106"/>
      <c r="AZ186" s="106"/>
      <c r="BA186" s="106"/>
      <c r="BB186" s="106"/>
      <c r="BC186" s="38"/>
      <c r="BD186" s="38"/>
      <c r="BE186" s="34"/>
      <c r="BF186" s="51"/>
      <c r="BG186" s="36"/>
      <c r="BH186" s="51"/>
      <c r="BI186" s="99"/>
      <c r="BJ186" s="99"/>
      <c r="BK186" s="51"/>
      <c r="BL186" s="51"/>
      <c r="BM186" s="51"/>
      <c r="BN186" s="51"/>
      <c r="BO186" s="99"/>
      <c r="BP186" s="99"/>
      <c r="BQ186" s="99"/>
      <c r="BR186" s="99"/>
      <c r="BS186" s="51"/>
      <c r="BT186" s="99"/>
      <c r="BU186" s="99"/>
      <c r="BV186" s="99"/>
      <c r="BW186" s="51"/>
      <c r="BX186" s="51"/>
      <c r="BY186" s="100"/>
      <c r="BZ186" s="100"/>
      <c r="CA186" s="36"/>
      <c r="CB186" s="36"/>
      <c r="CC186" s="51"/>
      <c r="CD186" s="36"/>
      <c r="CE186" s="36"/>
      <c r="CF186" s="36"/>
      <c r="CG186" s="36"/>
      <c r="CH186" s="51"/>
      <c r="CI186" s="36"/>
      <c r="CJ186" s="36"/>
      <c r="CK186" s="36"/>
      <c r="CL186" s="36"/>
      <c r="CM186" s="51"/>
      <c r="CN186" s="36"/>
      <c r="CO186" s="36"/>
      <c r="CP186" s="36"/>
      <c r="CQ186" s="36"/>
      <c r="CR186" s="51"/>
      <c r="CS186" s="36"/>
      <c r="CT186" s="36"/>
      <c r="CU186" s="36"/>
      <c r="CV186" s="36"/>
      <c r="CW186" s="51"/>
      <c r="CX186" s="36"/>
      <c r="CY186" s="36"/>
      <c r="CZ186" s="36"/>
      <c r="DA186" s="36"/>
      <c r="DB186" s="51"/>
      <c r="DC186" s="36"/>
      <c r="DD186" s="36"/>
      <c r="DE186" s="36"/>
      <c r="DF186" s="36"/>
      <c r="DG186" s="51"/>
      <c r="DH186" s="36"/>
      <c r="DI186" s="36"/>
      <c r="DJ186" s="36"/>
      <c r="DK186" s="36"/>
      <c r="DL186" s="51"/>
      <c r="DM186" s="51"/>
      <c r="DN186" s="51"/>
    </row>
    <row r="187" spans="1:118" ht="15.75" customHeight="1">
      <c r="A187" s="171"/>
      <c r="B187" s="51"/>
      <c r="C187" s="99"/>
      <c r="D187" s="101"/>
      <c r="E187" s="102"/>
      <c r="F187" s="51"/>
      <c r="G187" s="103"/>
      <c r="H187" s="103"/>
      <c r="I187" s="104"/>
      <c r="J187" s="101"/>
      <c r="K187" s="101"/>
      <c r="M187" s="51"/>
      <c r="N187" s="51"/>
      <c r="O187" s="51"/>
      <c r="P187" s="51"/>
      <c r="Q187" s="51"/>
      <c r="R187" s="36"/>
      <c r="S187" s="51"/>
      <c r="T187" s="59"/>
      <c r="U187" s="112"/>
      <c r="V187" s="39"/>
      <c r="W187" s="39"/>
      <c r="X187" s="40"/>
      <c r="Y187" s="39"/>
      <c r="Z187" s="41"/>
      <c r="AA187" s="41"/>
      <c r="AB187" s="51"/>
      <c r="AC187" s="51"/>
      <c r="AD187" s="51"/>
      <c r="AE187" s="51"/>
      <c r="AF187" s="51"/>
      <c r="AG187" s="51"/>
      <c r="AH187" s="51"/>
      <c r="AI187" s="106"/>
      <c r="AJ187" s="61"/>
      <c r="AK187" s="106"/>
      <c r="AL187" s="61"/>
      <c r="AM187" s="107"/>
      <c r="AN187" s="99"/>
      <c r="AO187" s="99"/>
      <c r="AP187" s="51"/>
      <c r="AQ187" s="51"/>
      <c r="AR187" s="51"/>
      <c r="AS187" s="101"/>
      <c r="AT187" s="101"/>
      <c r="AU187" s="51"/>
      <c r="AV187" s="51"/>
      <c r="AW187" s="51"/>
      <c r="AX187" s="51"/>
      <c r="AY187" s="106"/>
      <c r="AZ187" s="106"/>
      <c r="BA187" s="106"/>
      <c r="BB187" s="106"/>
      <c r="BC187" s="38"/>
      <c r="BD187" s="38"/>
      <c r="BE187" s="34"/>
      <c r="BF187" s="51"/>
      <c r="BG187" s="36"/>
      <c r="BH187" s="51"/>
      <c r="BI187" s="99"/>
      <c r="BJ187" s="99"/>
      <c r="BK187" s="51"/>
      <c r="BL187" s="51"/>
      <c r="BM187" s="51"/>
      <c r="BN187" s="51"/>
      <c r="BO187" s="99"/>
      <c r="BP187" s="99"/>
      <c r="BQ187" s="99"/>
      <c r="BR187" s="99"/>
      <c r="BS187" s="51"/>
      <c r="BT187" s="99"/>
      <c r="BU187" s="99"/>
      <c r="BV187" s="99"/>
      <c r="BW187" s="51"/>
      <c r="BX187" s="51"/>
      <c r="BY187" s="100"/>
      <c r="BZ187" s="100"/>
      <c r="CA187" s="36"/>
      <c r="CB187" s="36"/>
      <c r="CC187" s="51"/>
      <c r="CD187" s="36"/>
      <c r="CE187" s="36"/>
      <c r="CF187" s="36"/>
      <c r="CG187" s="36"/>
      <c r="CH187" s="51"/>
      <c r="CI187" s="36"/>
      <c r="CJ187" s="36"/>
      <c r="CK187" s="36"/>
      <c r="CL187" s="36"/>
      <c r="CM187" s="51"/>
      <c r="CN187" s="36"/>
      <c r="CO187" s="36"/>
      <c r="CP187" s="36"/>
      <c r="CQ187" s="36"/>
      <c r="CR187" s="51"/>
      <c r="CS187" s="36"/>
      <c r="CT187" s="36"/>
      <c r="CU187" s="36"/>
      <c r="CV187" s="36"/>
      <c r="CW187" s="51"/>
      <c r="CX187" s="36"/>
      <c r="CY187" s="36"/>
      <c r="CZ187" s="36"/>
      <c r="DA187" s="36"/>
      <c r="DB187" s="51"/>
      <c r="DC187" s="36"/>
      <c r="DD187" s="36"/>
      <c r="DE187" s="36"/>
      <c r="DF187" s="36"/>
      <c r="DG187" s="51"/>
      <c r="DH187" s="36"/>
      <c r="DI187" s="36"/>
      <c r="DJ187" s="36"/>
      <c r="DK187" s="36"/>
      <c r="DL187" s="51"/>
      <c r="DM187" s="51"/>
      <c r="DN187" s="51"/>
    </row>
    <row r="188" spans="1:118" ht="15.75" customHeight="1">
      <c r="A188" s="171"/>
      <c r="B188" s="51"/>
      <c r="C188" s="99"/>
      <c r="D188" s="101"/>
      <c r="E188" s="102"/>
      <c r="F188" s="51"/>
      <c r="G188" s="103"/>
      <c r="H188" s="103"/>
      <c r="I188" s="104"/>
      <c r="J188" s="101"/>
      <c r="K188" s="101"/>
      <c r="M188" s="51"/>
      <c r="N188" s="51"/>
      <c r="O188" s="51"/>
      <c r="P188" s="51"/>
      <c r="Q188" s="51"/>
      <c r="R188" s="36"/>
      <c r="S188" s="51"/>
      <c r="T188" s="59"/>
      <c r="U188" s="112"/>
      <c r="V188" s="39"/>
      <c r="W188" s="39"/>
      <c r="X188" s="40"/>
      <c r="Y188" s="39"/>
      <c r="Z188" s="41"/>
      <c r="AA188" s="41"/>
      <c r="AB188" s="51"/>
      <c r="AC188" s="51"/>
      <c r="AD188" s="51"/>
      <c r="AE188" s="51"/>
      <c r="AF188" s="51"/>
      <c r="AG188" s="51"/>
      <c r="AH188" s="51"/>
      <c r="AI188" s="106"/>
      <c r="AJ188" s="61"/>
      <c r="AK188" s="106"/>
      <c r="AL188" s="61"/>
      <c r="AM188" s="107"/>
      <c r="AN188" s="99"/>
      <c r="AO188" s="99"/>
      <c r="AP188" s="51"/>
      <c r="AQ188" s="51"/>
      <c r="AR188" s="51"/>
      <c r="AS188" s="101"/>
      <c r="AT188" s="101"/>
      <c r="AU188" s="51"/>
      <c r="AV188" s="51"/>
      <c r="AW188" s="51"/>
      <c r="AX188" s="51"/>
      <c r="AY188" s="106"/>
      <c r="AZ188" s="106"/>
      <c r="BA188" s="106"/>
      <c r="BB188" s="106"/>
      <c r="BC188" s="38"/>
      <c r="BD188" s="38"/>
      <c r="BE188" s="34"/>
      <c r="BF188" s="51"/>
      <c r="BG188" s="36"/>
      <c r="BH188" s="51"/>
      <c r="BI188" s="99"/>
      <c r="BJ188" s="99"/>
      <c r="BK188" s="51"/>
      <c r="BL188" s="51"/>
      <c r="BM188" s="51"/>
      <c r="BN188" s="51"/>
      <c r="BO188" s="99"/>
      <c r="BP188" s="99"/>
      <c r="BQ188" s="99"/>
      <c r="BR188" s="99"/>
      <c r="BS188" s="51"/>
      <c r="BT188" s="99"/>
      <c r="BU188" s="99"/>
      <c r="BV188" s="99"/>
      <c r="BW188" s="51"/>
      <c r="BX188" s="51"/>
      <c r="BY188" s="100"/>
      <c r="BZ188" s="100"/>
      <c r="CA188" s="36"/>
      <c r="CB188" s="36"/>
      <c r="CC188" s="51"/>
      <c r="CD188" s="36"/>
      <c r="CE188" s="36"/>
      <c r="CF188" s="36"/>
      <c r="CG188" s="36"/>
      <c r="CH188" s="51"/>
      <c r="CI188" s="36"/>
      <c r="CJ188" s="36"/>
      <c r="CK188" s="36"/>
      <c r="CL188" s="36"/>
      <c r="CM188" s="51"/>
      <c r="CN188" s="36"/>
      <c r="CO188" s="36"/>
      <c r="CP188" s="36"/>
      <c r="CQ188" s="36"/>
      <c r="CR188" s="51"/>
      <c r="CS188" s="36"/>
      <c r="CT188" s="36"/>
      <c r="CU188" s="36"/>
      <c r="CV188" s="36"/>
      <c r="CW188" s="51"/>
      <c r="CX188" s="36"/>
      <c r="CY188" s="36"/>
      <c r="CZ188" s="36"/>
      <c r="DA188" s="36"/>
      <c r="DB188" s="51"/>
      <c r="DC188" s="36"/>
      <c r="DD188" s="36"/>
      <c r="DE188" s="36"/>
      <c r="DF188" s="36"/>
      <c r="DG188" s="51"/>
      <c r="DH188" s="36"/>
      <c r="DI188" s="36"/>
      <c r="DJ188" s="36"/>
      <c r="DK188" s="36"/>
      <c r="DL188" s="51"/>
      <c r="DM188" s="51"/>
      <c r="DN188" s="51"/>
    </row>
    <row r="189" spans="1:118" ht="15.75" customHeight="1">
      <c r="A189" s="171"/>
      <c r="B189" s="51"/>
      <c r="C189" s="99"/>
      <c r="D189" s="101"/>
      <c r="E189" s="102"/>
      <c r="F189" s="51"/>
      <c r="G189" s="103"/>
      <c r="H189" s="103"/>
      <c r="I189" s="104"/>
      <c r="J189" s="101"/>
      <c r="K189" s="101"/>
      <c r="M189" s="51"/>
      <c r="N189" s="51"/>
      <c r="O189" s="51"/>
      <c r="P189" s="51"/>
      <c r="Q189" s="51"/>
      <c r="R189" s="36"/>
      <c r="S189" s="51"/>
      <c r="T189" s="59"/>
      <c r="U189" s="112"/>
      <c r="V189" s="39"/>
      <c r="W189" s="39"/>
      <c r="X189" s="40"/>
      <c r="Y189" s="39"/>
      <c r="Z189" s="41"/>
      <c r="AA189" s="41"/>
      <c r="AB189" s="51"/>
      <c r="AC189" s="51"/>
      <c r="AD189" s="51"/>
      <c r="AE189" s="51"/>
      <c r="AF189" s="51"/>
      <c r="AG189" s="51"/>
      <c r="AH189" s="51"/>
      <c r="AI189" s="106"/>
      <c r="AJ189" s="61"/>
      <c r="AK189" s="106"/>
      <c r="AL189" s="61"/>
      <c r="AM189" s="107"/>
      <c r="AN189" s="99"/>
      <c r="AO189" s="99"/>
      <c r="AP189" s="51"/>
      <c r="AQ189" s="51"/>
      <c r="AR189" s="51"/>
      <c r="AS189" s="101"/>
      <c r="AT189" s="101"/>
      <c r="AU189" s="51"/>
      <c r="AV189" s="51"/>
      <c r="AW189" s="51"/>
      <c r="AX189" s="51"/>
      <c r="AY189" s="106"/>
      <c r="AZ189" s="106"/>
      <c r="BA189" s="106"/>
      <c r="BB189" s="106"/>
      <c r="BC189" s="38"/>
      <c r="BD189" s="38"/>
      <c r="BE189" s="34"/>
      <c r="BF189" s="51"/>
      <c r="BG189" s="36"/>
      <c r="BH189" s="51"/>
      <c r="BI189" s="99"/>
      <c r="BJ189" s="99"/>
      <c r="BK189" s="51"/>
      <c r="BL189" s="51"/>
      <c r="BM189" s="51"/>
      <c r="BN189" s="51"/>
      <c r="BO189" s="99"/>
      <c r="BP189" s="99"/>
      <c r="BQ189" s="99"/>
      <c r="BR189" s="99"/>
      <c r="BS189" s="51"/>
      <c r="BT189" s="99"/>
      <c r="BU189" s="99"/>
      <c r="BV189" s="99"/>
      <c r="BW189" s="51"/>
      <c r="BX189" s="51"/>
      <c r="BY189" s="100"/>
      <c r="BZ189" s="100"/>
      <c r="CA189" s="36"/>
      <c r="CB189" s="36"/>
      <c r="CC189" s="51"/>
      <c r="CD189" s="36"/>
      <c r="CE189" s="36"/>
      <c r="CF189" s="36"/>
      <c r="CG189" s="36"/>
      <c r="CH189" s="51"/>
      <c r="CI189" s="36"/>
      <c r="CJ189" s="36"/>
      <c r="CK189" s="36"/>
      <c r="CL189" s="36"/>
      <c r="CM189" s="51"/>
      <c r="CN189" s="36"/>
      <c r="CO189" s="36"/>
      <c r="CP189" s="36"/>
      <c r="CQ189" s="36"/>
      <c r="CR189" s="51"/>
      <c r="CS189" s="36"/>
      <c r="CT189" s="36"/>
      <c r="CU189" s="36"/>
      <c r="CV189" s="36"/>
      <c r="CW189" s="51"/>
      <c r="CX189" s="36"/>
      <c r="CY189" s="36"/>
      <c r="CZ189" s="36"/>
      <c r="DA189" s="36"/>
      <c r="DB189" s="51"/>
      <c r="DC189" s="36"/>
      <c r="DD189" s="36"/>
      <c r="DE189" s="36"/>
      <c r="DF189" s="36"/>
      <c r="DG189" s="51"/>
      <c r="DH189" s="36"/>
      <c r="DI189" s="36"/>
      <c r="DJ189" s="36"/>
      <c r="DK189" s="36"/>
      <c r="DL189" s="51"/>
      <c r="DM189" s="51"/>
      <c r="DN189" s="51"/>
    </row>
    <row r="190" spans="1:118" ht="15.75" customHeight="1">
      <c r="A190" s="171"/>
      <c r="B190" s="51"/>
      <c r="C190" s="99"/>
      <c r="D190" s="101"/>
      <c r="E190" s="102"/>
      <c r="F190" s="51"/>
      <c r="G190" s="103"/>
      <c r="H190" s="103"/>
      <c r="I190" s="104"/>
      <c r="J190" s="101"/>
      <c r="K190" s="101"/>
      <c r="M190" s="51"/>
      <c r="N190" s="51"/>
      <c r="O190" s="51"/>
      <c r="P190" s="51"/>
      <c r="Q190" s="51"/>
      <c r="R190" s="36"/>
      <c r="S190" s="51"/>
      <c r="T190" s="59"/>
      <c r="U190" s="112"/>
      <c r="V190" s="39"/>
      <c r="W190" s="39"/>
      <c r="X190" s="40"/>
      <c r="Y190" s="39"/>
      <c r="Z190" s="41"/>
      <c r="AA190" s="41"/>
      <c r="AB190" s="51"/>
      <c r="AC190" s="51"/>
      <c r="AD190" s="51"/>
      <c r="AE190" s="51"/>
      <c r="AF190" s="51"/>
      <c r="AG190" s="51"/>
      <c r="AH190" s="51"/>
      <c r="AI190" s="106"/>
      <c r="AJ190" s="61"/>
      <c r="AK190" s="106"/>
      <c r="AL190" s="61"/>
      <c r="AM190" s="107"/>
      <c r="AN190" s="99"/>
      <c r="AO190" s="99"/>
      <c r="AP190" s="51"/>
      <c r="AQ190" s="51"/>
      <c r="AR190" s="51"/>
      <c r="AS190" s="101"/>
      <c r="AT190" s="101"/>
      <c r="AU190" s="51"/>
      <c r="AV190" s="51"/>
      <c r="AW190" s="51"/>
      <c r="AX190" s="51"/>
      <c r="AY190" s="106"/>
      <c r="AZ190" s="106"/>
      <c r="BA190" s="106"/>
      <c r="BB190" s="106"/>
      <c r="BC190" s="38"/>
      <c r="BD190" s="38"/>
      <c r="BE190" s="34"/>
      <c r="BF190" s="51"/>
      <c r="BG190" s="36"/>
      <c r="BH190" s="51"/>
      <c r="BI190" s="99"/>
      <c r="BJ190" s="99"/>
      <c r="BK190" s="51"/>
      <c r="BL190" s="51"/>
      <c r="BM190" s="51"/>
      <c r="BN190" s="51"/>
      <c r="BO190" s="99"/>
      <c r="BP190" s="99"/>
      <c r="BQ190" s="99"/>
      <c r="BR190" s="99"/>
      <c r="BS190" s="51"/>
      <c r="BT190" s="99"/>
      <c r="BU190" s="99"/>
      <c r="BV190" s="99"/>
      <c r="BW190" s="51"/>
      <c r="BX190" s="51"/>
      <c r="BY190" s="100"/>
      <c r="BZ190" s="100"/>
      <c r="CA190" s="36"/>
      <c r="CB190" s="36"/>
      <c r="CC190" s="51"/>
      <c r="CD190" s="36"/>
      <c r="CE190" s="36"/>
      <c r="CF190" s="36"/>
      <c r="CG190" s="36"/>
      <c r="CH190" s="51"/>
      <c r="CI190" s="36"/>
      <c r="CJ190" s="36"/>
      <c r="CK190" s="36"/>
      <c r="CL190" s="36"/>
      <c r="CM190" s="51"/>
      <c r="CN190" s="36"/>
      <c r="CO190" s="36"/>
      <c r="CP190" s="36"/>
      <c r="CQ190" s="36"/>
      <c r="CR190" s="51"/>
      <c r="CS190" s="36"/>
      <c r="CT190" s="36"/>
      <c r="CU190" s="36"/>
      <c r="CV190" s="36"/>
      <c r="CW190" s="51"/>
      <c r="CX190" s="36"/>
      <c r="CY190" s="36"/>
      <c r="CZ190" s="36"/>
      <c r="DA190" s="36"/>
      <c r="DB190" s="51"/>
      <c r="DC190" s="36"/>
      <c r="DD190" s="36"/>
      <c r="DE190" s="36"/>
      <c r="DF190" s="36"/>
      <c r="DG190" s="51"/>
      <c r="DH190" s="36"/>
      <c r="DI190" s="36"/>
      <c r="DJ190" s="36"/>
      <c r="DK190" s="36"/>
      <c r="DL190" s="51"/>
      <c r="DM190" s="51"/>
      <c r="DN190" s="51"/>
    </row>
    <row r="191" spans="1:118" ht="15.75" customHeight="1">
      <c r="A191" s="171"/>
      <c r="B191" s="51"/>
      <c r="C191" s="99"/>
      <c r="D191" s="101"/>
      <c r="E191" s="102"/>
      <c r="F191" s="51"/>
      <c r="G191" s="103"/>
      <c r="H191" s="103"/>
      <c r="I191" s="104"/>
      <c r="J191" s="101"/>
      <c r="K191" s="101"/>
      <c r="M191" s="51"/>
      <c r="N191" s="51"/>
      <c r="O191" s="51"/>
      <c r="P191" s="51"/>
      <c r="Q191" s="51"/>
      <c r="R191" s="36"/>
      <c r="S191" s="51"/>
      <c r="T191" s="59"/>
      <c r="U191" s="112"/>
      <c r="V191" s="39"/>
      <c r="W191" s="39"/>
      <c r="X191" s="40"/>
      <c r="Y191" s="39"/>
      <c r="Z191" s="41"/>
      <c r="AA191" s="41"/>
      <c r="AB191" s="51"/>
      <c r="AC191" s="51"/>
      <c r="AD191" s="51"/>
      <c r="AE191" s="51"/>
      <c r="AF191" s="51"/>
      <c r="AG191" s="51"/>
      <c r="AH191" s="51"/>
      <c r="AI191" s="106"/>
      <c r="AJ191" s="61"/>
      <c r="AK191" s="106"/>
      <c r="AL191" s="61"/>
      <c r="AM191" s="107"/>
      <c r="AN191" s="99"/>
      <c r="AO191" s="99"/>
      <c r="AP191" s="51"/>
      <c r="AQ191" s="51"/>
      <c r="AR191" s="51"/>
      <c r="AS191" s="101"/>
      <c r="AT191" s="101"/>
      <c r="AU191" s="51"/>
      <c r="AV191" s="51"/>
      <c r="AW191" s="51"/>
      <c r="AX191" s="51"/>
      <c r="AY191" s="106"/>
      <c r="AZ191" s="106"/>
      <c r="BA191" s="106"/>
      <c r="BB191" s="106"/>
      <c r="BC191" s="38"/>
      <c r="BD191" s="38"/>
      <c r="BE191" s="34"/>
      <c r="BF191" s="51"/>
      <c r="BG191" s="36"/>
      <c r="BH191" s="51"/>
      <c r="BI191" s="99"/>
      <c r="BJ191" s="99"/>
      <c r="BK191" s="51"/>
      <c r="BL191" s="51"/>
      <c r="BM191" s="51"/>
      <c r="BN191" s="51"/>
      <c r="BO191" s="99"/>
      <c r="BP191" s="99"/>
      <c r="BQ191" s="99"/>
      <c r="BR191" s="99"/>
      <c r="BS191" s="51"/>
      <c r="BT191" s="99"/>
      <c r="BU191" s="99"/>
      <c r="BV191" s="99"/>
      <c r="BW191" s="51"/>
      <c r="BX191" s="51"/>
      <c r="BY191" s="100"/>
      <c r="BZ191" s="100"/>
      <c r="CA191" s="36"/>
      <c r="CB191" s="36"/>
      <c r="CC191" s="51"/>
      <c r="CD191" s="36"/>
      <c r="CE191" s="36"/>
      <c r="CF191" s="36"/>
      <c r="CG191" s="36"/>
      <c r="CH191" s="51"/>
      <c r="CI191" s="36"/>
      <c r="CJ191" s="36"/>
      <c r="CK191" s="36"/>
      <c r="CL191" s="36"/>
      <c r="CM191" s="51"/>
      <c r="CN191" s="36"/>
      <c r="CO191" s="36"/>
      <c r="CP191" s="36"/>
      <c r="CQ191" s="36"/>
      <c r="CR191" s="51"/>
      <c r="CS191" s="36"/>
      <c r="CT191" s="36"/>
      <c r="CU191" s="36"/>
      <c r="CV191" s="36"/>
      <c r="CW191" s="51"/>
      <c r="CX191" s="36"/>
      <c r="CY191" s="36"/>
      <c r="CZ191" s="36"/>
      <c r="DA191" s="36"/>
      <c r="DB191" s="51"/>
      <c r="DC191" s="36"/>
      <c r="DD191" s="36"/>
      <c r="DE191" s="36"/>
      <c r="DF191" s="36"/>
      <c r="DG191" s="51"/>
      <c r="DH191" s="36"/>
      <c r="DI191" s="36"/>
      <c r="DJ191" s="36"/>
      <c r="DK191" s="36"/>
      <c r="DL191" s="51"/>
      <c r="DM191" s="51"/>
      <c r="DN191" s="51"/>
    </row>
    <row r="192" spans="1:118" ht="15.75" customHeight="1">
      <c r="A192" s="171"/>
      <c r="B192" s="51"/>
      <c r="C192" s="99"/>
      <c r="D192" s="101"/>
      <c r="E192" s="102"/>
      <c r="F192" s="51"/>
      <c r="G192" s="103"/>
      <c r="H192" s="103"/>
      <c r="I192" s="104"/>
      <c r="J192" s="101"/>
      <c r="K192" s="101"/>
      <c r="M192" s="51"/>
      <c r="N192" s="51"/>
      <c r="O192" s="51"/>
      <c r="P192" s="51"/>
      <c r="Q192" s="51"/>
      <c r="R192" s="36"/>
      <c r="S192" s="51"/>
      <c r="T192" s="59"/>
      <c r="U192" s="112"/>
      <c r="V192" s="39"/>
      <c r="W192" s="39"/>
      <c r="X192" s="40"/>
      <c r="Y192" s="39"/>
      <c r="Z192" s="41"/>
      <c r="AA192" s="41"/>
      <c r="AB192" s="51"/>
      <c r="AC192" s="51"/>
      <c r="AD192" s="51"/>
      <c r="AE192" s="51"/>
      <c r="AF192" s="51"/>
      <c r="AG192" s="51"/>
      <c r="AH192" s="51"/>
      <c r="AI192" s="106"/>
      <c r="AJ192" s="61"/>
      <c r="AK192" s="106"/>
      <c r="AL192" s="61"/>
      <c r="AM192" s="107"/>
      <c r="AN192" s="99"/>
      <c r="AO192" s="99"/>
      <c r="AP192" s="51"/>
      <c r="AQ192" s="51"/>
      <c r="AR192" s="51"/>
      <c r="AS192" s="101"/>
      <c r="AT192" s="101"/>
      <c r="AU192" s="51"/>
      <c r="AV192" s="51"/>
      <c r="AW192" s="51"/>
      <c r="AX192" s="51"/>
      <c r="AY192" s="106"/>
      <c r="AZ192" s="106"/>
      <c r="BA192" s="106"/>
      <c r="BB192" s="106"/>
      <c r="BC192" s="38"/>
      <c r="BD192" s="38"/>
      <c r="BE192" s="34"/>
      <c r="BF192" s="51"/>
      <c r="BG192" s="36"/>
      <c r="BH192" s="51"/>
      <c r="BI192" s="99"/>
      <c r="BJ192" s="99"/>
      <c r="BK192" s="51"/>
      <c r="BL192" s="51"/>
      <c r="BM192" s="51"/>
      <c r="BN192" s="51"/>
      <c r="BO192" s="99"/>
      <c r="BP192" s="99"/>
      <c r="BQ192" s="99"/>
      <c r="BR192" s="99"/>
      <c r="BS192" s="51"/>
      <c r="BT192" s="99"/>
      <c r="BU192" s="99"/>
      <c r="BV192" s="99"/>
      <c r="BW192" s="51"/>
      <c r="BX192" s="51"/>
      <c r="BY192" s="100"/>
      <c r="BZ192" s="100"/>
      <c r="CA192" s="36"/>
      <c r="CB192" s="36"/>
      <c r="CC192" s="51"/>
      <c r="CD192" s="36"/>
      <c r="CE192" s="36"/>
      <c r="CF192" s="36"/>
      <c r="CG192" s="36"/>
      <c r="CH192" s="51"/>
      <c r="CI192" s="36"/>
      <c r="CJ192" s="36"/>
      <c r="CK192" s="36"/>
      <c r="CL192" s="36"/>
      <c r="CM192" s="51"/>
      <c r="CN192" s="36"/>
      <c r="CO192" s="36"/>
      <c r="CP192" s="36"/>
      <c r="CQ192" s="36"/>
      <c r="CR192" s="51"/>
      <c r="CS192" s="36"/>
      <c r="CT192" s="36"/>
      <c r="CU192" s="36"/>
      <c r="CV192" s="36"/>
      <c r="CW192" s="51"/>
      <c r="CX192" s="36"/>
      <c r="CY192" s="36"/>
      <c r="CZ192" s="36"/>
      <c r="DA192" s="36"/>
      <c r="DB192" s="51"/>
      <c r="DC192" s="36"/>
      <c r="DD192" s="36"/>
      <c r="DE192" s="36"/>
      <c r="DF192" s="36"/>
      <c r="DG192" s="51"/>
      <c r="DH192" s="36"/>
      <c r="DI192" s="36"/>
      <c r="DJ192" s="36"/>
      <c r="DK192" s="36"/>
      <c r="DL192" s="51"/>
      <c r="DM192" s="51"/>
      <c r="DN192" s="51"/>
    </row>
    <row r="193" spans="1:118" ht="15.75" customHeight="1">
      <c r="A193" s="171"/>
      <c r="B193" s="51"/>
      <c r="C193" s="99"/>
      <c r="D193" s="101"/>
      <c r="E193" s="102"/>
      <c r="F193" s="51"/>
      <c r="G193" s="103"/>
      <c r="H193" s="103"/>
      <c r="I193" s="104"/>
      <c r="J193" s="101"/>
      <c r="K193" s="101"/>
      <c r="M193" s="51"/>
      <c r="N193" s="51"/>
      <c r="O193" s="51"/>
      <c r="P193" s="51"/>
      <c r="Q193" s="51"/>
      <c r="R193" s="36"/>
      <c r="S193" s="51"/>
      <c r="T193" s="59"/>
      <c r="U193" s="112"/>
      <c r="V193" s="39"/>
      <c r="W193" s="39"/>
      <c r="X193" s="40"/>
      <c r="Y193" s="39"/>
      <c r="Z193" s="41"/>
      <c r="AA193" s="41"/>
      <c r="AB193" s="51"/>
      <c r="AC193" s="51"/>
      <c r="AD193" s="51"/>
      <c r="AE193" s="51"/>
      <c r="AF193" s="51"/>
      <c r="AG193" s="51"/>
      <c r="AH193" s="51"/>
      <c r="AI193" s="106"/>
      <c r="AJ193" s="61"/>
      <c r="AK193" s="106"/>
      <c r="AL193" s="61"/>
      <c r="AM193" s="107"/>
      <c r="AN193" s="99"/>
      <c r="AO193" s="99"/>
      <c r="AP193" s="51"/>
      <c r="AQ193" s="51"/>
      <c r="AR193" s="51"/>
      <c r="AS193" s="101"/>
      <c r="AT193" s="101"/>
      <c r="AU193" s="51"/>
      <c r="AV193" s="51"/>
      <c r="AW193" s="51"/>
      <c r="AX193" s="51"/>
      <c r="AY193" s="106"/>
      <c r="AZ193" s="106"/>
      <c r="BA193" s="106"/>
      <c r="BB193" s="106"/>
      <c r="BC193" s="38"/>
      <c r="BD193" s="38"/>
      <c r="BE193" s="34"/>
      <c r="BF193" s="51"/>
      <c r="BG193" s="36"/>
      <c r="BH193" s="51"/>
      <c r="BI193" s="99"/>
      <c r="BJ193" s="99"/>
      <c r="BK193" s="51"/>
      <c r="BL193" s="51"/>
      <c r="BM193" s="51"/>
      <c r="BN193" s="51"/>
      <c r="BO193" s="99"/>
      <c r="BP193" s="99"/>
      <c r="BQ193" s="99"/>
      <c r="BR193" s="99"/>
      <c r="BS193" s="51"/>
      <c r="BT193" s="99"/>
      <c r="BU193" s="99"/>
      <c r="BV193" s="99"/>
      <c r="BW193" s="51"/>
      <c r="BX193" s="51"/>
      <c r="BY193" s="100"/>
      <c r="BZ193" s="100"/>
      <c r="CA193" s="36"/>
      <c r="CB193" s="36"/>
      <c r="CC193" s="51"/>
      <c r="CD193" s="36"/>
      <c r="CE193" s="36"/>
      <c r="CF193" s="36"/>
      <c r="CG193" s="36"/>
      <c r="CH193" s="51"/>
      <c r="CI193" s="36"/>
      <c r="CJ193" s="36"/>
      <c r="CK193" s="36"/>
      <c r="CL193" s="36"/>
      <c r="CM193" s="51"/>
      <c r="CN193" s="36"/>
      <c r="CO193" s="36"/>
      <c r="CP193" s="36"/>
      <c r="CQ193" s="36"/>
      <c r="CR193" s="51"/>
      <c r="CS193" s="36"/>
      <c r="CT193" s="36"/>
      <c r="CU193" s="36"/>
      <c r="CV193" s="36"/>
      <c r="CW193" s="51"/>
      <c r="CX193" s="36"/>
      <c r="CY193" s="36"/>
      <c r="CZ193" s="36"/>
      <c r="DA193" s="36"/>
      <c r="DB193" s="51"/>
      <c r="DC193" s="36"/>
      <c r="DD193" s="36"/>
      <c r="DE193" s="36"/>
      <c r="DF193" s="36"/>
      <c r="DG193" s="51"/>
      <c r="DH193" s="36"/>
      <c r="DI193" s="36"/>
      <c r="DJ193" s="36"/>
      <c r="DK193" s="36"/>
      <c r="DL193" s="51"/>
      <c r="DM193" s="51"/>
      <c r="DN193" s="51"/>
    </row>
    <row r="194" spans="1:118" ht="15.75" customHeight="1">
      <c r="A194" s="171"/>
      <c r="B194" s="51"/>
      <c r="C194" s="99"/>
      <c r="D194" s="101"/>
      <c r="E194" s="102"/>
      <c r="F194" s="51"/>
      <c r="G194" s="103"/>
      <c r="H194" s="103"/>
      <c r="I194" s="104"/>
      <c r="J194" s="101"/>
      <c r="K194" s="101"/>
      <c r="M194" s="51"/>
      <c r="N194" s="51"/>
      <c r="O194" s="51"/>
      <c r="P194" s="51"/>
      <c r="Q194" s="51"/>
      <c r="R194" s="36"/>
      <c r="S194" s="51"/>
      <c r="T194" s="59"/>
      <c r="U194" s="112"/>
      <c r="V194" s="39"/>
      <c r="W194" s="39"/>
      <c r="X194" s="40"/>
      <c r="Y194" s="39"/>
      <c r="Z194" s="41"/>
      <c r="AA194" s="41"/>
      <c r="AB194" s="51"/>
      <c r="AC194" s="51"/>
      <c r="AD194" s="51"/>
      <c r="AE194" s="51"/>
      <c r="AF194" s="51"/>
      <c r="AG194" s="51"/>
      <c r="AH194" s="51"/>
      <c r="AI194" s="106"/>
      <c r="AJ194" s="61"/>
      <c r="AK194" s="106"/>
      <c r="AL194" s="61"/>
      <c r="AM194" s="107"/>
      <c r="AN194" s="99"/>
      <c r="AO194" s="99"/>
      <c r="AP194" s="51"/>
      <c r="AQ194" s="51"/>
      <c r="AR194" s="51"/>
      <c r="AS194" s="101"/>
      <c r="AT194" s="101"/>
      <c r="AU194" s="51"/>
      <c r="AV194" s="51"/>
      <c r="AW194" s="51"/>
      <c r="AX194" s="51"/>
      <c r="AY194" s="106"/>
      <c r="AZ194" s="106"/>
      <c r="BA194" s="106"/>
      <c r="BB194" s="106"/>
      <c r="BC194" s="38"/>
      <c r="BD194" s="38"/>
      <c r="BE194" s="34"/>
      <c r="BF194" s="51"/>
      <c r="BG194" s="36"/>
      <c r="BH194" s="51"/>
      <c r="BI194" s="99"/>
      <c r="BJ194" s="99"/>
      <c r="BK194" s="51"/>
      <c r="BL194" s="51"/>
      <c r="BM194" s="51"/>
      <c r="BN194" s="51"/>
      <c r="BO194" s="99"/>
      <c r="BP194" s="99"/>
      <c r="BQ194" s="99"/>
      <c r="BR194" s="99"/>
      <c r="BS194" s="51"/>
      <c r="BT194" s="99"/>
      <c r="BU194" s="99"/>
      <c r="BV194" s="99"/>
      <c r="BW194" s="51"/>
      <c r="BX194" s="51"/>
      <c r="BY194" s="100"/>
      <c r="BZ194" s="100"/>
      <c r="CA194" s="36"/>
      <c r="CB194" s="36"/>
      <c r="CC194" s="51"/>
      <c r="CD194" s="36"/>
      <c r="CE194" s="36"/>
      <c r="CF194" s="36"/>
      <c r="CG194" s="36"/>
      <c r="CH194" s="51"/>
      <c r="CI194" s="36"/>
      <c r="CJ194" s="36"/>
      <c r="CK194" s="36"/>
      <c r="CL194" s="36"/>
      <c r="CM194" s="51"/>
      <c r="CN194" s="36"/>
      <c r="CO194" s="36"/>
      <c r="CP194" s="36"/>
      <c r="CQ194" s="36"/>
      <c r="CR194" s="51"/>
      <c r="CS194" s="36"/>
      <c r="CT194" s="36"/>
      <c r="CU194" s="36"/>
      <c r="CV194" s="36"/>
      <c r="CW194" s="51"/>
      <c r="CX194" s="36"/>
      <c r="CY194" s="36"/>
      <c r="CZ194" s="36"/>
      <c r="DA194" s="36"/>
      <c r="DB194" s="51"/>
      <c r="DC194" s="36"/>
      <c r="DD194" s="36"/>
      <c r="DE194" s="36"/>
      <c r="DF194" s="36"/>
      <c r="DG194" s="51"/>
      <c r="DH194" s="36"/>
      <c r="DI194" s="36"/>
      <c r="DJ194" s="36"/>
      <c r="DK194" s="36"/>
      <c r="DL194" s="51"/>
      <c r="DM194" s="51"/>
      <c r="DN194" s="51"/>
    </row>
    <row r="195" spans="1:118" ht="15.75" customHeight="1">
      <c r="A195" s="171"/>
      <c r="B195" s="51"/>
      <c r="C195" s="99"/>
      <c r="D195" s="101"/>
      <c r="E195" s="102"/>
      <c r="F195" s="51"/>
      <c r="G195" s="103"/>
      <c r="H195" s="103"/>
      <c r="I195" s="104"/>
      <c r="J195" s="101"/>
      <c r="K195" s="101"/>
      <c r="M195" s="51"/>
      <c r="N195" s="51"/>
      <c r="O195" s="51"/>
      <c r="P195" s="51"/>
      <c r="Q195" s="51"/>
      <c r="R195" s="36"/>
      <c r="S195" s="51"/>
      <c r="T195" s="59"/>
      <c r="U195" s="112"/>
      <c r="V195" s="39"/>
      <c r="W195" s="39"/>
      <c r="X195" s="40"/>
      <c r="Y195" s="39"/>
      <c r="Z195" s="41"/>
      <c r="AA195" s="41"/>
      <c r="AB195" s="51"/>
      <c r="AC195" s="51"/>
      <c r="AD195" s="51"/>
      <c r="AE195" s="51"/>
      <c r="AF195" s="51"/>
      <c r="AG195" s="51"/>
      <c r="AH195" s="51"/>
      <c r="AI195" s="106"/>
      <c r="AJ195" s="61"/>
      <c r="AK195" s="106"/>
      <c r="AL195" s="61"/>
      <c r="AM195" s="107"/>
      <c r="AN195" s="99"/>
      <c r="AO195" s="99"/>
      <c r="AP195" s="51"/>
      <c r="AQ195" s="51"/>
      <c r="AR195" s="51"/>
      <c r="AS195" s="101"/>
      <c r="AT195" s="101"/>
      <c r="AU195" s="51"/>
      <c r="AV195" s="51"/>
      <c r="AW195" s="51"/>
      <c r="AX195" s="51"/>
      <c r="AY195" s="106"/>
      <c r="AZ195" s="106"/>
      <c r="BA195" s="106"/>
      <c r="BB195" s="106"/>
      <c r="BC195" s="38"/>
      <c r="BD195" s="38"/>
      <c r="BE195" s="34"/>
      <c r="BF195" s="51"/>
      <c r="BG195" s="36"/>
      <c r="BH195" s="51"/>
      <c r="BI195" s="99"/>
      <c r="BJ195" s="99"/>
      <c r="BK195" s="51"/>
      <c r="BL195" s="51"/>
      <c r="BM195" s="51"/>
      <c r="BN195" s="51"/>
      <c r="BO195" s="99"/>
      <c r="BP195" s="99"/>
      <c r="BQ195" s="99"/>
      <c r="BR195" s="99"/>
      <c r="BS195" s="51"/>
      <c r="BT195" s="99"/>
      <c r="BU195" s="99"/>
      <c r="BV195" s="99"/>
      <c r="BW195" s="51"/>
      <c r="BX195" s="51"/>
      <c r="BY195" s="100"/>
      <c r="BZ195" s="100"/>
      <c r="CA195" s="36"/>
      <c r="CB195" s="36"/>
      <c r="CC195" s="51"/>
      <c r="CD195" s="36"/>
      <c r="CE195" s="36"/>
      <c r="CF195" s="36"/>
      <c r="CG195" s="36"/>
      <c r="CH195" s="51"/>
      <c r="CI195" s="36"/>
      <c r="CJ195" s="36"/>
      <c r="CK195" s="36"/>
      <c r="CL195" s="36"/>
      <c r="CM195" s="51"/>
      <c r="CN195" s="36"/>
      <c r="CO195" s="36"/>
      <c r="CP195" s="36"/>
      <c r="CQ195" s="36"/>
      <c r="CR195" s="51"/>
      <c r="CS195" s="36"/>
      <c r="CT195" s="36"/>
      <c r="CU195" s="36"/>
      <c r="CV195" s="36"/>
      <c r="CW195" s="51"/>
      <c r="CX195" s="36"/>
      <c r="CY195" s="36"/>
      <c r="CZ195" s="36"/>
      <c r="DA195" s="36"/>
      <c r="DB195" s="51"/>
      <c r="DC195" s="36"/>
      <c r="DD195" s="36"/>
      <c r="DE195" s="36"/>
      <c r="DF195" s="36"/>
      <c r="DG195" s="51"/>
      <c r="DH195" s="36"/>
      <c r="DI195" s="36"/>
      <c r="DJ195" s="36"/>
      <c r="DK195" s="36"/>
      <c r="DL195" s="51"/>
      <c r="DM195" s="51"/>
      <c r="DN195" s="51"/>
    </row>
    <row r="196" spans="1:118" ht="15.75" customHeight="1">
      <c r="A196" s="171"/>
      <c r="B196" s="51"/>
      <c r="C196" s="99"/>
      <c r="D196" s="101"/>
      <c r="E196" s="102"/>
      <c r="F196" s="51"/>
      <c r="G196" s="103"/>
      <c r="H196" s="103"/>
      <c r="I196" s="104"/>
      <c r="J196" s="101"/>
      <c r="K196" s="101"/>
      <c r="M196" s="51"/>
      <c r="N196" s="51"/>
      <c r="O196" s="51"/>
      <c r="P196" s="51"/>
      <c r="Q196" s="51"/>
      <c r="R196" s="36"/>
      <c r="S196" s="51"/>
      <c r="T196" s="59"/>
      <c r="U196" s="112"/>
      <c r="V196" s="39"/>
      <c r="W196" s="39"/>
      <c r="X196" s="40"/>
      <c r="Y196" s="39"/>
      <c r="Z196" s="41"/>
      <c r="AA196" s="41"/>
      <c r="AB196" s="51"/>
      <c r="AC196" s="51"/>
      <c r="AD196" s="51"/>
      <c r="AE196" s="51"/>
      <c r="AF196" s="51"/>
      <c r="AG196" s="51"/>
      <c r="AH196" s="51"/>
      <c r="AI196" s="106"/>
      <c r="AJ196" s="61"/>
      <c r="AK196" s="106"/>
      <c r="AL196" s="61"/>
      <c r="AM196" s="107"/>
      <c r="AN196" s="99"/>
      <c r="AO196" s="99"/>
      <c r="AP196" s="51"/>
      <c r="AQ196" s="51"/>
      <c r="AR196" s="51"/>
      <c r="AS196" s="101"/>
      <c r="AT196" s="101"/>
      <c r="AU196" s="51"/>
      <c r="AV196" s="51"/>
      <c r="AW196" s="51"/>
      <c r="AX196" s="51"/>
      <c r="AY196" s="106"/>
      <c r="AZ196" s="106"/>
      <c r="BA196" s="106"/>
      <c r="BB196" s="106"/>
      <c r="BC196" s="38"/>
      <c r="BD196" s="38"/>
      <c r="BE196" s="34"/>
      <c r="BF196" s="51"/>
      <c r="BG196" s="36"/>
      <c r="BH196" s="51"/>
      <c r="BI196" s="99"/>
      <c r="BJ196" s="99"/>
      <c r="BK196" s="51"/>
      <c r="BL196" s="51"/>
      <c r="BM196" s="51"/>
      <c r="BN196" s="51"/>
      <c r="BO196" s="99"/>
      <c r="BP196" s="99"/>
      <c r="BQ196" s="99"/>
      <c r="BR196" s="99"/>
      <c r="BS196" s="51"/>
      <c r="BT196" s="99"/>
      <c r="BU196" s="99"/>
      <c r="BV196" s="99"/>
      <c r="BW196" s="51"/>
      <c r="BX196" s="51"/>
      <c r="BY196" s="100"/>
      <c r="BZ196" s="100"/>
      <c r="CA196" s="36"/>
      <c r="CB196" s="36"/>
      <c r="CC196" s="51"/>
      <c r="CD196" s="36"/>
      <c r="CE196" s="36"/>
      <c r="CF196" s="36"/>
      <c r="CG196" s="36"/>
      <c r="CH196" s="51"/>
      <c r="CI196" s="36"/>
      <c r="CJ196" s="36"/>
      <c r="CK196" s="36"/>
      <c r="CL196" s="36"/>
      <c r="CM196" s="51"/>
      <c r="CN196" s="36"/>
      <c r="CO196" s="36"/>
      <c r="CP196" s="36"/>
      <c r="CQ196" s="36"/>
      <c r="CR196" s="51"/>
      <c r="CS196" s="36"/>
      <c r="CT196" s="36"/>
      <c r="CU196" s="36"/>
      <c r="CV196" s="36"/>
      <c r="CW196" s="51"/>
      <c r="CX196" s="36"/>
      <c r="CY196" s="36"/>
      <c r="CZ196" s="36"/>
      <c r="DA196" s="36"/>
      <c r="DB196" s="51"/>
      <c r="DC196" s="36"/>
      <c r="DD196" s="36"/>
      <c r="DE196" s="36"/>
      <c r="DF196" s="36"/>
      <c r="DG196" s="51"/>
      <c r="DH196" s="36"/>
      <c r="DI196" s="36"/>
      <c r="DJ196" s="36"/>
      <c r="DK196" s="36"/>
      <c r="DL196" s="51"/>
      <c r="DM196" s="51"/>
      <c r="DN196" s="51"/>
    </row>
    <row r="197" spans="1:118" ht="15.75" customHeight="1">
      <c r="A197" s="171"/>
      <c r="B197" s="51"/>
      <c r="C197" s="99"/>
      <c r="D197" s="101"/>
      <c r="E197" s="102"/>
      <c r="F197" s="51"/>
      <c r="G197" s="103"/>
      <c r="H197" s="103"/>
      <c r="I197" s="104"/>
      <c r="J197" s="101"/>
      <c r="K197" s="101"/>
      <c r="M197" s="51"/>
      <c r="N197" s="51"/>
      <c r="O197" s="51"/>
      <c r="P197" s="51"/>
      <c r="Q197" s="51"/>
      <c r="R197" s="36"/>
      <c r="S197" s="51"/>
      <c r="T197" s="59"/>
      <c r="U197" s="112"/>
      <c r="V197" s="39"/>
      <c r="W197" s="39"/>
      <c r="X197" s="40"/>
      <c r="Y197" s="39"/>
      <c r="Z197" s="41"/>
      <c r="AA197" s="41"/>
      <c r="AB197" s="51"/>
      <c r="AC197" s="51"/>
      <c r="AD197" s="51"/>
      <c r="AE197" s="51"/>
      <c r="AF197" s="51"/>
      <c r="AG197" s="51"/>
      <c r="AH197" s="51"/>
      <c r="AI197" s="106"/>
      <c r="AJ197" s="61"/>
      <c r="AK197" s="106"/>
      <c r="AL197" s="61"/>
      <c r="AM197" s="107"/>
      <c r="AN197" s="99"/>
      <c r="AO197" s="99"/>
      <c r="AP197" s="51"/>
      <c r="AQ197" s="51"/>
      <c r="AR197" s="51"/>
      <c r="AS197" s="101"/>
      <c r="AT197" s="101"/>
      <c r="AU197" s="51"/>
      <c r="AV197" s="51"/>
      <c r="AW197" s="51"/>
      <c r="AX197" s="51"/>
      <c r="AY197" s="106"/>
      <c r="AZ197" s="106"/>
      <c r="BA197" s="106"/>
      <c r="BB197" s="106"/>
      <c r="BC197" s="38"/>
      <c r="BD197" s="38"/>
      <c r="BE197" s="34"/>
      <c r="BF197" s="51"/>
      <c r="BG197" s="36"/>
      <c r="BH197" s="51"/>
      <c r="BI197" s="99"/>
      <c r="BJ197" s="99"/>
      <c r="BK197" s="51"/>
      <c r="BL197" s="51"/>
      <c r="BM197" s="51"/>
      <c r="BN197" s="51"/>
      <c r="BO197" s="99"/>
      <c r="BP197" s="99"/>
      <c r="BQ197" s="99"/>
      <c r="BR197" s="99"/>
      <c r="BS197" s="51"/>
      <c r="BT197" s="99"/>
      <c r="BU197" s="99"/>
      <c r="BV197" s="99"/>
      <c r="BW197" s="51"/>
      <c r="BX197" s="51"/>
      <c r="BY197" s="100"/>
      <c r="BZ197" s="100"/>
      <c r="CA197" s="36"/>
      <c r="CB197" s="36"/>
      <c r="CC197" s="51"/>
      <c r="CD197" s="36"/>
      <c r="CE197" s="36"/>
      <c r="CF197" s="36"/>
      <c r="CG197" s="36"/>
      <c r="CH197" s="51"/>
      <c r="CI197" s="36"/>
      <c r="CJ197" s="36"/>
      <c r="CK197" s="36"/>
      <c r="CL197" s="36"/>
      <c r="CM197" s="51"/>
      <c r="CN197" s="36"/>
      <c r="CO197" s="36"/>
      <c r="CP197" s="36"/>
      <c r="CQ197" s="36"/>
      <c r="CR197" s="51"/>
      <c r="CS197" s="36"/>
      <c r="CT197" s="36"/>
      <c r="CU197" s="36"/>
      <c r="CV197" s="36"/>
      <c r="CW197" s="51"/>
      <c r="CX197" s="36"/>
      <c r="CY197" s="36"/>
      <c r="CZ197" s="36"/>
      <c r="DA197" s="36"/>
      <c r="DB197" s="51"/>
      <c r="DC197" s="36"/>
      <c r="DD197" s="36"/>
      <c r="DE197" s="36"/>
      <c r="DF197" s="36"/>
      <c r="DG197" s="51"/>
      <c r="DH197" s="36"/>
      <c r="DI197" s="36"/>
      <c r="DJ197" s="36"/>
      <c r="DK197" s="36"/>
      <c r="DL197" s="51"/>
      <c r="DM197" s="51"/>
      <c r="DN197" s="51"/>
    </row>
    <row r="198" spans="1:118" ht="15.75" customHeight="1">
      <c r="A198" s="171"/>
      <c r="B198" s="51"/>
      <c r="C198" s="99"/>
      <c r="D198" s="101"/>
      <c r="E198" s="102"/>
      <c r="F198" s="51"/>
      <c r="G198" s="103"/>
      <c r="H198" s="103"/>
      <c r="I198" s="104"/>
      <c r="J198" s="101"/>
      <c r="K198" s="101"/>
      <c r="M198" s="51"/>
      <c r="N198" s="51"/>
      <c r="O198" s="51"/>
      <c r="P198" s="51"/>
      <c r="Q198" s="51"/>
      <c r="R198" s="36"/>
      <c r="S198" s="51"/>
      <c r="T198" s="59"/>
      <c r="U198" s="112"/>
      <c r="V198" s="39"/>
      <c r="W198" s="39"/>
      <c r="X198" s="40"/>
      <c r="Y198" s="39"/>
      <c r="Z198" s="41"/>
      <c r="AA198" s="41"/>
      <c r="AB198" s="51"/>
      <c r="AC198" s="51"/>
      <c r="AD198" s="51"/>
      <c r="AE198" s="51"/>
      <c r="AF198" s="51"/>
      <c r="AG198" s="51"/>
      <c r="AH198" s="51"/>
      <c r="AI198" s="106"/>
      <c r="AJ198" s="61"/>
      <c r="AK198" s="106"/>
      <c r="AL198" s="61"/>
      <c r="AM198" s="107"/>
      <c r="AN198" s="99"/>
      <c r="AO198" s="99"/>
      <c r="AP198" s="51"/>
      <c r="AQ198" s="51"/>
      <c r="AR198" s="51"/>
      <c r="AS198" s="101"/>
      <c r="AT198" s="101"/>
      <c r="AU198" s="51"/>
      <c r="AV198" s="51"/>
      <c r="AW198" s="51"/>
      <c r="AX198" s="51"/>
      <c r="AY198" s="106"/>
      <c r="AZ198" s="106"/>
      <c r="BA198" s="106"/>
      <c r="BB198" s="106"/>
      <c r="BC198" s="38"/>
      <c r="BD198" s="38"/>
      <c r="BE198" s="34"/>
      <c r="BF198" s="51"/>
      <c r="BG198" s="36"/>
      <c r="BH198" s="51"/>
      <c r="BI198" s="99"/>
      <c r="BJ198" s="99"/>
      <c r="BK198" s="51"/>
      <c r="BL198" s="51"/>
      <c r="BM198" s="51"/>
      <c r="BN198" s="51"/>
      <c r="BO198" s="99"/>
      <c r="BP198" s="99"/>
      <c r="BQ198" s="99"/>
      <c r="BR198" s="99"/>
      <c r="BS198" s="51"/>
      <c r="BT198" s="99"/>
      <c r="BU198" s="99"/>
      <c r="BV198" s="99"/>
      <c r="BW198" s="51"/>
      <c r="BX198" s="51"/>
      <c r="BY198" s="100"/>
      <c r="BZ198" s="100"/>
      <c r="CA198" s="36"/>
      <c r="CB198" s="36"/>
      <c r="CC198" s="51"/>
      <c r="CD198" s="36"/>
      <c r="CE198" s="36"/>
      <c r="CF198" s="36"/>
      <c r="CG198" s="36"/>
      <c r="CH198" s="51"/>
      <c r="CI198" s="36"/>
      <c r="CJ198" s="36"/>
      <c r="CK198" s="36"/>
      <c r="CL198" s="36"/>
      <c r="CM198" s="51"/>
      <c r="CN198" s="36"/>
      <c r="CO198" s="36"/>
      <c r="CP198" s="36"/>
      <c r="CQ198" s="36"/>
      <c r="CR198" s="51"/>
      <c r="CS198" s="36"/>
      <c r="CT198" s="36"/>
      <c r="CU198" s="36"/>
      <c r="CV198" s="36"/>
      <c r="CW198" s="51"/>
      <c r="CX198" s="36"/>
      <c r="CY198" s="36"/>
      <c r="CZ198" s="36"/>
      <c r="DA198" s="36"/>
      <c r="DB198" s="51"/>
      <c r="DC198" s="36"/>
      <c r="DD198" s="36"/>
      <c r="DE198" s="36"/>
      <c r="DF198" s="36"/>
      <c r="DG198" s="51"/>
      <c r="DH198" s="36"/>
      <c r="DI198" s="36"/>
      <c r="DJ198" s="36"/>
      <c r="DK198" s="36"/>
      <c r="DL198" s="51"/>
      <c r="DM198" s="51"/>
      <c r="DN198" s="51"/>
    </row>
    <row r="199" spans="1:118" ht="15.75" customHeight="1">
      <c r="A199" s="171"/>
      <c r="B199" s="51"/>
      <c r="C199" s="99"/>
      <c r="D199" s="101"/>
      <c r="E199" s="102"/>
      <c r="F199" s="51"/>
      <c r="G199" s="103"/>
      <c r="H199" s="103"/>
      <c r="I199" s="104"/>
      <c r="J199" s="101"/>
      <c r="K199" s="101"/>
      <c r="M199" s="51"/>
      <c r="N199" s="51"/>
      <c r="O199" s="51"/>
      <c r="P199" s="51"/>
      <c r="Q199" s="51"/>
      <c r="R199" s="36"/>
      <c r="S199" s="51"/>
      <c r="T199" s="59"/>
      <c r="U199" s="112"/>
      <c r="V199" s="39"/>
      <c r="W199" s="39"/>
      <c r="X199" s="40"/>
      <c r="Y199" s="39"/>
      <c r="Z199" s="41"/>
      <c r="AA199" s="41"/>
      <c r="AB199" s="51"/>
      <c r="AC199" s="51"/>
      <c r="AD199" s="51"/>
      <c r="AE199" s="51"/>
      <c r="AF199" s="51"/>
      <c r="AG199" s="51"/>
      <c r="AH199" s="51"/>
      <c r="AI199" s="106"/>
      <c r="AJ199" s="61"/>
      <c r="AK199" s="106"/>
      <c r="AL199" s="61"/>
      <c r="AM199" s="107"/>
      <c r="AN199" s="99"/>
      <c r="AO199" s="99"/>
      <c r="AP199" s="51"/>
      <c r="AQ199" s="51"/>
      <c r="AR199" s="51"/>
      <c r="AS199" s="101"/>
      <c r="AT199" s="101"/>
      <c r="AU199" s="51"/>
      <c r="AV199" s="51"/>
      <c r="AW199" s="51"/>
      <c r="AX199" s="51"/>
      <c r="AY199" s="106"/>
      <c r="AZ199" s="106"/>
      <c r="BA199" s="106"/>
      <c r="BB199" s="106"/>
      <c r="BC199" s="38"/>
      <c r="BD199" s="38"/>
      <c r="BE199" s="34"/>
      <c r="BF199" s="51"/>
      <c r="BG199" s="36"/>
      <c r="BH199" s="51"/>
      <c r="BI199" s="99"/>
      <c r="BJ199" s="99"/>
      <c r="BK199" s="51"/>
      <c r="BL199" s="51"/>
      <c r="BM199" s="51"/>
      <c r="BN199" s="51"/>
      <c r="BO199" s="99"/>
      <c r="BP199" s="99"/>
      <c r="BQ199" s="99"/>
      <c r="BR199" s="99"/>
      <c r="BS199" s="51"/>
      <c r="BT199" s="99"/>
      <c r="BU199" s="99"/>
      <c r="BV199" s="99"/>
      <c r="BW199" s="51"/>
      <c r="BX199" s="51"/>
      <c r="BY199" s="100"/>
      <c r="BZ199" s="100"/>
      <c r="CA199" s="36"/>
      <c r="CB199" s="36"/>
      <c r="CC199" s="51"/>
      <c r="CD199" s="36"/>
      <c r="CE199" s="36"/>
      <c r="CF199" s="36"/>
      <c r="CG199" s="36"/>
      <c r="CH199" s="51"/>
      <c r="CI199" s="36"/>
      <c r="CJ199" s="36"/>
      <c r="CK199" s="36"/>
      <c r="CL199" s="36"/>
      <c r="CM199" s="51"/>
      <c r="CN199" s="36"/>
      <c r="CO199" s="36"/>
      <c r="CP199" s="36"/>
      <c r="CQ199" s="36"/>
      <c r="CR199" s="51"/>
      <c r="CS199" s="36"/>
      <c r="CT199" s="36"/>
      <c r="CU199" s="36"/>
      <c r="CV199" s="36"/>
      <c r="CW199" s="51"/>
      <c r="CX199" s="36"/>
      <c r="CY199" s="36"/>
      <c r="CZ199" s="36"/>
      <c r="DA199" s="36"/>
      <c r="DB199" s="51"/>
      <c r="DC199" s="36"/>
      <c r="DD199" s="36"/>
      <c r="DE199" s="36"/>
      <c r="DF199" s="36"/>
      <c r="DG199" s="51"/>
      <c r="DH199" s="36"/>
      <c r="DI199" s="36"/>
      <c r="DJ199" s="36"/>
      <c r="DK199" s="36"/>
      <c r="DL199" s="51"/>
      <c r="DM199" s="51"/>
      <c r="DN199" s="51"/>
    </row>
    <row r="200" spans="1:118" ht="15.75" customHeight="1">
      <c r="A200" s="171"/>
      <c r="B200" s="51"/>
      <c r="C200" s="99"/>
      <c r="D200" s="101"/>
      <c r="E200" s="102"/>
      <c r="F200" s="51"/>
      <c r="G200" s="103"/>
      <c r="H200" s="103"/>
      <c r="I200" s="104"/>
      <c r="J200" s="101"/>
      <c r="K200" s="101"/>
      <c r="M200" s="51"/>
      <c r="N200" s="51"/>
      <c r="O200" s="51"/>
      <c r="P200" s="51"/>
      <c r="Q200" s="51"/>
      <c r="R200" s="36"/>
      <c r="S200" s="51"/>
      <c r="T200" s="59"/>
      <c r="U200" s="112"/>
      <c r="V200" s="39"/>
      <c r="W200" s="39"/>
      <c r="X200" s="40"/>
      <c r="Y200" s="39"/>
      <c r="Z200" s="41"/>
      <c r="AA200" s="41"/>
      <c r="AB200" s="51"/>
      <c r="AC200" s="51"/>
      <c r="AD200" s="51"/>
      <c r="AE200" s="51"/>
      <c r="AF200" s="51"/>
      <c r="AG200" s="51"/>
      <c r="AH200" s="51"/>
      <c r="AI200" s="106"/>
      <c r="AJ200" s="61"/>
      <c r="AK200" s="106"/>
      <c r="AL200" s="61"/>
      <c r="AM200" s="107"/>
      <c r="AN200" s="99"/>
      <c r="AO200" s="99"/>
      <c r="AP200" s="51"/>
      <c r="AQ200" s="51"/>
      <c r="AR200" s="51"/>
      <c r="AS200" s="101"/>
      <c r="AT200" s="101"/>
      <c r="AU200" s="51"/>
      <c r="AV200" s="51"/>
      <c r="AW200" s="51"/>
      <c r="AX200" s="51"/>
      <c r="AY200" s="106"/>
      <c r="AZ200" s="106"/>
      <c r="BA200" s="106"/>
      <c r="BB200" s="106"/>
      <c r="BC200" s="38"/>
      <c r="BD200" s="38"/>
      <c r="BE200" s="34"/>
      <c r="BF200" s="51"/>
      <c r="BG200" s="36"/>
      <c r="BH200" s="51"/>
      <c r="BI200" s="99"/>
      <c r="BJ200" s="99"/>
      <c r="BK200" s="51"/>
      <c r="BL200" s="51"/>
      <c r="BM200" s="51"/>
      <c r="BN200" s="51"/>
      <c r="BO200" s="99"/>
      <c r="BP200" s="99"/>
      <c r="BQ200" s="99"/>
      <c r="BR200" s="99"/>
      <c r="BS200" s="51"/>
      <c r="BT200" s="99"/>
      <c r="BU200" s="99"/>
      <c r="BV200" s="99"/>
      <c r="BW200" s="51"/>
      <c r="BX200" s="51"/>
      <c r="BY200" s="100"/>
      <c r="BZ200" s="100"/>
      <c r="CA200" s="36"/>
      <c r="CB200" s="36"/>
      <c r="CC200" s="51"/>
      <c r="CD200" s="36"/>
      <c r="CE200" s="36"/>
      <c r="CF200" s="36"/>
      <c r="CG200" s="36"/>
      <c r="CH200" s="51"/>
      <c r="CI200" s="36"/>
      <c r="CJ200" s="36"/>
      <c r="CK200" s="36"/>
      <c r="CL200" s="36"/>
      <c r="CM200" s="51"/>
      <c r="CN200" s="36"/>
      <c r="CO200" s="36"/>
      <c r="CP200" s="36"/>
      <c r="CQ200" s="36"/>
      <c r="CR200" s="51"/>
      <c r="CS200" s="36"/>
      <c r="CT200" s="36"/>
      <c r="CU200" s="36"/>
      <c r="CV200" s="36"/>
      <c r="CW200" s="51"/>
      <c r="CX200" s="36"/>
      <c r="CY200" s="36"/>
      <c r="CZ200" s="36"/>
      <c r="DA200" s="36"/>
      <c r="DB200" s="51"/>
      <c r="DC200" s="36"/>
      <c r="DD200" s="36"/>
      <c r="DE200" s="36"/>
      <c r="DF200" s="36"/>
      <c r="DG200" s="51"/>
      <c r="DH200" s="36"/>
      <c r="DI200" s="36"/>
      <c r="DJ200" s="36"/>
      <c r="DK200" s="36"/>
      <c r="DL200" s="51"/>
      <c r="DM200" s="51"/>
      <c r="DN200" s="51"/>
    </row>
    <row r="201" spans="1:118" ht="15.75" customHeight="1">
      <c r="A201" s="171"/>
      <c r="B201" s="51"/>
      <c r="C201" s="99"/>
      <c r="D201" s="101"/>
      <c r="E201" s="102"/>
      <c r="F201" s="51"/>
      <c r="G201" s="103"/>
      <c r="H201" s="103"/>
      <c r="I201" s="104"/>
      <c r="J201" s="101"/>
      <c r="K201" s="101"/>
      <c r="M201" s="51"/>
      <c r="N201" s="51"/>
      <c r="O201" s="51"/>
      <c r="P201" s="51"/>
      <c r="Q201" s="51"/>
      <c r="R201" s="36"/>
      <c r="S201" s="51"/>
      <c r="T201" s="59"/>
      <c r="U201" s="112"/>
      <c r="V201" s="39"/>
      <c r="W201" s="39"/>
      <c r="X201" s="40"/>
      <c r="Y201" s="39"/>
      <c r="Z201" s="41"/>
      <c r="AA201" s="41"/>
      <c r="AB201" s="51"/>
      <c r="AC201" s="51"/>
      <c r="AD201" s="51"/>
      <c r="AE201" s="51"/>
      <c r="AF201" s="51"/>
      <c r="AG201" s="51"/>
      <c r="AH201" s="51"/>
      <c r="AI201" s="106"/>
      <c r="AJ201" s="61"/>
      <c r="AK201" s="106"/>
      <c r="AL201" s="61"/>
      <c r="AM201" s="107"/>
      <c r="AN201" s="99"/>
      <c r="AO201" s="99"/>
      <c r="AP201" s="51"/>
      <c r="AQ201" s="51"/>
      <c r="AR201" s="51"/>
      <c r="AS201" s="101"/>
      <c r="AT201" s="101"/>
      <c r="AU201" s="51"/>
      <c r="AV201" s="51"/>
      <c r="AW201" s="51"/>
      <c r="AX201" s="51"/>
      <c r="AY201" s="106"/>
      <c r="AZ201" s="106"/>
      <c r="BA201" s="106"/>
      <c r="BB201" s="106"/>
      <c r="BC201" s="38"/>
      <c r="BD201" s="38"/>
      <c r="BE201" s="34"/>
      <c r="BF201" s="51"/>
      <c r="BG201" s="36"/>
      <c r="BH201" s="51"/>
      <c r="BI201" s="99"/>
      <c r="BJ201" s="99"/>
      <c r="BK201" s="51"/>
      <c r="BL201" s="51"/>
      <c r="BM201" s="51"/>
      <c r="BN201" s="51"/>
      <c r="BO201" s="99"/>
      <c r="BP201" s="99"/>
      <c r="BQ201" s="99"/>
      <c r="BR201" s="99"/>
      <c r="BS201" s="51"/>
      <c r="BT201" s="99"/>
      <c r="BU201" s="99"/>
      <c r="BV201" s="99"/>
      <c r="BW201" s="51"/>
      <c r="BX201" s="51"/>
      <c r="BY201" s="100"/>
      <c r="BZ201" s="100"/>
      <c r="CA201" s="36"/>
      <c r="CB201" s="36"/>
      <c r="CC201" s="51"/>
      <c r="CD201" s="36"/>
      <c r="CE201" s="36"/>
      <c r="CF201" s="36"/>
      <c r="CG201" s="36"/>
      <c r="CH201" s="51"/>
      <c r="CI201" s="36"/>
      <c r="CJ201" s="36"/>
      <c r="CK201" s="36"/>
      <c r="CL201" s="36"/>
      <c r="CM201" s="51"/>
      <c r="CN201" s="36"/>
      <c r="CO201" s="36"/>
      <c r="CP201" s="36"/>
      <c r="CQ201" s="36"/>
      <c r="CR201" s="51"/>
      <c r="CS201" s="36"/>
      <c r="CT201" s="36"/>
      <c r="CU201" s="36"/>
      <c r="CV201" s="36"/>
      <c r="CW201" s="51"/>
      <c r="CX201" s="36"/>
      <c r="CY201" s="36"/>
      <c r="CZ201" s="36"/>
      <c r="DA201" s="36"/>
      <c r="DB201" s="51"/>
      <c r="DC201" s="36"/>
      <c r="DD201" s="36"/>
      <c r="DE201" s="36"/>
      <c r="DF201" s="36"/>
      <c r="DG201" s="51"/>
      <c r="DH201" s="36"/>
      <c r="DI201" s="36"/>
      <c r="DJ201" s="36"/>
      <c r="DK201" s="36"/>
      <c r="DL201" s="51"/>
      <c r="DM201" s="51"/>
      <c r="DN201" s="51"/>
    </row>
    <row r="202" spans="1:118" ht="15.75" customHeight="1">
      <c r="A202" s="171"/>
      <c r="B202" s="51"/>
      <c r="C202" s="99"/>
      <c r="D202" s="101"/>
      <c r="E202" s="102"/>
      <c r="F202" s="51"/>
      <c r="G202" s="103"/>
      <c r="H202" s="103"/>
      <c r="I202" s="104"/>
      <c r="J202" s="101"/>
      <c r="K202" s="101"/>
      <c r="M202" s="51"/>
      <c r="N202" s="51"/>
      <c r="O202" s="51"/>
      <c r="P202" s="51"/>
      <c r="Q202" s="51"/>
      <c r="R202" s="36"/>
      <c r="S202" s="51"/>
      <c r="T202" s="59"/>
      <c r="U202" s="112"/>
      <c r="V202" s="39"/>
      <c r="W202" s="39"/>
      <c r="X202" s="40"/>
      <c r="Y202" s="39"/>
      <c r="Z202" s="41"/>
      <c r="AA202" s="41"/>
      <c r="AB202" s="51"/>
      <c r="AC202" s="51"/>
      <c r="AD202" s="51"/>
      <c r="AE202" s="51"/>
      <c r="AF202" s="51"/>
      <c r="AG202" s="51"/>
      <c r="AH202" s="51"/>
      <c r="AI202" s="106"/>
      <c r="AJ202" s="61"/>
      <c r="AK202" s="106"/>
      <c r="AL202" s="61"/>
      <c r="AM202" s="107"/>
      <c r="AN202" s="99"/>
      <c r="AO202" s="99"/>
      <c r="AP202" s="51"/>
      <c r="AQ202" s="51"/>
      <c r="AR202" s="51"/>
      <c r="AS202" s="101"/>
      <c r="AT202" s="101"/>
      <c r="AU202" s="51"/>
      <c r="AV202" s="51"/>
      <c r="AW202" s="51"/>
      <c r="AX202" s="51"/>
      <c r="AY202" s="106"/>
      <c r="AZ202" s="106"/>
      <c r="BA202" s="106"/>
      <c r="BB202" s="106"/>
      <c r="BC202" s="38"/>
      <c r="BD202" s="38"/>
      <c r="BE202" s="34"/>
      <c r="BF202" s="51"/>
      <c r="BG202" s="36"/>
      <c r="BH202" s="51"/>
      <c r="BI202" s="99"/>
      <c r="BJ202" s="99"/>
      <c r="BK202" s="51"/>
      <c r="BL202" s="51"/>
      <c r="BM202" s="51"/>
      <c r="BN202" s="51"/>
      <c r="BO202" s="99"/>
      <c r="BP202" s="99"/>
      <c r="BQ202" s="99"/>
      <c r="BR202" s="99"/>
      <c r="BS202" s="51"/>
      <c r="BT202" s="99"/>
      <c r="BU202" s="99"/>
      <c r="BV202" s="99"/>
      <c r="BW202" s="51"/>
      <c r="BX202" s="51"/>
      <c r="BY202" s="100"/>
      <c r="BZ202" s="100"/>
      <c r="CA202" s="36"/>
      <c r="CB202" s="36"/>
      <c r="CC202" s="51"/>
      <c r="CD202" s="36"/>
      <c r="CE202" s="36"/>
      <c r="CF202" s="36"/>
      <c r="CG202" s="36"/>
      <c r="CH202" s="51"/>
      <c r="CI202" s="36"/>
      <c r="CJ202" s="36"/>
      <c r="CK202" s="36"/>
      <c r="CL202" s="36"/>
      <c r="CM202" s="51"/>
      <c r="CN202" s="36"/>
      <c r="CO202" s="36"/>
      <c r="CP202" s="36"/>
      <c r="CQ202" s="36"/>
      <c r="CR202" s="51"/>
      <c r="CS202" s="36"/>
      <c r="CT202" s="36"/>
      <c r="CU202" s="36"/>
      <c r="CV202" s="36"/>
      <c r="CW202" s="51"/>
      <c r="CX202" s="36"/>
      <c r="CY202" s="36"/>
      <c r="CZ202" s="36"/>
      <c r="DA202" s="36"/>
      <c r="DB202" s="51"/>
      <c r="DC202" s="36"/>
      <c r="DD202" s="36"/>
      <c r="DE202" s="36"/>
      <c r="DF202" s="36"/>
      <c r="DG202" s="51"/>
      <c r="DH202" s="36"/>
      <c r="DI202" s="36"/>
      <c r="DJ202" s="36"/>
      <c r="DK202" s="36"/>
      <c r="DL202" s="51"/>
      <c r="DM202" s="51"/>
      <c r="DN202" s="51"/>
    </row>
    <row r="203" spans="1:118" ht="15.75" customHeight="1">
      <c r="A203" s="171"/>
      <c r="B203" s="51"/>
      <c r="C203" s="99"/>
      <c r="D203" s="101"/>
      <c r="E203" s="102"/>
      <c r="F203" s="51"/>
      <c r="G203" s="103"/>
      <c r="H203" s="103"/>
      <c r="I203" s="104"/>
      <c r="J203" s="101"/>
      <c r="K203" s="101"/>
      <c r="M203" s="51"/>
      <c r="N203" s="51"/>
      <c r="O203" s="51"/>
      <c r="P203" s="51"/>
      <c r="Q203" s="51"/>
      <c r="R203" s="36"/>
      <c r="S203" s="51"/>
      <c r="T203" s="59"/>
      <c r="U203" s="112"/>
      <c r="V203" s="39"/>
      <c r="W203" s="39"/>
      <c r="X203" s="40"/>
      <c r="Y203" s="39"/>
      <c r="Z203" s="41"/>
      <c r="AA203" s="41"/>
      <c r="AB203" s="51"/>
      <c r="AC203" s="51"/>
      <c r="AD203" s="51"/>
      <c r="AE203" s="51"/>
      <c r="AF203" s="51"/>
      <c r="AG203" s="51"/>
      <c r="AH203" s="51"/>
      <c r="AI203" s="106"/>
      <c r="AJ203" s="61"/>
      <c r="AK203" s="106"/>
      <c r="AL203" s="61"/>
      <c r="AM203" s="107"/>
      <c r="AN203" s="99"/>
      <c r="AO203" s="99"/>
      <c r="AP203" s="51"/>
      <c r="AQ203" s="51"/>
      <c r="AR203" s="51"/>
      <c r="AS203" s="101"/>
      <c r="AT203" s="101"/>
      <c r="AU203" s="51"/>
      <c r="AV203" s="51"/>
      <c r="AW203" s="51"/>
      <c r="AX203" s="51"/>
      <c r="AY203" s="106"/>
      <c r="AZ203" s="106"/>
      <c r="BA203" s="106"/>
      <c r="BB203" s="106"/>
      <c r="BC203" s="38"/>
      <c r="BD203" s="38"/>
      <c r="BE203" s="34"/>
      <c r="BF203" s="51"/>
      <c r="BG203" s="36"/>
      <c r="BH203" s="51"/>
      <c r="BI203" s="99"/>
      <c r="BJ203" s="99"/>
      <c r="BK203" s="51"/>
      <c r="BL203" s="51"/>
      <c r="BM203" s="51"/>
      <c r="BN203" s="51"/>
      <c r="BO203" s="99"/>
      <c r="BP203" s="99"/>
      <c r="BQ203" s="99"/>
      <c r="BR203" s="99"/>
      <c r="BS203" s="51"/>
      <c r="BT203" s="99"/>
      <c r="BU203" s="99"/>
      <c r="BV203" s="99"/>
      <c r="BW203" s="51"/>
      <c r="BX203" s="51"/>
      <c r="BY203" s="100"/>
      <c r="BZ203" s="100"/>
      <c r="CA203" s="36"/>
      <c r="CB203" s="36"/>
      <c r="CC203" s="51"/>
      <c r="CD203" s="36"/>
      <c r="CE203" s="36"/>
      <c r="CF203" s="36"/>
      <c r="CG203" s="36"/>
      <c r="CH203" s="51"/>
      <c r="CI203" s="36"/>
      <c r="CJ203" s="36"/>
      <c r="CK203" s="36"/>
      <c r="CL203" s="36"/>
      <c r="CM203" s="51"/>
      <c r="CN203" s="36"/>
      <c r="CO203" s="36"/>
      <c r="CP203" s="36"/>
      <c r="CQ203" s="36"/>
      <c r="CR203" s="51"/>
      <c r="CS203" s="36"/>
      <c r="CT203" s="36"/>
      <c r="CU203" s="36"/>
      <c r="CV203" s="36"/>
      <c r="CW203" s="51"/>
      <c r="CX203" s="36"/>
      <c r="CY203" s="36"/>
      <c r="CZ203" s="36"/>
      <c r="DA203" s="36"/>
      <c r="DB203" s="51"/>
      <c r="DC203" s="36"/>
      <c r="DD203" s="36"/>
      <c r="DE203" s="36"/>
      <c r="DF203" s="36"/>
      <c r="DG203" s="51"/>
      <c r="DH203" s="36"/>
      <c r="DI203" s="36"/>
      <c r="DJ203" s="36"/>
      <c r="DK203" s="36"/>
      <c r="DL203" s="51"/>
      <c r="DM203" s="51"/>
      <c r="DN203" s="51"/>
    </row>
    <row r="204" spans="1:118" ht="15.75" customHeight="1">
      <c r="A204" s="171"/>
      <c r="B204" s="51"/>
      <c r="C204" s="99"/>
      <c r="D204" s="101"/>
      <c r="E204" s="102"/>
      <c r="F204" s="51"/>
      <c r="G204" s="103"/>
      <c r="H204" s="103"/>
      <c r="I204" s="104"/>
      <c r="J204" s="101"/>
      <c r="K204" s="101"/>
      <c r="M204" s="51"/>
      <c r="N204" s="51"/>
      <c r="O204" s="51"/>
      <c r="P204" s="51"/>
      <c r="Q204" s="51"/>
      <c r="R204" s="36"/>
      <c r="S204" s="51"/>
      <c r="T204" s="59"/>
      <c r="U204" s="112"/>
      <c r="V204" s="39"/>
      <c r="W204" s="39"/>
      <c r="X204" s="40"/>
      <c r="Y204" s="39"/>
      <c r="Z204" s="41"/>
      <c r="AA204" s="41"/>
      <c r="AB204" s="51"/>
      <c r="AC204" s="51"/>
      <c r="AD204" s="51"/>
      <c r="AE204" s="51"/>
      <c r="AF204" s="51"/>
      <c r="AG204" s="51"/>
      <c r="AH204" s="51"/>
      <c r="AI204" s="106"/>
      <c r="AJ204" s="61"/>
      <c r="AK204" s="106"/>
      <c r="AL204" s="61"/>
      <c r="AM204" s="107"/>
      <c r="AN204" s="99"/>
      <c r="AO204" s="99"/>
      <c r="AP204" s="51"/>
      <c r="AQ204" s="51"/>
      <c r="AR204" s="51"/>
      <c r="AS204" s="101"/>
      <c r="AT204" s="101"/>
      <c r="AU204" s="51"/>
      <c r="AV204" s="51"/>
      <c r="AW204" s="51"/>
      <c r="AX204" s="51"/>
      <c r="AY204" s="106"/>
      <c r="AZ204" s="106"/>
      <c r="BA204" s="106"/>
      <c r="BB204" s="106"/>
      <c r="BC204" s="38"/>
      <c r="BD204" s="38"/>
      <c r="BE204" s="34"/>
      <c r="BF204" s="51"/>
      <c r="BG204" s="36"/>
      <c r="BH204" s="51"/>
      <c r="BI204" s="99"/>
      <c r="BJ204" s="99"/>
      <c r="BK204" s="51"/>
      <c r="BL204" s="51"/>
      <c r="BM204" s="51"/>
      <c r="BN204" s="51"/>
      <c r="BO204" s="99"/>
      <c r="BP204" s="99"/>
      <c r="BQ204" s="99"/>
      <c r="BR204" s="99"/>
      <c r="BS204" s="51"/>
      <c r="BT204" s="99"/>
      <c r="BU204" s="99"/>
      <c r="BV204" s="99"/>
      <c r="BW204" s="51"/>
      <c r="BX204" s="51"/>
      <c r="BY204" s="100"/>
      <c r="BZ204" s="100"/>
      <c r="CA204" s="36"/>
      <c r="CB204" s="36"/>
      <c r="CC204" s="51"/>
      <c r="CD204" s="36"/>
      <c r="CE204" s="36"/>
      <c r="CF204" s="36"/>
      <c r="CG204" s="36"/>
      <c r="CH204" s="51"/>
      <c r="CI204" s="36"/>
      <c r="CJ204" s="36"/>
      <c r="CK204" s="36"/>
      <c r="CL204" s="36"/>
      <c r="CM204" s="51"/>
      <c r="CN204" s="36"/>
      <c r="CO204" s="36"/>
      <c r="CP204" s="36"/>
      <c r="CQ204" s="36"/>
      <c r="CR204" s="51"/>
      <c r="CS204" s="36"/>
      <c r="CT204" s="36"/>
      <c r="CU204" s="36"/>
      <c r="CV204" s="36"/>
      <c r="CW204" s="51"/>
      <c r="CX204" s="36"/>
      <c r="CY204" s="36"/>
      <c r="CZ204" s="36"/>
      <c r="DA204" s="36"/>
      <c r="DB204" s="51"/>
      <c r="DC204" s="36"/>
      <c r="DD204" s="36"/>
      <c r="DE204" s="36"/>
      <c r="DF204" s="36"/>
      <c r="DG204" s="51"/>
      <c r="DH204" s="36"/>
      <c r="DI204" s="36"/>
      <c r="DJ204" s="36"/>
      <c r="DK204" s="36"/>
      <c r="DL204" s="51"/>
      <c r="DM204" s="51"/>
      <c r="DN204" s="51"/>
    </row>
    <row r="205" spans="1:118" ht="15.75" customHeight="1">
      <c r="A205" s="171"/>
      <c r="B205" s="51"/>
      <c r="C205" s="99"/>
      <c r="D205" s="101"/>
      <c r="E205" s="102"/>
      <c r="F205" s="51"/>
      <c r="G205" s="103"/>
      <c r="H205" s="103"/>
      <c r="I205" s="104"/>
      <c r="J205" s="101"/>
      <c r="K205" s="101"/>
      <c r="M205" s="51"/>
      <c r="N205" s="51"/>
      <c r="O205" s="51"/>
      <c r="P205" s="51"/>
      <c r="Q205" s="51"/>
      <c r="R205" s="36"/>
      <c r="S205" s="51"/>
      <c r="T205" s="59"/>
      <c r="U205" s="112"/>
      <c r="V205" s="39"/>
      <c r="W205" s="39"/>
      <c r="X205" s="40"/>
      <c r="Y205" s="39"/>
      <c r="Z205" s="41"/>
      <c r="AA205" s="41"/>
      <c r="AB205" s="51"/>
      <c r="AC205" s="51"/>
      <c r="AD205" s="51"/>
      <c r="AE205" s="51"/>
      <c r="AF205" s="51"/>
      <c r="AG205" s="51"/>
      <c r="AH205" s="51"/>
      <c r="AI205" s="106"/>
      <c r="AJ205" s="61"/>
      <c r="AK205" s="106"/>
      <c r="AL205" s="61"/>
      <c r="AM205" s="107"/>
      <c r="AN205" s="99"/>
      <c r="AO205" s="99"/>
      <c r="AP205" s="51"/>
      <c r="AQ205" s="51"/>
      <c r="AR205" s="51"/>
      <c r="AS205" s="101"/>
      <c r="AT205" s="101"/>
      <c r="AU205" s="51"/>
      <c r="AV205" s="51"/>
      <c r="AW205" s="51"/>
      <c r="AX205" s="51"/>
      <c r="AY205" s="106"/>
      <c r="AZ205" s="106"/>
      <c r="BA205" s="106"/>
      <c r="BB205" s="106"/>
      <c r="BC205" s="38"/>
      <c r="BD205" s="38"/>
      <c r="BE205" s="34"/>
      <c r="BF205" s="51"/>
      <c r="BG205" s="36"/>
      <c r="BH205" s="51"/>
      <c r="BI205" s="99"/>
      <c r="BJ205" s="99"/>
      <c r="BK205" s="51"/>
      <c r="BL205" s="51"/>
      <c r="BM205" s="51"/>
      <c r="BN205" s="51"/>
      <c r="BO205" s="99"/>
      <c r="BP205" s="99"/>
      <c r="BQ205" s="99"/>
      <c r="BR205" s="99"/>
      <c r="BS205" s="51"/>
      <c r="BT205" s="99"/>
      <c r="BU205" s="99"/>
      <c r="BV205" s="99"/>
      <c r="BW205" s="51"/>
      <c r="BX205" s="51"/>
      <c r="BY205" s="100"/>
      <c r="BZ205" s="100"/>
      <c r="CA205" s="36"/>
      <c r="CB205" s="36"/>
      <c r="CC205" s="51"/>
      <c r="CD205" s="36"/>
      <c r="CE205" s="36"/>
      <c r="CF205" s="36"/>
      <c r="CG205" s="36"/>
      <c r="CH205" s="51"/>
      <c r="CI205" s="36"/>
      <c r="CJ205" s="36"/>
      <c r="CK205" s="36"/>
      <c r="CL205" s="36"/>
      <c r="CM205" s="51"/>
      <c r="CN205" s="36"/>
      <c r="CO205" s="36"/>
      <c r="CP205" s="36"/>
      <c r="CQ205" s="36"/>
      <c r="CR205" s="51"/>
      <c r="CS205" s="36"/>
      <c r="CT205" s="36"/>
      <c r="CU205" s="36"/>
      <c r="CV205" s="36"/>
      <c r="CW205" s="51"/>
      <c r="CX205" s="36"/>
      <c r="CY205" s="36"/>
      <c r="CZ205" s="36"/>
      <c r="DA205" s="36"/>
      <c r="DB205" s="51"/>
      <c r="DC205" s="36"/>
      <c r="DD205" s="36"/>
      <c r="DE205" s="36"/>
      <c r="DF205" s="36"/>
      <c r="DG205" s="51"/>
      <c r="DH205" s="36"/>
      <c r="DI205" s="36"/>
      <c r="DJ205" s="36"/>
      <c r="DK205" s="36"/>
      <c r="DL205" s="51"/>
      <c r="DM205" s="51"/>
      <c r="DN205" s="51"/>
    </row>
    <row r="206" spans="1:118" ht="15.75" customHeight="1">
      <c r="A206" s="171"/>
      <c r="B206" s="51"/>
      <c r="C206" s="99"/>
      <c r="D206" s="101"/>
      <c r="E206" s="102"/>
      <c r="F206" s="51"/>
      <c r="G206" s="103"/>
      <c r="H206" s="103"/>
      <c r="I206" s="104"/>
      <c r="J206" s="101"/>
      <c r="K206" s="101"/>
      <c r="M206" s="51"/>
      <c r="N206" s="51"/>
      <c r="O206" s="51"/>
      <c r="P206" s="51"/>
      <c r="Q206" s="51"/>
      <c r="R206" s="36"/>
      <c r="S206" s="51"/>
      <c r="T206" s="59"/>
      <c r="U206" s="112"/>
      <c r="V206" s="39"/>
      <c r="W206" s="39"/>
      <c r="X206" s="40"/>
      <c r="Y206" s="39"/>
      <c r="Z206" s="41"/>
      <c r="AA206" s="41"/>
      <c r="AB206" s="51"/>
      <c r="AC206" s="51"/>
      <c r="AD206" s="51"/>
      <c r="AE206" s="51"/>
      <c r="AF206" s="51"/>
      <c r="AG206" s="51"/>
      <c r="AH206" s="51"/>
      <c r="AI206" s="106"/>
      <c r="AJ206" s="61"/>
      <c r="AK206" s="106"/>
      <c r="AL206" s="61"/>
      <c r="AM206" s="107"/>
      <c r="AN206" s="99"/>
      <c r="AO206" s="99"/>
      <c r="AP206" s="51"/>
      <c r="AQ206" s="51"/>
      <c r="AR206" s="51"/>
      <c r="AS206" s="101"/>
      <c r="AT206" s="101"/>
      <c r="AU206" s="51"/>
      <c r="AV206" s="51"/>
      <c r="AW206" s="51"/>
      <c r="AX206" s="51"/>
      <c r="AY206" s="106"/>
      <c r="AZ206" s="106"/>
      <c r="BA206" s="106"/>
      <c r="BB206" s="106"/>
      <c r="BC206" s="38"/>
      <c r="BD206" s="38"/>
      <c r="BE206" s="34"/>
      <c r="BF206" s="51"/>
      <c r="BG206" s="36"/>
      <c r="BH206" s="51"/>
      <c r="BI206" s="99"/>
      <c r="BJ206" s="99"/>
      <c r="BK206" s="51"/>
      <c r="BL206" s="51"/>
      <c r="BM206" s="51"/>
      <c r="BN206" s="51"/>
      <c r="BO206" s="99"/>
      <c r="BP206" s="99"/>
      <c r="BQ206" s="99"/>
      <c r="BR206" s="99"/>
      <c r="BS206" s="51"/>
      <c r="BT206" s="99"/>
      <c r="BU206" s="99"/>
      <c r="BV206" s="99"/>
      <c r="BW206" s="51"/>
      <c r="BX206" s="51"/>
      <c r="BY206" s="100"/>
      <c r="BZ206" s="100"/>
      <c r="CA206" s="36"/>
      <c r="CB206" s="36"/>
      <c r="CC206" s="51"/>
      <c r="CD206" s="36"/>
      <c r="CE206" s="36"/>
      <c r="CF206" s="36"/>
      <c r="CG206" s="36"/>
      <c r="CH206" s="51"/>
      <c r="CI206" s="36"/>
      <c r="CJ206" s="36"/>
      <c r="CK206" s="36"/>
      <c r="CL206" s="36"/>
      <c r="CM206" s="51"/>
      <c r="CN206" s="36"/>
      <c r="CO206" s="36"/>
      <c r="CP206" s="36"/>
      <c r="CQ206" s="36"/>
      <c r="CR206" s="51"/>
      <c r="CS206" s="36"/>
      <c r="CT206" s="36"/>
      <c r="CU206" s="36"/>
      <c r="CV206" s="36"/>
      <c r="CW206" s="51"/>
      <c r="CX206" s="36"/>
      <c r="CY206" s="36"/>
      <c r="CZ206" s="36"/>
      <c r="DA206" s="36"/>
      <c r="DB206" s="51"/>
      <c r="DC206" s="36"/>
      <c r="DD206" s="36"/>
      <c r="DE206" s="36"/>
      <c r="DF206" s="36"/>
      <c r="DG206" s="51"/>
      <c r="DH206" s="36"/>
      <c r="DI206" s="36"/>
      <c r="DJ206" s="36"/>
      <c r="DK206" s="36"/>
      <c r="DL206" s="51"/>
      <c r="DM206" s="51"/>
      <c r="DN206" s="51"/>
    </row>
    <row r="207" spans="1:118" ht="15.75" customHeight="1">
      <c r="A207" s="171"/>
      <c r="B207" s="51"/>
      <c r="C207" s="99"/>
      <c r="D207" s="101"/>
      <c r="E207" s="102"/>
      <c r="F207" s="51"/>
      <c r="G207" s="103"/>
      <c r="H207" s="103"/>
      <c r="I207" s="104"/>
      <c r="J207" s="101"/>
      <c r="K207" s="101"/>
      <c r="M207" s="51"/>
      <c r="N207" s="51"/>
      <c r="O207" s="51"/>
      <c r="P207" s="51"/>
      <c r="Q207" s="51"/>
      <c r="R207" s="36"/>
      <c r="S207" s="51"/>
      <c r="T207" s="59"/>
      <c r="U207" s="112"/>
      <c r="V207" s="39"/>
      <c r="W207" s="39"/>
      <c r="X207" s="40"/>
      <c r="Y207" s="39"/>
      <c r="Z207" s="41"/>
      <c r="AA207" s="41"/>
      <c r="AB207" s="51"/>
      <c r="AC207" s="51"/>
      <c r="AD207" s="51"/>
      <c r="AE207" s="51"/>
      <c r="AF207" s="51"/>
      <c r="AG207" s="51"/>
      <c r="AH207" s="51"/>
      <c r="AI207" s="106"/>
      <c r="AJ207" s="61"/>
      <c r="AK207" s="106"/>
      <c r="AL207" s="61"/>
      <c r="AM207" s="107"/>
      <c r="AN207" s="99"/>
      <c r="AO207" s="99"/>
      <c r="AP207" s="51"/>
      <c r="AQ207" s="51"/>
      <c r="AR207" s="51"/>
      <c r="AS207" s="101"/>
      <c r="AT207" s="101"/>
      <c r="AU207" s="51"/>
      <c r="AV207" s="51"/>
      <c r="AW207" s="51"/>
      <c r="AX207" s="51"/>
      <c r="AY207" s="106"/>
      <c r="AZ207" s="106"/>
      <c r="BA207" s="106"/>
      <c r="BB207" s="106"/>
      <c r="BC207" s="38"/>
      <c r="BD207" s="38"/>
      <c r="BE207" s="34"/>
      <c r="BF207" s="51"/>
      <c r="BG207" s="36"/>
      <c r="BH207" s="51"/>
      <c r="BI207" s="99"/>
      <c r="BJ207" s="99"/>
      <c r="BK207" s="51"/>
      <c r="BL207" s="51"/>
      <c r="BM207" s="51"/>
      <c r="BN207" s="51"/>
      <c r="BO207" s="99"/>
      <c r="BP207" s="99"/>
      <c r="BQ207" s="99"/>
      <c r="BR207" s="99"/>
      <c r="BS207" s="51"/>
      <c r="BT207" s="99"/>
      <c r="BU207" s="99"/>
      <c r="BV207" s="99"/>
      <c r="BW207" s="51"/>
      <c r="BX207" s="51"/>
      <c r="BY207" s="100"/>
      <c r="BZ207" s="100"/>
      <c r="CA207" s="36"/>
      <c r="CB207" s="36"/>
      <c r="CC207" s="51"/>
      <c r="CD207" s="36"/>
      <c r="CE207" s="36"/>
      <c r="CF207" s="36"/>
      <c r="CG207" s="36"/>
      <c r="CH207" s="51"/>
      <c r="CI207" s="36"/>
      <c r="CJ207" s="36"/>
      <c r="CK207" s="36"/>
      <c r="CL207" s="36"/>
      <c r="CM207" s="51"/>
      <c r="CN207" s="36"/>
      <c r="CO207" s="36"/>
      <c r="CP207" s="36"/>
      <c r="CQ207" s="36"/>
      <c r="CR207" s="51"/>
      <c r="CS207" s="36"/>
      <c r="CT207" s="36"/>
      <c r="CU207" s="36"/>
      <c r="CV207" s="36"/>
      <c r="CW207" s="51"/>
      <c r="CX207" s="36"/>
      <c r="CY207" s="36"/>
      <c r="CZ207" s="36"/>
      <c r="DA207" s="36"/>
      <c r="DB207" s="51"/>
      <c r="DC207" s="36"/>
      <c r="DD207" s="36"/>
      <c r="DE207" s="36"/>
      <c r="DF207" s="36"/>
      <c r="DG207" s="51"/>
      <c r="DH207" s="36"/>
      <c r="DI207" s="36"/>
      <c r="DJ207" s="36"/>
      <c r="DK207" s="36"/>
      <c r="DL207" s="51"/>
      <c r="DM207" s="51"/>
      <c r="DN207" s="51"/>
    </row>
    <row r="208" spans="1:118" ht="15.75" customHeight="1">
      <c r="A208" s="171"/>
      <c r="B208" s="51"/>
      <c r="C208" s="99"/>
      <c r="D208" s="101"/>
      <c r="E208" s="102"/>
      <c r="F208" s="51"/>
      <c r="G208" s="103"/>
      <c r="H208" s="103"/>
      <c r="I208" s="104"/>
      <c r="J208" s="101"/>
      <c r="K208" s="101"/>
      <c r="M208" s="51"/>
      <c r="N208" s="51"/>
      <c r="O208" s="51"/>
      <c r="P208" s="51"/>
      <c r="Q208" s="51"/>
      <c r="R208" s="36"/>
      <c r="S208" s="51"/>
      <c r="T208" s="59"/>
      <c r="U208" s="112"/>
      <c r="V208" s="39"/>
      <c r="W208" s="39"/>
      <c r="X208" s="40"/>
      <c r="Y208" s="39"/>
      <c r="Z208" s="41"/>
      <c r="AA208" s="41"/>
      <c r="AB208" s="51"/>
      <c r="AC208" s="51"/>
      <c r="AD208" s="51"/>
      <c r="AE208" s="51"/>
      <c r="AF208" s="51"/>
      <c r="AG208" s="51"/>
      <c r="AH208" s="51"/>
      <c r="AI208" s="106"/>
      <c r="AJ208" s="61"/>
      <c r="AK208" s="106"/>
      <c r="AL208" s="61"/>
      <c r="AM208" s="107"/>
      <c r="AN208" s="99"/>
      <c r="AO208" s="99"/>
      <c r="AP208" s="51"/>
      <c r="AQ208" s="51"/>
      <c r="AR208" s="51"/>
      <c r="AS208" s="101"/>
      <c r="AT208" s="101"/>
      <c r="AU208" s="51"/>
      <c r="AV208" s="51"/>
      <c r="AW208" s="51"/>
      <c r="AX208" s="51"/>
      <c r="AY208" s="106"/>
      <c r="AZ208" s="106"/>
      <c r="BA208" s="106"/>
      <c r="BB208" s="106"/>
      <c r="BC208" s="38"/>
      <c r="BD208" s="38"/>
      <c r="BE208" s="34"/>
      <c r="BF208" s="51"/>
      <c r="BG208" s="36"/>
      <c r="BH208" s="51"/>
      <c r="BI208" s="99"/>
      <c r="BJ208" s="99"/>
      <c r="BK208" s="51"/>
      <c r="BL208" s="51"/>
      <c r="BM208" s="51"/>
      <c r="BN208" s="51"/>
      <c r="BO208" s="99"/>
      <c r="BP208" s="99"/>
      <c r="BQ208" s="99"/>
      <c r="BR208" s="99"/>
      <c r="BS208" s="51"/>
      <c r="BT208" s="99"/>
      <c r="BU208" s="99"/>
      <c r="BV208" s="99"/>
      <c r="BW208" s="51"/>
      <c r="BX208" s="51"/>
      <c r="BY208" s="100"/>
      <c r="BZ208" s="100"/>
      <c r="CA208" s="36"/>
      <c r="CB208" s="36"/>
      <c r="CC208" s="51"/>
      <c r="CD208" s="36"/>
      <c r="CE208" s="36"/>
      <c r="CF208" s="36"/>
      <c r="CG208" s="36"/>
      <c r="CH208" s="51"/>
      <c r="CI208" s="36"/>
      <c r="CJ208" s="36"/>
      <c r="CK208" s="36"/>
      <c r="CL208" s="36"/>
      <c r="CM208" s="51"/>
      <c r="CN208" s="36"/>
      <c r="CO208" s="36"/>
      <c r="CP208" s="36"/>
      <c r="CQ208" s="36"/>
      <c r="CR208" s="51"/>
      <c r="CS208" s="36"/>
      <c r="CT208" s="36"/>
      <c r="CU208" s="36"/>
      <c r="CV208" s="36"/>
      <c r="CW208" s="51"/>
      <c r="CX208" s="36"/>
      <c r="CY208" s="36"/>
      <c r="CZ208" s="36"/>
      <c r="DA208" s="36"/>
      <c r="DB208" s="51"/>
      <c r="DC208" s="36"/>
      <c r="DD208" s="36"/>
      <c r="DE208" s="36"/>
      <c r="DF208" s="36"/>
      <c r="DG208" s="51"/>
      <c r="DH208" s="36"/>
      <c r="DI208" s="36"/>
      <c r="DJ208" s="36"/>
      <c r="DK208" s="36"/>
      <c r="DL208" s="51"/>
      <c r="DM208" s="51"/>
      <c r="DN208" s="51"/>
    </row>
    <row r="209" spans="1:118" ht="15.75" customHeight="1">
      <c r="A209" s="171"/>
      <c r="B209" s="51"/>
      <c r="C209" s="99"/>
      <c r="D209" s="101"/>
      <c r="E209" s="102"/>
      <c r="F209" s="51"/>
      <c r="G209" s="103"/>
      <c r="H209" s="103"/>
      <c r="I209" s="104"/>
      <c r="J209" s="101"/>
      <c r="K209" s="101"/>
      <c r="M209" s="51"/>
      <c r="N209" s="51"/>
      <c r="O209" s="51"/>
      <c r="P209" s="51"/>
      <c r="Q209" s="51"/>
      <c r="R209" s="36"/>
      <c r="S209" s="51"/>
      <c r="T209" s="59"/>
      <c r="U209" s="112"/>
      <c r="V209" s="39"/>
      <c r="W209" s="39"/>
      <c r="X209" s="40"/>
      <c r="Y209" s="39"/>
      <c r="Z209" s="41"/>
      <c r="AA209" s="41"/>
      <c r="AB209" s="51"/>
      <c r="AC209" s="51"/>
      <c r="AD209" s="51"/>
      <c r="AE209" s="51"/>
      <c r="AF209" s="51"/>
      <c r="AG209" s="51"/>
      <c r="AH209" s="51"/>
      <c r="AI209" s="106"/>
      <c r="AJ209" s="61"/>
      <c r="AK209" s="106"/>
      <c r="AL209" s="61"/>
      <c r="AM209" s="107"/>
      <c r="AN209" s="99"/>
      <c r="AO209" s="99"/>
      <c r="AP209" s="51"/>
      <c r="AQ209" s="51"/>
      <c r="AR209" s="51"/>
      <c r="AS209" s="101"/>
      <c r="AT209" s="101"/>
      <c r="AU209" s="51"/>
      <c r="AV209" s="51"/>
      <c r="AW209" s="51"/>
      <c r="AX209" s="51"/>
      <c r="AY209" s="106"/>
      <c r="AZ209" s="106"/>
      <c r="BA209" s="106"/>
      <c r="BB209" s="106"/>
      <c r="BC209" s="38"/>
      <c r="BD209" s="38"/>
      <c r="BE209" s="34"/>
      <c r="BF209" s="51"/>
      <c r="BG209" s="36"/>
      <c r="BH209" s="51"/>
      <c r="BI209" s="99"/>
      <c r="BJ209" s="99"/>
      <c r="BK209" s="51"/>
      <c r="BL209" s="51"/>
      <c r="BM209" s="51"/>
      <c r="BN209" s="51"/>
      <c r="BO209" s="99"/>
      <c r="BP209" s="99"/>
      <c r="BQ209" s="99"/>
      <c r="BR209" s="99"/>
      <c r="BS209" s="51"/>
      <c r="BT209" s="99"/>
      <c r="BU209" s="99"/>
      <c r="BV209" s="99"/>
      <c r="BW209" s="51"/>
      <c r="BX209" s="51"/>
      <c r="BY209" s="100"/>
      <c r="BZ209" s="100"/>
      <c r="CA209" s="36"/>
      <c r="CB209" s="36"/>
      <c r="CC209" s="51"/>
      <c r="CD209" s="36"/>
      <c r="CE209" s="36"/>
      <c r="CF209" s="36"/>
      <c r="CG209" s="36"/>
      <c r="CH209" s="51"/>
      <c r="CI209" s="36"/>
      <c r="CJ209" s="36"/>
      <c r="CK209" s="36"/>
      <c r="CL209" s="36"/>
      <c r="CM209" s="51"/>
      <c r="CN209" s="36"/>
      <c r="CO209" s="36"/>
      <c r="CP209" s="36"/>
      <c r="CQ209" s="36"/>
      <c r="CR209" s="51"/>
      <c r="CS209" s="36"/>
      <c r="CT209" s="36"/>
      <c r="CU209" s="36"/>
      <c r="CV209" s="36"/>
      <c r="CW209" s="51"/>
      <c r="CX209" s="36"/>
      <c r="CY209" s="36"/>
      <c r="CZ209" s="36"/>
      <c r="DA209" s="36"/>
      <c r="DB209" s="51"/>
      <c r="DC209" s="36"/>
      <c r="DD209" s="36"/>
      <c r="DE209" s="36"/>
      <c r="DF209" s="36"/>
      <c r="DG209" s="51"/>
      <c r="DH209" s="36"/>
      <c r="DI209" s="36"/>
      <c r="DJ209" s="36"/>
      <c r="DK209" s="36"/>
      <c r="DL209" s="51"/>
      <c r="DM209" s="51"/>
      <c r="DN209" s="51"/>
    </row>
    <row r="210" spans="1:118" ht="15.75" customHeight="1">
      <c r="A210" s="171"/>
      <c r="B210" s="51"/>
      <c r="C210" s="99"/>
      <c r="D210" s="101"/>
      <c r="E210" s="102"/>
      <c r="F210" s="51"/>
      <c r="G210" s="103"/>
      <c r="H210" s="103"/>
      <c r="I210" s="104"/>
      <c r="J210" s="101"/>
      <c r="K210" s="101"/>
      <c r="M210" s="51"/>
      <c r="N210" s="51"/>
      <c r="O210" s="51"/>
      <c r="P210" s="51"/>
      <c r="Q210" s="51"/>
      <c r="R210" s="36"/>
      <c r="S210" s="51"/>
      <c r="T210" s="59"/>
      <c r="U210" s="112"/>
      <c r="V210" s="39"/>
      <c r="W210" s="39"/>
      <c r="X210" s="40"/>
      <c r="Y210" s="39"/>
      <c r="Z210" s="41"/>
      <c r="AA210" s="41"/>
      <c r="AB210" s="51"/>
      <c r="AC210" s="51"/>
      <c r="AD210" s="51"/>
      <c r="AE210" s="51"/>
      <c r="AF210" s="51"/>
      <c r="AG210" s="51"/>
      <c r="AH210" s="51"/>
      <c r="AI210" s="106"/>
      <c r="AJ210" s="61"/>
      <c r="AK210" s="106"/>
      <c r="AL210" s="61"/>
      <c r="AM210" s="107"/>
      <c r="AN210" s="99"/>
      <c r="AO210" s="99"/>
      <c r="AP210" s="51"/>
      <c r="AQ210" s="51"/>
      <c r="AR210" s="51"/>
      <c r="AS210" s="101"/>
      <c r="AT210" s="101"/>
      <c r="AU210" s="51"/>
      <c r="AV210" s="51"/>
      <c r="AW210" s="51"/>
      <c r="AX210" s="51"/>
      <c r="AY210" s="106"/>
      <c r="AZ210" s="106"/>
      <c r="BA210" s="106"/>
      <c r="BB210" s="106"/>
      <c r="BC210" s="38"/>
      <c r="BD210" s="38"/>
      <c r="BE210" s="34"/>
      <c r="BF210" s="51"/>
      <c r="BG210" s="36"/>
      <c r="BH210" s="51"/>
      <c r="BI210" s="99"/>
      <c r="BJ210" s="99"/>
      <c r="BK210" s="51"/>
      <c r="BL210" s="51"/>
      <c r="BM210" s="51"/>
      <c r="BN210" s="51"/>
      <c r="BO210" s="99"/>
      <c r="BP210" s="99"/>
      <c r="BQ210" s="99"/>
      <c r="BR210" s="99"/>
      <c r="BS210" s="51"/>
      <c r="BT210" s="99"/>
      <c r="BU210" s="99"/>
      <c r="BV210" s="99"/>
      <c r="BW210" s="51"/>
      <c r="BX210" s="51"/>
      <c r="BY210" s="100"/>
      <c r="BZ210" s="100"/>
      <c r="CA210" s="36"/>
      <c r="CB210" s="36"/>
      <c r="CC210" s="51"/>
      <c r="CD210" s="36"/>
      <c r="CE210" s="36"/>
      <c r="CF210" s="36"/>
      <c r="CG210" s="36"/>
      <c r="CH210" s="51"/>
      <c r="CI210" s="36"/>
      <c r="CJ210" s="36"/>
      <c r="CK210" s="36"/>
      <c r="CL210" s="36"/>
      <c r="CM210" s="51"/>
      <c r="CN210" s="36"/>
      <c r="CO210" s="36"/>
      <c r="CP210" s="36"/>
      <c r="CQ210" s="36"/>
      <c r="CR210" s="51"/>
      <c r="CS210" s="36"/>
      <c r="CT210" s="36"/>
      <c r="CU210" s="36"/>
      <c r="CV210" s="36"/>
      <c r="CW210" s="51"/>
      <c r="CX210" s="36"/>
      <c r="CY210" s="36"/>
      <c r="CZ210" s="36"/>
      <c r="DA210" s="36"/>
      <c r="DB210" s="51"/>
      <c r="DC210" s="36"/>
      <c r="DD210" s="36"/>
      <c r="DE210" s="36"/>
      <c r="DF210" s="36"/>
      <c r="DG210" s="51"/>
      <c r="DH210" s="36"/>
      <c r="DI210" s="36"/>
      <c r="DJ210" s="36"/>
      <c r="DK210" s="36"/>
      <c r="DL210" s="51"/>
      <c r="DM210" s="51"/>
      <c r="DN210" s="51"/>
    </row>
    <row r="211" spans="1:118" ht="15.75" customHeight="1">
      <c r="A211" s="171"/>
      <c r="B211" s="51"/>
      <c r="C211" s="99"/>
      <c r="D211" s="101"/>
      <c r="E211" s="102"/>
      <c r="F211" s="51"/>
      <c r="G211" s="103"/>
      <c r="H211" s="103"/>
      <c r="I211" s="104"/>
      <c r="J211" s="101"/>
      <c r="K211" s="101"/>
      <c r="M211" s="51"/>
      <c r="N211" s="51"/>
      <c r="O211" s="51"/>
      <c r="P211" s="51"/>
      <c r="Q211" s="51"/>
      <c r="R211" s="36"/>
      <c r="S211" s="51"/>
      <c r="T211" s="59"/>
      <c r="U211" s="112"/>
      <c r="V211" s="39"/>
      <c r="W211" s="39"/>
      <c r="X211" s="40"/>
      <c r="Y211" s="39"/>
      <c r="Z211" s="41"/>
      <c r="AA211" s="41"/>
      <c r="AB211" s="51"/>
      <c r="AC211" s="51"/>
      <c r="AD211" s="51"/>
      <c r="AE211" s="51"/>
      <c r="AF211" s="51"/>
      <c r="AG211" s="51"/>
      <c r="AH211" s="51"/>
      <c r="AI211" s="106"/>
      <c r="AJ211" s="61"/>
      <c r="AK211" s="106"/>
      <c r="AL211" s="61"/>
      <c r="AM211" s="107"/>
      <c r="AN211" s="99"/>
      <c r="AO211" s="99"/>
      <c r="AP211" s="51"/>
      <c r="AQ211" s="51"/>
      <c r="AR211" s="51"/>
      <c r="AS211" s="101"/>
      <c r="AT211" s="101"/>
      <c r="AU211" s="51"/>
      <c r="AV211" s="51"/>
      <c r="AW211" s="51"/>
      <c r="AX211" s="51"/>
      <c r="AY211" s="106"/>
      <c r="AZ211" s="106"/>
      <c r="BA211" s="106"/>
      <c r="BB211" s="106"/>
      <c r="BC211" s="38"/>
      <c r="BD211" s="38"/>
      <c r="BE211" s="34"/>
      <c r="BF211" s="51"/>
      <c r="BG211" s="36"/>
      <c r="BH211" s="51"/>
      <c r="BI211" s="99"/>
      <c r="BJ211" s="99"/>
      <c r="BK211" s="51"/>
      <c r="BL211" s="51"/>
      <c r="BM211" s="51"/>
      <c r="BN211" s="51"/>
      <c r="BO211" s="99"/>
      <c r="BP211" s="99"/>
      <c r="BQ211" s="99"/>
      <c r="BR211" s="99"/>
      <c r="BS211" s="51"/>
      <c r="BT211" s="99"/>
      <c r="BU211" s="99"/>
      <c r="BV211" s="99"/>
      <c r="BW211" s="51"/>
      <c r="BX211" s="51"/>
      <c r="BY211" s="100"/>
      <c r="BZ211" s="100"/>
      <c r="CA211" s="36"/>
      <c r="CB211" s="36"/>
      <c r="CC211" s="51"/>
      <c r="CD211" s="36"/>
      <c r="CE211" s="36"/>
      <c r="CF211" s="36"/>
      <c r="CG211" s="36"/>
      <c r="CH211" s="51"/>
      <c r="CI211" s="36"/>
      <c r="CJ211" s="36"/>
      <c r="CK211" s="36"/>
      <c r="CL211" s="36"/>
      <c r="CM211" s="51"/>
      <c r="CN211" s="36"/>
      <c r="CO211" s="36"/>
      <c r="CP211" s="36"/>
      <c r="CQ211" s="36"/>
      <c r="CR211" s="51"/>
      <c r="CS211" s="36"/>
      <c r="CT211" s="36"/>
      <c r="CU211" s="36"/>
      <c r="CV211" s="36"/>
      <c r="CW211" s="51"/>
      <c r="CX211" s="36"/>
      <c r="CY211" s="36"/>
      <c r="CZ211" s="36"/>
      <c r="DA211" s="36"/>
      <c r="DB211" s="51"/>
      <c r="DC211" s="36"/>
      <c r="DD211" s="36"/>
      <c r="DE211" s="36"/>
      <c r="DF211" s="36"/>
      <c r="DG211" s="51"/>
      <c r="DH211" s="36"/>
      <c r="DI211" s="36"/>
      <c r="DJ211" s="36"/>
      <c r="DK211" s="36"/>
      <c r="DL211" s="51"/>
      <c r="DM211" s="51"/>
      <c r="DN211" s="51"/>
    </row>
    <row r="212" spans="1:118" ht="15.75" customHeight="1">
      <c r="A212" s="171"/>
      <c r="B212" s="51"/>
      <c r="C212" s="99"/>
      <c r="D212" s="101"/>
      <c r="E212" s="102"/>
      <c r="F212" s="51"/>
      <c r="G212" s="103"/>
      <c r="H212" s="103"/>
      <c r="I212" s="104"/>
      <c r="J212" s="101"/>
      <c r="K212" s="101"/>
      <c r="M212" s="51"/>
      <c r="N212" s="51"/>
      <c r="O212" s="51"/>
      <c r="P212" s="51"/>
      <c r="Q212" s="51"/>
      <c r="R212" s="36"/>
      <c r="S212" s="51"/>
      <c r="T212" s="59"/>
      <c r="U212" s="112"/>
      <c r="V212" s="39"/>
      <c r="W212" s="39"/>
      <c r="X212" s="40"/>
      <c r="Y212" s="39"/>
      <c r="Z212" s="41"/>
      <c r="AA212" s="41"/>
      <c r="AB212" s="51"/>
      <c r="AC212" s="51"/>
      <c r="AD212" s="51"/>
      <c r="AE212" s="51"/>
      <c r="AF212" s="51"/>
      <c r="AG212" s="51"/>
      <c r="AH212" s="51"/>
      <c r="AI212" s="106"/>
      <c r="AJ212" s="61"/>
      <c r="AK212" s="106"/>
      <c r="AL212" s="61"/>
      <c r="AM212" s="107"/>
      <c r="AN212" s="99"/>
      <c r="AO212" s="99"/>
      <c r="AP212" s="51"/>
      <c r="AQ212" s="51"/>
      <c r="AR212" s="51"/>
      <c r="AS212" s="101"/>
      <c r="AT212" s="101"/>
      <c r="AU212" s="51"/>
      <c r="AV212" s="51"/>
      <c r="AW212" s="51"/>
      <c r="AX212" s="51"/>
      <c r="AY212" s="106"/>
      <c r="AZ212" s="106"/>
      <c r="BA212" s="106"/>
      <c r="BB212" s="106"/>
      <c r="BC212" s="38"/>
      <c r="BD212" s="38"/>
      <c r="BE212" s="34"/>
      <c r="BF212" s="51"/>
      <c r="BG212" s="36"/>
      <c r="BH212" s="51"/>
      <c r="BI212" s="99"/>
      <c r="BJ212" s="99"/>
      <c r="BK212" s="51"/>
      <c r="BL212" s="51"/>
      <c r="BM212" s="51"/>
      <c r="BN212" s="51"/>
      <c r="BO212" s="99"/>
      <c r="BP212" s="99"/>
      <c r="BQ212" s="99"/>
      <c r="BR212" s="99"/>
      <c r="BS212" s="51"/>
      <c r="BT212" s="99"/>
      <c r="BU212" s="99"/>
      <c r="BV212" s="99"/>
      <c r="BW212" s="51"/>
      <c r="BX212" s="51"/>
      <c r="BY212" s="100"/>
      <c r="BZ212" s="100"/>
      <c r="CA212" s="36"/>
      <c r="CB212" s="36"/>
      <c r="CC212" s="51"/>
      <c r="CD212" s="36"/>
      <c r="CE212" s="36"/>
      <c r="CF212" s="36"/>
      <c r="CG212" s="36"/>
      <c r="CH212" s="51"/>
      <c r="CI212" s="36"/>
      <c r="CJ212" s="36"/>
      <c r="CK212" s="36"/>
      <c r="CL212" s="36"/>
      <c r="CM212" s="51"/>
      <c r="CN212" s="36"/>
      <c r="CO212" s="36"/>
      <c r="CP212" s="36"/>
      <c r="CQ212" s="36"/>
      <c r="CR212" s="51"/>
      <c r="CS212" s="36"/>
      <c r="CT212" s="36"/>
      <c r="CU212" s="36"/>
      <c r="CV212" s="36"/>
      <c r="CW212" s="51"/>
      <c r="CX212" s="36"/>
      <c r="CY212" s="36"/>
      <c r="CZ212" s="36"/>
      <c r="DA212" s="36"/>
      <c r="DB212" s="51"/>
      <c r="DC212" s="36"/>
      <c r="DD212" s="36"/>
      <c r="DE212" s="36"/>
      <c r="DF212" s="36"/>
      <c r="DG212" s="51"/>
      <c r="DH212" s="36"/>
      <c r="DI212" s="36"/>
      <c r="DJ212" s="36"/>
      <c r="DK212" s="36"/>
      <c r="DL212" s="51"/>
      <c r="DM212" s="51"/>
      <c r="DN212" s="51"/>
    </row>
    <row r="213" spans="1:118" ht="15.75" customHeight="1">
      <c r="A213" s="171"/>
      <c r="B213" s="51"/>
      <c r="C213" s="99"/>
      <c r="D213" s="101"/>
      <c r="E213" s="102"/>
      <c r="F213" s="51"/>
      <c r="G213" s="103"/>
      <c r="H213" s="103"/>
      <c r="I213" s="104"/>
      <c r="J213" s="101"/>
      <c r="K213" s="101"/>
      <c r="M213" s="51"/>
      <c r="N213" s="51"/>
      <c r="O213" s="51"/>
      <c r="P213" s="51"/>
      <c r="Q213" s="51"/>
      <c r="R213" s="36"/>
      <c r="S213" s="51"/>
      <c r="T213" s="59"/>
      <c r="U213" s="112"/>
      <c r="V213" s="39"/>
      <c r="W213" s="39"/>
      <c r="X213" s="40"/>
      <c r="Y213" s="39"/>
      <c r="Z213" s="41"/>
      <c r="AA213" s="41"/>
      <c r="AB213" s="51"/>
      <c r="AC213" s="51"/>
      <c r="AD213" s="51"/>
      <c r="AE213" s="51"/>
      <c r="AF213" s="51"/>
      <c r="AG213" s="51"/>
      <c r="AH213" s="51"/>
      <c r="AI213" s="106"/>
      <c r="AJ213" s="61"/>
      <c r="AK213" s="106"/>
      <c r="AL213" s="61"/>
      <c r="AM213" s="107"/>
      <c r="AN213" s="99"/>
      <c r="AO213" s="99"/>
      <c r="AP213" s="51"/>
      <c r="AQ213" s="51"/>
      <c r="AR213" s="51"/>
      <c r="AS213" s="101"/>
      <c r="AT213" s="101"/>
      <c r="AU213" s="51"/>
      <c r="AV213" s="51"/>
      <c r="AW213" s="51"/>
      <c r="AX213" s="51"/>
      <c r="AY213" s="106"/>
      <c r="AZ213" s="106"/>
      <c r="BA213" s="106"/>
      <c r="BB213" s="106"/>
      <c r="BC213" s="38"/>
      <c r="BD213" s="38"/>
      <c r="BE213" s="34"/>
      <c r="BF213" s="51"/>
      <c r="BG213" s="36"/>
      <c r="BH213" s="51"/>
      <c r="BI213" s="99"/>
      <c r="BJ213" s="99"/>
      <c r="BK213" s="51"/>
      <c r="BL213" s="51"/>
      <c r="BM213" s="51"/>
      <c r="BN213" s="51"/>
      <c r="BO213" s="99"/>
      <c r="BP213" s="99"/>
      <c r="BQ213" s="99"/>
      <c r="BR213" s="99"/>
      <c r="BS213" s="51"/>
      <c r="BT213" s="99"/>
      <c r="BU213" s="99"/>
      <c r="BV213" s="99"/>
      <c r="BW213" s="51"/>
      <c r="BX213" s="51"/>
      <c r="BY213" s="100"/>
      <c r="BZ213" s="100"/>
      <c r="CA213" s="36"/>
      <c r="CB213" s="36"/>
      <c r="CC213" s="51"/>
      <c r="CD213" s="36"/>
      <c r="CE213" s="36"/>
      <c r="CF213" s="36"/>
      <c r="CG213" s="36"/>
      <c r="CH213" s="51"/>
      <c r="CI213" s="36"/>
      <c r="CJ213" s="36"/>
      <c r="CK213" s="36"/>
      <c r="CL213" s="36"/>
      <c r="CM213" s="51"/>
      <c r="CN213" s="36"/>
      <c r="CO213" s="36"/>
      <c r="CP213" s="36"/>
      <c r="CQ213" s="36"/>
      <c r="CR213" s="51"/>
      <c r="CS213" s="36"/>
      <c r="CT213" s="36"/>
      <c r="CU213" s="36"/>
      <c r="CV213" s="36"/>
      <c r="CW213" s="51"/>
      <c r="CX213" s="36"/>
      <c r="CY213" s="36"/>
      <c r="CZ213" s="36"/>
      <c r="DA213" s="36"/>
      <c r="DB213" s="51"/>
      <c r="DC213" s="36"/>
      <c r="DD213" s="36"/>
      <c r="DE213" s="36"/>
      <c r="DF213" s="36"/>
      <c r="DG213" s="51"/>
      <c r="DH213" s="36"/>
      <c r="DI213" s="36"/>
      <c r="DJ213" s="36"/>
      <c r="DK213" s="36"/>
      <c r="DL213" s="51"/>
      <c r="DM213" s="51"/>
      <c r="DN213" s="51"/>
    </row>
    <row r="214" spans="1:118" ht="15.75" customHeight="1">
      <c r="A214" s="171"/>
      <c r="B214" s="51"/>
      <c r="C214" s="99"/>
      <c r="D214" s="101"/>
      <c r="E214" s="102"/>
      <c r="F214" s="51"/>
      <c r="G214" s="103"/>
      <c r="H214" s="103"/>
      <c r="I214" s="104"/>
      <c r="J214" s="101"/>
      <c r="K214" s="101"/>
      <c r="M214" s="51"/>
      <c r="N214" s="51"/>
      <c r="O214" s="51"/>
      <c r="P214" s="51"/>
      <c r="Q214" s="51"/>
      <c r="R214" s="36"/>
      <c r="S214" s="51"/>
      <c r="T214" s="59"/>
      <c r="U214" s="112"/>
      <c r="V214" s="39"/>
      <c r="W214" s="39"/>
      <c r="X214" s="40"/>
      <c r="Y214" s="39"/>
      <c r="Z214" s="41"/>
      <c r="AA214" s="41"/>
      <c r="AB214" s="51"/>
      <c r="AC214" s="51"/>
      <c r="AD214" s="51"/>
      <c r="AE214" s="51"/>
      <c r="AF214" s="51"/>
      <c r="AG214" s="51"/>
      <c r="AH214" s="51"/>
      <c r="AI214" s="106"/>
      <c r="AJ214" s="61"/>
      <c r="AK214" s="106"/>
      <c r="AL214" s="61"/>
      <c r="AM214" s="107"/>
      <c r="AN214" s="99"/>
      <c r="AO214" s="99"/>
      <c r="AP214" s="51"/>
      <c r="AQ214" s="51"/>
      <c r="AR214" s="51"/>
      <c r="AS214" s="101"/>
      <c r="AT214" s="101"/>
      <c r="AU214" s="51"/>
      <c r="AV214" s="51"/>
      <c r="AW214" s="51"/>
      <c r="AX214" s="51"/>
      <c r="AY214" s="106"/>
      <c r="AZ214" s="106"/>
      <c r="BA214" s="106"/>
      <c r="BB214" s="106"/>
      <c r="BC214" s="38"/>
      <c r="BD214" s="38"/>
      <c r="BE214" s="34"/>
      <c r="BF214" s="51"/>
      <c r="BG214" s="36"/>
      <c r="BH214" s="51"/>
      <c r="BI214" s="99"/>
      <c r="BJ214" s="99"/>
      <c r="BK214" s="51"/>
      <c r="BL214" s="51"/>
      <c r="BM214" s="51"/>
      <c r="BN214" s="51"/>
      <c r="BO214" s="99"/>
      <c r="BP214" s="99"/>
      <c r="BQ214" s="99"/>
      <c r="BR214" s="99"/>
      <c r="BS214" s="51"/>
      <c r="BT214" s="99"/>
      <c r="BU214" s="99"/>
      <c r="BV214" s="99"/>
      <c r="BW214" s="51"/>
      <c r="BX214" s="51"/>
      <c r="BY214" s="100"/>
      <c r="BZ214" s="100"/>
      <c r="CA214" s="36"/>
      <c r="CB214" s="36"/>
      <c r="CC214" s="51"/>
      <c r="CD214" s="36"/>
      <c r="CE214" s="36"/>
      <c r="CF214" s="36"/>
      <c r="CG214" s="36"/>
      <c r="CH214" s="51"/>
      <c r="CI214" s="36"/>
      <c r="CJ214" s="36"/>
      <c r="CK214" s="36"/>
      <c r="CL214" s="36"/>
      <c r="CM214" s="51"/>
      <c r="CN214" s="36"/>
      <c r="CO214" s="36"/>
      <c r="CP214" s="36"/>
      <c r="CQ214" s="36"/>
      <c r="CR214" s="51"/>
      <c r="CS214" s="36"/>
      <c r="CT214" s="36"/>
      <c r="CU214" s="36"/>
      <c r="CV214" s="36"/>
      <c r="CW214" s="51"/>
      <c r="CX214" s="36"/>
      <c r="CY214" s="36"/>
      <c r="CZ214" s="36"/>
      <c r="DA214" s="36"/>
      <c r="DB214" s="51"/>
      <c r="DC214" s="36"/>
      <c r="DD214" s="36"/>
      <c r="DE214" s="36"/>
      <c r="DF214" s="36"/>
      <c r="DG214" s="51"/>
      <c r="DH214" s="36"/>
      <c r="DI214" s="36"/>
      <c r="DJ214" s="36"/>
      <c r="DK214" s="36"/>
      <c r="DL214" s="51"/>
      <c r="DM214" s="51"/>
      <c r="DN214" s="51"/>
    </row>
    <row r="215" spans="1:118" ht="15.75" customHeight="1">
      <c r="A215" s="171"/>
      <c r="B215" s="51"/>
      <c r="C215" s="99"/>
      <c r="D215" s="101"/>
      <c r="E215" s="102"/>
      <c r="F215" s="51"/>
      <c r="G215" s="103"/>
      <c r="H215" s="103"/>
      <c r="I215" s="104"/>
      <c r="J215" s="101"/>
      <c r="K215" s="101"/>
      <c r="M215" s="51"/>
      <c r="N215" s="51"/>
      <c r="O215" s="51"/>
      <c r="P215" s="51"/>
      <c r="Q215" s="51"/>
      <c r="R215" s="36"/>
      <c r="S215" s="51"/>
      <c r="T215" s="59"/>
      <c r="U215" s="112"/>
      <c r="V215" s="39"/>
      <c r="W215" s="39"/>
      <c r="X215" s="40"/>
      <c r="Y215" s="39"/>
      <c r="Z215" s="41"/>
      <c r="AA215" s="41"/>
      <c r="AB215" s="51"/>
      <c r="AC215" s="51"/>
      <c r="AD215" s="51"/>
      <c r="AE215" s="51"/>
      <c r="AF215" s="51"/>
      <c r="AG215" s="51"/>
      <c r="AH215" s="51"/>
      <c r="AI215" s="106"/>
      <c r="AJ215" s="61"/>
      <c r="AK215" s="106"/>
      <c r="AL215" s="61"/>
      <c r="AM215" s="107"/>
      <c r="AN215" s="99"/>
      <c r="AO215" s="99"/>
      <c r="AP215" s="51"/>
      <c r="AQ215" s="51"/>
      <c r="AR215" s="51"/>
      <c r="AS215" s="101"/>
      <c r="AT215" s="101"/>
      <c r="AU215" s="51"/>
      <c r="AV215" s="51"/>
      <c r="AW215" s="51"/>
      <c r="AX215" s="51"/>
      <c r="AY215" s="106"/>
      <c r="AZ215" s="106"/>
      <c r="BA215" s="106"/>
      <c r="BB215" s="106"/>
      <c r="BC215" s="38"/>
      <c r="BD215" s="38"/>
      <c r="BE215" s="34"/>
      <c r="BF215" s="51"/>
      <c r="BG215" s="36"/>
      <c r="BH215" s="51"/>
      <c r="BI215" s="99"/>
      <c r="BJ215" s="99"/>
      <c r="BK215" s="51"/>
      <c r="BL215" s="51"/>
      <c r="BM215" s="51"/>
      <c r="BN215" s="51"/>
      <c r="BO215" s="99"/>
      <c r="BP215" s="99"/>
      <c r="BQ215" s="99"/>
      <c r="BR215" s="99"/>
      <c r="BS215" s="51"/>
      <c r="BT215" s="99"/>
      <c r="BU215" s="99"/>
      <c r="BV215" s="99"/>
      <c r="BW215" s="51"/>
      <c r="BX215" s="51"/>
      <c r="BY215" s="100"/>
      <c r="BZ215" s="100"/>
      <c r="CA215" s="36"/>
      <c r="CB215" s="36"/>
      <c r="CC215" s="51"/>
      <c r="CD215" s="36"/>
      <c r="CE215" s="36"/>
      <c r="CF215" s="36"/>
      <c r="CG215" s="36"/>
      <c r="CH215" s="51"/>
      <c r="CI215" s="36"/>
      <c r="CJ215" s="36"/>
      <c r="CK215" s="36"/>
      <c r="CL215" s="36"/>
      <c r="CM215" s="51"/>
      <c r="CN215" s="36"/>
      <c r="CO215" s="36"/>
      <c r="CP215" s="36"/>
      <c r="CQ215" s="36"/>
      <c r="CR215" s="51"/>
      <c r="CS215" s="36"/>
      <c r="CT215" s="36"/>
      <c r="CU215" s="36"/>
      <c r="CV215" s="36"/>
      <c r="CW215" s="51"/>
      <c r="CX215" s="36"/>
      <c r="CY215" s="36"/>
      <c r="CZ215" s="36"/>
      <c r="DA215" s="36"/>
      <c r="DB215" s="51"/>
      <c r="DC215" s="36"/>
      <c r="DD215" s="36"/>
      <c r="DE215" s="36"/>
      <c r="DF215" s="36"/>
      <c r="DG215" s="51"/>
      <c r="DH215" s="36"/>
      <c r="DI215" s="36"/>
      <c r="DJ215" s="36"/>
      <c r="DK215" s="36"/>
      <c r="DL215" s="51"/>
      <c r="DM215" s="51"/>
      <c r="DN215" s="51"/>
    </row>
    <row r="216" spans="1:118" ht="15.75" customHeight="1">
      <c r="A216" s="171"/>
      <c r="B216" s="51"/>
      <c r="C216" s="99"/>
      <c r="D216" s="101"/>
      <c r="E216" s="102"/>
      <c r="F216" s="51"/>
      <c r="G216" s="103"/>
      <c r="H216" s="103"/>
      <c r="I216" s="104"/>
      <c r="J216" s="101"/>
      <c r="K216" s="101"/>
      <c r="M216" s="51"/>
      <c r="N216" s="51"/>
      <c r="O216" s="51"/>
      <c r="P216" s="51"/>
      <c r="Q216" s="51"/>
      <c r="R216" s="36"/>
      <c r="S216" s="51"/>
      <c r="T216" s="59"/>
      <c r="U216" s="112"/>
      <c r="V216" s="39"/>
      <c r="W216" s="39"/>
      <c r="X216" s="40"/>
      <c r="Y216" s="39"/>
      <c r="Z216" s="41"/>
      <c r="AA216" s="41"/>
      <c r="AB216" s="51"/>
      <c r="AC216" s="51"/>
      <c r="AD216" s="51"/>
      <c r="AE216" s="51"/>
      <c r="AF216" s="51"/>
      <c r="AG216" s="51"/>
      <c r="AH216" s="51"/>
      <c r="AI216" s="106"/>
      <c r="AJ216" s="61"/>
      <c r="AK216" s="106"/>
      <c r="AL216" s="61"/>
      <c r="AM216" s="107"/>
      <c r="AN216" s="99"/>
      <c r="AO216" s="99"/>
      <c r="AP216" s="51"/>
      <c r="AQ216" s="51"/>
      <c r="AR216" s="51"/>
      <c r="AS216" s="101"/>
      <c r="AT216" s="101"/>
      <c r="AU216" s="51"/>
      <c r="AV216" s="51"/>
      <c r="AW216" s="51"/>
      <c r="AX216" s="51"/>
      <c r="AY216" s="106"/>
      <c r="AZ216" s="106"/>
      <c r="BA216" s="106"/>
      <c r="BB216" s="106"/>
      <c r="BC216" s="38"/>
      <c r="BD216" s="38"/>
      <c r="BE216" s="34"/>
      <c r="BF216" s="51"/>
      <c r="BG216" s="36"/>
      <c r="BH216" s="51"/>
      <c r="BI216" s="99"/>
      <c r="BJ216" s="99"/>
      <c r="BK216" s="51"/>
      <c r="BL216" s="51"/>
      <c r="BM216" s="51"/>
      <c r="BN216" s="51"/>
      <c r="BO216" s="99"/>
      <c r="BP216" s="99"/>
      <c r="BQ216" s="99"/>
      <c r="BR216" s="99"/>
      <c r="BS216" s="51"/>
      <c r="BT216" s="99"/>
      <c r="BU216" s="99"/>
      <c r="BV216" s="99"/>
      <c r="BW216" s="51"/>
      <c r="BX216" s="51"/>
      <c r="BY216" s="100"/>
      <c r="BZ216" s="100"/>
      <c r="CA216" s="36"/>
      <c r="CB216" s="36"/>
      <c r="CC216" s="51"/>
      <c r="CD216" s="36"/>
      <c r="CE216" s="36"/>
      <c r="CF216" s="36"/>
      <c r="CG216" s="36"/>
      <c r="CH216" s="51"/>
      <c r="CI216" s="36"/>
      <c r="CJ216" s="36"/>
      <c r="CK216" s="36"/>
      <c r="CL216" s="36"/>
      <c r="CM216" s="51"/>
      <c r="CN216" s="36"/>
      <c r="CO216" s="36"/>
      <c r="CP216" s="36"/>
      <c r="CQ216" s="36"/>
      <c r="CR216" s="51"/>
      <c r="CS216" s="36"/>
      <c r="CT216" s="36"/>
      <c r="CU216" s="36"/>
      <c r="CV216" s="36"/>
      <c r="CW216" s="51"/>
      <c r="CX216" s="36"/>
      <c r="CY216" s="36"/>
      <c r="CZ216" s="36"/>
      <c r="DA216" s="36"/>
      <c r="DB216" s="51"/>
      <c r="DC216" s="36"/>
      <c r="DD216" s="36"/>
      <c r="DE216" s="36"/>
      <c r="DF216" s="36"/>
      <c r="DG216" s="51"/>
      <c r="DH216" s="36"/>
      <c r="DI216" s="36"/>
      <c r="DJ216" s="36"/>
      <c r="DK216" s="36"/>
      <c r="DL216" s="51"/>
      <c r="DM216" s="51"/>
      <c r="DN216" s="51"/>
    </row>
    <row r="217" spans="1:118" ht="15.75" customHeight="1">
      <c r="A217" s="171"/>
      <c r="B217" s="51"/>
      <c r="C217" s="99"/>
      <c r="D217" s="101"/>
      <c r="E217" s="102"/>
      <c r="F217" s="51"/>
      <c r="G217" s="103"/>
      <c r="H217" s="103"/>
      <c r="I217" s="104"/>
      <c r="J217" s="101"/>
      <c r="K217" s="101"/>
      <c r="M217" s="51"/>
      <c r="N217" s="51"/>
      <c r="O217" s="51"/>
      <c r="P217" s="51"/>
      <c r="Q217" s="51"/>
      <c r="R217" s="36"/>
      <c r="S217" s="51"/>
      <c r="T217" s="59"/>
      <c r="U217" s="112"/>
      <c r="V217" s="39"/>
      <c r="W217" s="39"/>
      <c r="X217" s="40"/>
      <c r="Y217" s="39"/>
      <c r="Z217" s="41"/>
      <c r="AA217" s="41"/>
      <c r="AB217" s="51"/>
      <c r="AC217" s="51"/>
      <c r="AD217" s="51"/>
      <c r="AE217" s="51"/>
      <c r="AF217" s="51"/>
      <c r="AG217" s="51"/>
      <c r="AH217" s="51"/>
      <c r="AI217" s="106"/>
      <c r="AJ217" s="61"/>
      <c r="AK217" s="106"/>
      <c r="AL217" s="61"/>
      <c r="AM217" s="107"/>
      <c r="AN217" s="99"/>
      <c r="AO217" s="99"/>
      <c r="AP217" s="51"/>
      <c r="AQ217" s="51"/>
      <c r="AR217" s="51"/>
      <c r="AS217" s="101"/>
      <c r="AT217" s="101"/>
      <c r="AU217" s="51"/>
      <c r="AV217" s="51"/>
      <c r="AW217" s="51"/>
      <c r="AX217" s="51"/>
      <c r="AY217" s="106"/>
      <c r="AZ217" s="106"/>
      <c r="BA217" s="106"/>
      <c r="BB217" s="106"/>
      <c r="BC217" s="38"/>
      <c r="BD217" s="38"/>
      <c r="BE217" s="34"/>
      <c r="BF217" s="51"/>
      <c r="BG217" s="36"/>
      <c r="BH217" s="51"/>
      <c r="BI217" s="99"/>
      <c r="BJ217" s="99"/>
      <c r="BK217" s="51"/>
      <c r="BL217" s="51"/>
      <c r="BM217" s="51"/>
      <c r="BN217" s="51"/>
      <c r="BO217" s="99"/>
      <c r="BP217" s="99"/>
      <c r="BQ217" s="99"/>
      <c r="BR217" s="99"/>
      <c r="BS217" s="51"/>
      <c r="BT217" s="99"/>
      <c r="BU217" s="99"/>
      <c r="BV217" s="99"/>
      <c r="BW217" s="51"/>
      <c r="BX217" s="51"/>
      <c r="BY217" s="100"/>
      <c r="BZ217" s="100"/>
      <c r="CA217" s="36"/>
      <c r="CB217" s="36"/>
      <c r="CC217" s="51"/>
      <c r="CD217" s="36"/>
      <c r="CE217" s="36"/>
      <c r="CF217" s="36"/>
      <c r="CG217" s="36"/>
      <c r="CH217" s="51"/>
      <c r="CI217" s="36"/>
      <c r="CJ217" s="36"/>
      <c r="CK217" s="36"/>
      <c r="CL217" s="36"/>
      <c r="CM217" s="51"/>
      <c r="CN217" s="36"/>
      <c r="CO217" s="36"/>
      <c r="CP217" s="36"/>
      <c r="CQ217" s="36"/>
      <c r="CR217" s="51"/>
      <c r="CS217" s="36"/>
      <c r="CT217" s="36"/>
      <c r="CU217" s="36"/>
      <c r="CV217" s="36"/>
      <c r="CW217" s="51"/>
      <c r="CX217" s="36"/>
      <c r="CY217" s="36"/>
      <c r="CZ217" s="36"/>
      <c r="DA217" s="36"/>
      <c r="DB217" s="51"/>
      <c r="DC217" s="36"/>
      <c r="DD217" s="36"/>
      <c r="DE217" s="36"/>
      <c r="DF217" s="36"/>
      <c r="DG217" s="51"/>
      <c r="DH217" s="36"/>
      <c r="DI217" s="36"/>
      <c r="DJ217" s="36"/>
      <c r="DK217" s="36"/>
      <c r="DL217" s="51"/>
      <c r="DM217" s="51"/>
      <c r="DN217" s="51"/>
    </row>
    <row r="218" spans="1:118" ht="15.75" customHeight="1">
      <c r="A218" s="171"/>
      <c r="B218" s="51"/>
      <c r="C218" s="99"/>
      <c r="D218" s="101"/>
      <c r="E218" s="102"/>
      <c r="F218" s="51"/>
      <c r="G218" s="103"/>
      <c r="H218" s="103"/>
      <c r="I218" s="104"/>
      <c r="J218" s="101"/>
      <c r="K218" s="101"/>
      <c r="M218" s="51"/>
      <c r="N218" s="51"/>
      <c r="O218" s="51"/>
      <c r="P218" s="51"/>
      <c r="Q218" s="51"/>
      <c r="R218" s="36"/>
      <c r="S218" s="51"/>
      <c r="T218" s="59"/>
      <c r="U218" s="112"/>
      <c r="V218" s="39"/>
      <c r="W218" s="39"/>
      <c r="X218" s="40"/>
      <c r="Y218" s="39"/>
      <c r="Z218" s="41"/>
      <c r="AA218" s="41"/>
      <c r="AB218" s="51"/>
      <c r="AC218" s="51"/>
      <c r="AD218" s="51"/>
      <c r="AE218" s="51"/>
      <c r="AF218" s="51"/>
      <c r="AG218" s="51"/>
      <c r="AH218" s="51"/>
      <c r="AI218" s="106"/>
      <c r="AJ218" s="61"/>
      <c r="AK218" s="106"/>
      <c r="AL218" s="61"/>
      <c r="AM218" s="107"/>
      <c r="AN218" s="99"/>
      <c r="AO218" s="99"/>
      <c r="AP218" s="51"/>
      <c r="AQ218" s="51"/>
      <c r="AR218" s="51"/>
      <c r="AS218" s="101"/>
      <c r="AT218" s="101"/>
      <c r="AU218" s="51"/>
      <c r="AV218" s="51"/>
      <c r="AW218" s="51"/>
      <c r="AX218" s="51"/>
      <c r="AY218" s="106"/>
      <c r="AZ218" s="106"/>
      <c r="BA218" s="106"/>
      <c r="BB218" s="106"/>
      <c r="BC218" s="38"/>
      <c r="BD218" s="38"/>
      <c r="BE218" s="34"/>
      <c r="BF218" s="51"/>
      <c r="BG218" s="36"/>
      <c r="BH218" s="51"/>
      <c r="BI218" s="99"/>
      <c r="BJ218" s="99"/>
      <c r="BK218" s="51"/>
      <c r="BL218" s="51"/>
      <c r="BM218" s="51"/>
      <c r="BN218" s="51"/>
      <c r="BO218" s="99"/>
      <c r="BP218" s="99"/>
      <c r="BQ218" s="99"/>
      <c r="BR218" s="99"/>
      <c r="BS218" s="51"/>
      <c r="BT218" s="99"/>
      <c r="BU218" s="99"/>
      <c r="BV218" s="99"/>
      <c r="BW218" s="51"/>
      <c r="BX218" s="51"/>
      <c r="BY218" s="100"/>
      <c r="BZ218" s="100"/>
      <c r="CA218" s="36"/>
      <c r="CB218" s="36"/>
      <c r="CC218" s="51"/>
      <c r="CD218" s="36"/>
      <c r="CE218" s="36"/>
      <c r="CF218" s="36"/>
      <c r="CG218" s="36"/>
      <c r="CH218" s="51"/>
      <c r="CI218" s="36"/>
      <c r="CJ218" s="36"/>
      <c r="CK218" s="36"/>
      <c r="CL218" s="36"/>
      <c r="CM218" s="51"/>
      <c r="CN218" s="36"/>
      <c r="CO218" s="36"/>
      <c r="CP218" s="36"/>
      <c r="CQ218" s="36"/>
      <c r="CR218" s="51"/>
      <c r="CS218" s="36"/>
      <c r="CT218" s="36"/>
      <c r="CU218" s="36"/>
      <c r="CV218" s="36"/>
      <c r="CW218" s="51"/>
      <c r="CX218" s="36"/>
      <c r="CY218" s="36"/>
      <c r="CZ218" s="36"/>
      <c r="DA218" s="36"/>
      <c r="DB218" s="51"/>
      <c r="DC218" s="36"/>
      <c r="DD218" s="36"/>
      <c r="DE218" s="36"/>
      <c r="DF218" s="36"/>
      <c r="DG218" s="51"/>
      <c r="DH218" s="36"/>
      <c r="DI218" s="36"/>
      <c r="DJ218" s="36"/>
      <c r="DK218" s="36"/>
      <c r="DL218" s="51"/>
      <c r="DM218" s="51"/>
      <c r="DN218" s="51"/>
    </row>
    <row r="219" spans="1:118" ht="15.75" customHeight="1">
      <c r="A219" s="171"/>
      <c r="B219" s="51"/>
      <c r="C219" s="99"/>
      <c r="D219" s="101"/>
      <c r="E219" s="102"/>
      <c r="F219" s="51"/>
      <c r="G219" s="103"/>
      <c r="H219" s="103"/>
      <c r="I219" s="104"/>
      <c r="J219" s="101"/>
      <c r="K219" s="101"/>
      <c r="M219" s="51"/>
      <c r="N219" s="51"/>
      <c r="O219" s="51"/>
      <c r="P219" s="51"/>
      <c r="Q219" s="51"/>
      <c r="R219" s="36"/>
      <c r="S219" s="51"/>
      <c r="T219" s="59"/>
      <c r="U219" s="112"/>
      <c r="V219" s="39"/>
      <c r="W219" s="39"/>
      <c r="X219" s="40"/>
      <c r="Y219" s="39"/>
      <c r="Z219" s="41"/>
      <c r="AA219" s="41"/>
      <c r="AB219" s="51"/>
      <c r="AC219" s="51"/>
      <c r="AD219" s="51"/>
      <c r="AE219" s="51"/>
      <c r="AF219" s="51"/>
      <c r="AG219" s="51"/>
      <c r="AH219" s="51"/>
      <c r="AI219" s="106"/>
      <c r="AJ219" s="61"/>
      <c r="AK219" s="106"/>
      <c r="AL219" s="61"/>
      <c r="AM219" s="107"/>
      <c r="AN219" s="99"/>
      <c r="AO219" s="99"/>
      <c r="AP219" s="51"/>
      <c r="AQ219" s="51"/>
      <c r="AR219" s="51"/>
      <c r="AS219" s="101"/>
      <c r="AT219" s="101"/>
      <c r="AU219" s="51"/>
      <c r="AV219" s="51"/>
      <c r="AW219" s="51"/>
      <c r="AX219" s="51"/>
      <c r="AY219" s="106"/>
      <c r="AZ219" s="106"/>
      <c r="BA219" s="106"/>
      <c r="BB219" s="106"/>
      <c r="BC219" s="38"/>
      <c r="BD219" s="38"/>
      <c r="BE219" s="34"/>
      <c r="BF219" s="51"/>
      <c r="BG219" s="36"/>
      <c r="BH219" s="51"/>
      <c r="BI219" s="99"/>
      <c r="BJ219" s="99"/>
      <c r="BK219" s="51"/>
      <c r="BL219" s="51"/>
      <c r="BM219" s="51"/>
      <c r="BN219" s="51"/>
      <c r="BO219" s="99"/>
      <c r="BP219" s="99"/>
      <c r="BQ219" s="99"/>
      <c r="BR219" s="99"/>
      <c r="BS219" s="51"/>
      <c r="BT219" s="99"/>
      <c r="BU219" s="99"/>
      <c r="BV219" s="99"/>
      <c r="BW219" s="51"/>
      <c r="BX219" s="51"/>
      <c r="BY219" s="100"/>
      <c r="BZ219" s="100"/>
      <c r="CA219" s="36"/>
      <c r="CB219" s="36"/>
      <c r="CC219" s="51"/>
      <c r="CD219" s="36"/>
      <c r="CE219" s="36"/>
      <c r="CF219" s="36"/>
      <c r="CG219" s="36"/>
      <c r="CH219" s="51"/>
      <c r="CI219" s="36"/>
      <c r="CJ219" s="36"/>
      <c r="CK219" s="36"/>
      <c r="CL219" s="36"/>
      <c r="CM219" s="51"/>
      <c r="CN219" s="36"/>
      <c r="CO219" s="36"/>
      <c r="CP219" s="36"/>
      <c r="CQ219" s="36"/>
      <c r="CR219" s="51"/>
      <c r="CS219" s="36"/>
      <c r="CT219" s="36"/>
      <c r="CU219" s="36"/>
      <c r="CV219" s="36"/>
      <c r="CW219" s="51"/>
      <c r="CX219" s="36"/>
      <c r="CY219" s="36"/>
      <c r="CZ219" s="36"/>
      <c r="DA219" s="36"/>
      <c r="DB219" s="51"/>
      <c r="DC219" s="36"/>
      <c r="DD219" s="36"/>
      <c r="DE219" s="36"/>
      <c r="DF219" s="36"/>
      <c r="DG219" s="51"/>
      <c r="DH219" s="36"/>
      <c r="DI219" s="36"/>
      <c r="DJ219" s="36"/>
      <c r="DK219" s="36"/>
      <c r="DL219" s="51"/>
      <c r="DM219" s="51"/>
      <c r="DN219" s="51"/>
    </row>
    <row r="220" spans="1:118" ht="15.75" customHeight="1">
      <c r="A220" s="171"/>
      <c r="B220" s="51"/>
      <c r="C220" s="99"/>
      <c r="D220" s="101"/>
      <c r="E220" s="102"/>
      <c r="F220" s="51"/>
      <c r="G220" s="103"/>
      <c r="H220" s="103"/>
      <c r="I220" s="104"/>
      <c r="J220" s="101"/>
      <c r="K220" s="101"/>
      <c r="M220" s="51"/>
      <c r="N220" s="51"/>
      <c r="O220" s="51"/>
      <c r="P220" s="51"/>
      <c r="Q220" s="51"/>
      <c r="R220" s="36"/>
      <c r="S220" s="51"/>
      <c r="T220" s="59"/>
      <c r="U220" s="112"/>
      <c r="V220" s="39"/>
      <c r="W220" s="39"/>
      <c r="X220" s="40"/>
      <c r="Y220" s="39"/>
      <c r="Z220" s="41"/>
      <c r="AA220" s="41"/>
      <c r="AB220" s="51"/>
      <c r="AC220" s="51"/>
      <c r="AD220" s="51"/>
      <c r="AE220" s="51"/>
      <c r="AF220" s="51"/>
      <c r="AG220" s="51"/>
      <c r="AH220" s="51"/>
      <c r="AI220" s="106"/>
      <c r="AJ220" s="61"/>
      <c r="AK220" s="106"/>
      <c r="AL220" s="61"/>
      <c r="AM220" s="107"/>
      <c r="AN220" s="99"/>
      <c r="AO220" s="99"/>
      <c r="AP220" s="51"/>
      <c r="AQ220" s="51"/>
      <c r="AR220" s="51"/>
      <c r="AS220" s="101"/>
      <c r="AT220" s="101"/>
      <c r="AU220" s="51"/>
      <c r="AV220" s="51"/>
      <c r="AW220" s="51"/>
      <c r="AX220" s="51"/>
      <c r="AY220" s="106"/>
      <c r="AZ220" s="106"/>
      <c r="BA220" s="106"/>
      <c r="BB220" s="106"/>
      <c r="BC220" s="38"/>
      <c r="BD220" s="38"/>
      <c r="BE220" s="34"/>
      <c r="BF220" s="51"/>
      <c r="BG220" s="36"/>
      <c r="BH220" s="51"/>
      <c r="BI220" s="99"/>
      <c r="BJ220" s="99"/>
      <c r="BK220" s="51"/>
      <c r="BL220" s="51"/>
      <c r="BM220" s="51"/>
      <c r="BN220" s="51"/>
      <c r="BO220" s="99"/>
      <c r="BP220" s="99"/>
      <c r="BQ220" s="99"/>
      <c r="BR220" s="99"/>
      <c r="BS220" s="51"/>
      <c r="BT220" s="99"/>
      <c r="BU220" s="99"/>
      <c r="BV220" s="99"/>
      <c r="BW220" s="51"/>
      <c r="BX220" s="51"/>
      <c r="BY220" s="100"/>
      <c r="BZ220" s="100"/>
      <c r="CA220" s="36"/>
      <c r="CB220" s="36"/>
      <c r="CC220" s="51"/>
      <c r="CD220" s="36"/>
      <c r="CE220" s="36"/>
      <c r="CF220" s="36"/>
      <c r="CG220" s="36"/>
      <c r="CH220" s="51"/>
      <c r="CI220" s="36"/>
      <c r="CJ220" s="36"/>
      <c r="CK220" s="36"/>
      <c r="CL220" s="36"/>
      <c r="CM220" s="51"/>
      <c r="CN220" s="36"/>
      <c r="CO220" s="36"/>
      <c r="CP220" s="36"/>
      <c r="CQ220" s="36"/>
      <c r="CR220" s="51"/>
      <c r="CS220" s="36"/>
      <c r="CT220" s="36"/>
      <c r="CU220" s="36"/>
      <c r="CV220" s="36"/>
      <c r="CW220" s="51"/>
      <c r="CX220" s="36"/>
      <c r="CY220" s="36"/>
      <c r="CZ220" s="36"/>
      <c r="DA220" s="36"/>
      <c r="DB220" s="51"/>
      <c r="DC220" s="36"/>
      <c r="DD220" s="36"/>
      <c r="DE220" s="36"/>
      <c r="DF220" s="36"/>
      <c r="DG220" s="51"/>
      <c r="DH220" s="36"/>
      <c r="DI220" s="36"/>
      <c r="DJ220" s="36"/>
      <c r="DK220" s="36"/>
      <c r="DL220" s="51"/>
      <c r="DM220" s="51"/>
      <c r="DN220" s="51"/>
    </row>
    <row r="221" spans="1:118" ht="15.75" customHeight="1">
      <c r="A221" s="171"/>
      <c r="B221" s="51"/>
      <c r="C221" s="99"/>
      <c r="D221" s="101"/>
      <c r="E221" s="102"/>
      <c r="F221" s="51"/>
      <c r="G221" s="103"/>
      <c r="H221" s="103"/>
      <c r="I221" s="104"/>
      <c r="J221" s="101"/>
      <c r="K221" s="101"/>
      <c r="M221" s="51"/>
      <c r="N221" s="51"/>
      <c r="O221" s="51"/>
      <c r="P221" s="51"/>
      <c r="Q221" s="51"/>
      <c r="R221" s="36"/>
      <c r="S221" s="51"/>
      <c r="T221" s="59"/>
      <c r="U221" s="112"/>
      <c r="V221" s="39"/>
      <c r="W221" s="39"/>
      <c r="X221" s="40"/>
      <c r="Y221" s="39"/>
      <c r="Z221" s="41"/>
      <c r="AA221" s="41"/>
      <c r="AB221" s="51"/>
      <c r="AC221" s="51"/>
      <c r="AD221" s="51"/>
      <c r="AE221" s="51"/>
      <c r="AF221" s="51"/>
      <c r="AG221" s="51"/>
      <c r="AH221" s="51"/>
      <c r="AI221" s="106"/>
      <c r="AJ221" s="61"/>
      <c r="AK221" s="106"/>
      <c r="AL221" s="61"/>
      <c r="AM221" s="107"/>
      <c r="AN221" s="99"/>
      <c r="AO221" s="99"/>
      <c r="AP221" s="51"/>
      <c r="AQ221" s="51"/>
      <c r="AR221" s="51"/>
      <c r="AS221" s="101"/>
      <c r="AT221" s="101"/>
      <c r="AU221" s="51"/>
      <c r="AV221" s="51"/>
      <c r="AW221" s="51"/>
      <c r="AX221" s="51"/>
      <c r="AY221" s="106"/>
      <c r="AZ221" s="106"/>
      <c r="BA221" s="106"/>
      <c r="BB221" s="106"/>
      <c r="BC221" s="38"/>
      <c r="BD221" s="38"/>
      <c r="BE221" s="34"/>
      <c r="BF221" s="51"/>
      <c r="BG221" s="36"/>
      <c r="BH221" s="51"/>
      <c r="BI221" s="99"/>
      <c r="BJ221" s="99"/>
      <c r="BK221" s="51"/>
      <c r="BL221" s="51"/>
      <c r="BM221" s="51"/>
      <c r="BN221" s="51"/>
      <c r="BO221" s="99"/>
      <c r="BP221" s="99"/>
      <c r="BQ221" s="99"/>
      <c r="BR221" s="99"/>
      <c r="BS221" s="51"/>
      <c r="BT221" s="99"/>
      <c r="BU221" s="99"/>
      <c r="BV221" s="99"/>
      <c r="BW221" s="51"/>
      <c r="BX221" s="51"/>
      <c r="BY221" s="100"/>
      <c r="BZ221" s="100"/>
      <c r="CA221" s="36"/>
      <c r="CB221" s="36"/>
      <c r="CC221" s="51"/>
      <c r="CD221" s="36"/>
      <c r="CE221" s="36"/>
      <c r="CF221" s="36"/>
      <c r="CG221" s="36"/>
      <c r="CH221" s="51"/>
      <c r="CI221" s="36"/>
      <c r="CJ221" s="36"/>
      <c r="CK221" s="36"/>
      <c r="CL221" s="36"/>
      <c r="CM221" s="51"/>
      <c r="CN221" s="36"/>
      <c r="CO221" s="36"/>
      <c r="CP221" s="36"/>
      <c r="CQ221" s="36"/>
      <c r="CR221" s="51"/>
      <c r="CS221" s="36"/>
      <c r="CT221" s="36"/>
      <c r="CU221" s="36"/>
      <c r="CV221" s="36"/>
      <c r="CW221" s="51"/>
      <c r="CX221" s="36"/>
      <c r="CY221" s="36"/>
      <c r="CZ221" s="36"/>
      <c r="DA221" s="36"/>
      <c r="DB221" s="51"/>
      <c r="DC221" s="36"/>
      <c r="DD221" s="36"/>
      <c r="DE221" s="36"/>
      <c r="DF221" s="36"/>
      <c r="DG221" s="51"/>
      <c r="DH221" s="36"/>
      <c r="DI221" s="36"/>
      <c r="DJ221" s="36"/>
      <c r="DK221" s="36"/>
      <c r="DL221" s="51"/>
      <c r="DM221" s="51"/>
      <c r="DN221" s="51"/>
    </row>
    <row r="222" spans="1:118" ht="15.75" customHeight="1">
      <c r="A222" s="171"/>
      <c r="B222" s="51"/>
      <c r="C222" s="99"/>
      <c r="D222" s="101"/>
      <c r="E222" s="102"/>
      <c r="F222" s="51"/>
      <c r="G222" s="103"/>
      <c r="H222" s="103"/>
      <c r="I222" s="104"/>
      <c r="J222" s="101"/>
      <c r="K222" s="101"/>
      <c r="M222" s="51"/>
      <c r="N222" s="51"/>
      <c r="O222" s="51"/>
      <c r="P222" s="51"/>
      <c r="Q222" s="51"/>
      <c r="R222" s="36"/>
      <c r="S222" s="51"/>
      <c r="T222" s="59"/>
      <c r="U222" s="112"/>
      <c r="V222" s="39"/>
      <c r="W222" s="39"/>
      <c r="X222" s="40"/>
      <c r="Y222" s="39"/>
      <c r="Z222" s="41"/>
      <c r="AA222" s="41"/>
      <c r="AB222" s="51"/>
      <c r="AC222" s="51"/>
      <c r="AD222" s="51"/>
      <c r="AE222" s="51"/>
      <c r="AF222" s="51"/>
      <c r="AG222" s="51"/>
      <c r="AH222" s="51"/>
      <c r="AI222" s="106"/>
      <c r="AJ222" s="61"/>
      <c r="AK222" s="106"/>
      <c r="AL222" s="61"/>
      <c r="AM222" s="107"/>
      <c r="AN222" s="99"/>
      <c r="AO222" s="99"/>
      <c r="AP222" s="51"/>
      <c r="AQ222" s="51"/>
      <c r="AR222" s="51"/>
      <c r="AS222" s="101"/>
      <c r="AT222" s="101"/>
      <c r="AU222" s="51"/>
      <c r="AV222" s="51"/>
      <c r="AW222" s="51"/>
      <c r="AX222" s="51"/>
      <c r="AY222" s="106"/>
      <c r="AZ222" s="106"/>
      <c r="BA222" s="106"/>
      <c r="BB222" s="106"/>
      <c r="BC222" s="38"/>
      <c r="BD222" s="38"/>
      <c r="BE222" s="34"/>
      <c r="BF222" s="51"/>
      <c r="BG222" s="36"/>
      <c r="BH222" s="51"/>
      <c r="BI222" s="99"/>
      <c r="BJ222" s="99"/>
      <c r="BK222" s="51"/>
      <c r="BL222" s="51"/>
      <c r="BM222" s="51"/>
      <c r="BN222" s="51"/>
      <c r="BO222" s="99"/>
      <c r="BP222" s="99"/>
      <c r="BQ222" s="99"/>
      <c r="BR222" s="99"/>
      <c r="BS222" s="51"/>
      <c r="BT222" s="99"/>
      <c r="BU222" s="99"/>
      <c r="BV222" s="99"/>
      <c r="BW222" s="51"/>
      <c r="BX222" s="51"/>
      <c r="BY222" s="100"/>
      <c r="BZ222" s="100"/>
      <c r="CA222" s="36"/>
      <c r="CB222" s="36"/>
      <c r="CC222" s="51"/>
      <c r="CD222" s="36"/>
      <c r="CE222" s="36"/>
      <c r="CF222" s="36"/>
      <c r="CG222" s="36"/>
      <c r="CH222" s="51"/>
      <c r="CI222" s="36"/>
      <c r="CJ222" s="36"/>
      <c r="CK222" s="36"/>
      <c r="CL222" s="36"/>
      <c r="CM222" s="51"/>
      <c r="CN222" s="36"/>
      <c r="CO222" s="36"/>
      <c r="CP222" s="36"/>
      <c r="CQ222" s="36"/>
      <c r="CR222" s="51"/>
      <c r="CS222" s="36"/>
      <c r="CT222" s="36"/>
      <c r="CU222" s="36"/>
      <c r="CV222" s="36"/>
      <c r="CW222" s="51"/>
      <c r="CX222" s="36"/>
      <c r="CY222" s="36"/>
      <c r="CZ222" s="36"/>
      <c r="DA222" s="36"/>
      <c r="DB222" s="51"/>
      <c r="DC222" s="36"/>
      <c r="DD222" s="36"/>
      <c r="DE222" s="36"/>
      <c r="DF222" s="36"/>
      <c r="DG222" s="51"/>
      <c r="DH222" s="36"/>
      <c r="DI222" s="36"/>
      <c r="DJ222" s="36"/>
      <c r="DK222" s="36"/>
      <c r="DL222" s="51"/>
      <c r="DM222" s="51"/>
      <c r="DN222" s="51"/>
    </row>
    <row r="223" spans="1:118" ht="15.75" customHeight="1">
      <c r="A223" s="171"/>
      <c r="B223" s="51"/>
      <c r="C223" s="99"/>
      <c r="D223" s="101"/>
      <c r="E223" s="102"/>
      <c r="F223" s="51"/>
      <c r="G223" s="103"/>
      <c r="H223" s="103"/>
      <c r="I223" s="104"/>
      <c r="J223" s="101"/>
      <c r="K223" s="101"/>
      <c r="M223" s="51"/>
      <c r="N223" s="51"/>
      <c r="O223" s="51"/>
      <c r="P223" s="51"/>
      <c r="Q223" s="51"/>
      <c r="R223" s="36"/>
      <c r="S223" s="51"/>
      <c r="T223" s="59"/>
      <c r="U223" s="112"/>
      <c r="V223" s="39"/>
      <c r="W223" s="39"/>
      <c r="X223" s="40"/>
      <c r="Y223" s="39"/>
      <c r="Z223" s="41"/>
      <c r="AA223" s="41"/>
      <c r="AB223" s="51"/>
      <c r="AC223" s="51"/>
      <c r="AD223" s="51"/>
      <c r="AE223" s="51"/>
      <c r="AF223" s="51"/>
      <c r="AG223" s="51"/>
      <c r="AH223" s="51"/>
      <c r="AI223" s="106"/>
      <c r="AJ223" s="61"/>
      <c r="AK223" s="106"/>
      <c r="AL223" s="61"/>
      <c r="AM223" s="107"/>
      <c r="AN223" s="99"/>
      <c r="AO223" s="99"/>
      <c r="AP223" s="51"/>
      <c r="AQ223" s="51"/>
      <c r="AR223" s="51"/>
      <c r="AS223" s="101"/>
      <c r="AT223" s="101"/>
      <c r="AU223" s="51"/>
      <c r="AV223" s="51"/>
      <c r="AW223" s="51"/>
      <c r="AX223" s="51"/>
      <c r="AY223" s="106"/>
      <c r="AZ223" s="106"/>
      <c r="BA223" s="106"/>
      <c r="BB223" s="106"/>
      <c r="BC223" s="38"/>
      <c r="BD223" s="38"/>
      <c r="BE223" s="34"/>
      <c r="BF223" s="51"/>
      <c r="BG223" s="36"/>
      <c r="BH223" s="51"/>
      <c r="BI223" s="99"/>
      <c r="BJ223" s="99"/>
      <c r="BK223" s="51"/>
      <c r="BL223" s="51"/>
      <c r="BM223" s="51"/>
      <c r="BN223" s="51"/>
      <c r="BO223" s="99"/>
      <c r="BP223" s="99"/>
      <c r="BQ223" s="99"/>
      <c r="BR223" s="99"/>
      <c r="BS223" s="51"/>
      <c r="BT223" s="99"/>
      <c r="BU223" s="99"/>
      <c r="BV223" s="99"/>
      <c r="BW223" s="51"/>
      <c r="BX223" s="51"/>
      <c r="BY223" s="100"/>
      <c r="BZ223" s="100"/>
      <c r="CA223" s="36"/>
      <c r="CB223" s="36"/>
      <c r="CC223" s="51"/>
      <c r="CD223" s="36"/>
      <c r="CE223" s="36"/>
      <c r="CF223" s="36"/>
      <c r="CG223" s="36"/>
      <c r="CH223" s="51"/>
      <c r="CI223" s="36"/>
      <c r="CJ223" s="36"/>
      <c r="CK223" s="36"/>
      <c r="CL223" s="36"/>
      <c r="CM223" s="51"/>
      <c r="CN223" s="36"/>
      <c r="CO223" s="36"/>
      <c r="CP223" s="36"/>
      <c r="CQ223" s="36"/>
      <c r="CR223" s="51"/>
      <c r="CS223" s="36"/>
      <c r="CT223" s="36"/>
      <c r="CU223" s="36"/>
      <c r="CV223" s="36"/>
      <c r="CW223" s="51"/>
      <c r="CX223" s="36"/>
      <c r="CY223" s="36"/>
      <c r="CZ223" s="36"/>
      <c r="DA223" s="36"/>
      <c r="DB223" s="51"/>
      <c r="DC223" s="36"/>
      <c r="DD223" s="36"/>
      <c r="DE223" s="36"/>
      <c r="DF223" s="36"/>
      <c r="DG223" s="51"/>
      <c r="DH223" s="36"/>
      <c r="DI223" s="36"/>
      <c r="DJ223" s="36"/>
      <c r="DK223" s="36"/>
      <c r="DL223" s="51"/>
      <c r="DM223" s="51"/>
      <c r="DN223" s="51"/>
    </row>
    <row r="224" spans="1:118" ht="15.75" customHeight="1">
      <c r="A224" s="171"/>
      <c r="B224" s="51"/>
      <c r="C224" s="99"/>
      <c r="D224" s="101"/>
      <c r="E224" s="102"/>
      <c r="F224" s="51"/>
      <c r="G224" s="103"/>
      <c r="H224" s="103"/>
      <c r="I224" s="104"/>
      <c r="J224" s="101"/>
      <c r="K224" s="101"/>
      <c r="M224" s="51"/>
      <c r="N224" s="51"/>
      <c r="O224" s="51"/>
      <c r="P224" s="51"/>
      <c r="Q224" s="51"/>
      <c r="R224" s="36"/>
      <c r="S224" s="51"/>
      <c r="T224" s="59"/>
      <c r="U224" s="112"/>
      <c r="V224" s="39"/>
      <c r="W224" s="39"/>
      <c r="X224" s="40"/>
      <c r="Y224" s="39"/>
      <c r="Z224" s="41"/>
      <c r="AA224" s="41"/>
      <c r="AB224" s="51"/>
      <c r="AC224" s="51"/>
      <c r="AD224" s="51"/>
      <c r="AE224" s="51"/>
      <c r="AF224" s="51"/>
      <c r="AG224" s="51"/>
      <c r="AH224" s="51"/>
      <c r="AI224" s="106"/>
      <c r="AJ224" s="61"/>
      <c r="AK224" s="106"/>
      <c r="AL224" s="61"/>
      <c r="AM224" s="107"/>
      <c r="AN224" s="99"/>
      <c r="AO224" s="99"/>
      <c r="AP224" s="51"/>
      <c r="AQ224" s="51"/>
      <c r="AR224" s="51"/>
      <c r="AS224" s="101"/>
      <c r="AT224" s="101"/>
      <c r="AU224" s="51"/>
      <c r="AV224" s="51"/>
      <c r="AW224" s="51"/>
      <c r="AX224" s="51"/>
      <c r="AY224" s="106"/>
      <c r="AZ224" s="106"/>
      <c r="BA224" s="106"/>
      <c r="BB224" s="106"/>
      <c r="BC224" s="38"/>
      <c r="BD224" s="38"/>
      <c r="BE224" s="34"/>
      <c r="BF224" s="51"/>
      <c r="BG224" s="36"/>
      <c r="BH224" s="51"/>
      <c r="BI224" s="99"/>
      <c r="BJ224" s="99"/>
      <c r="BK224" s="51"/>
      <c r="BL224" s="51"/>
      <c r="BM224" s="51"/>
      <c r="BN224" s="51"/>
      <c r="BO224" s="99"/>
      <c r="BP224" s="99"/>
      <c r="BQ224" s="99"/>
      <c r="BR224" s="99"/>
      <c r="BS224" s="51"/>
      <c r="BT224" s="99"/>
      <c r="BU224" s="99"/>
      <c r="BV224" s="99"/>
      <c r="BW224" s="51"/>
      <c r="BX224" s="51"/>
      <c r="BY224" s="100"/>
      <c r="BZ224" s="100"/>
      <c r="CA224" s="36"/>
      <c r="CB224" s="36"/>
      <c r="CC224" s="51"/>
      <c r="CD224" s="36"/>
      <c r="CE224" s="36"/>
      <c r="CF224" s="36"/>
      <c r="CG224" s="36"/>
      <c r="CH224" s="51"/>
      <c r="CI224" s="36"/>
      <c r="CJ224" s="36"/>
      <c r="CK224" s="36"/>
      <c r="CL224" s="36"/>
      <c r="CM224" s="51"/>
      <c r="CN224" s="36"/>
      <c r="CO224" s="36"/>
      <c r="CP224" s="36"/>
      <c r="CQ224" s="36"/>
      <c r="CR224" s="51"/>
      <c r="CS224" s="36"/>
      <c r="CT224" s="36"/>
      <c r="CU224" s="36"/>
      <c r="CV224" s="36"/>
      <c r="CW224" s="51"/>
      <c r="CX224" s="36"/>
      <c r="CY224" s="36"/>
      <c r="CZ224" s="36"/>
      <c r="DA224" s="36"/>
      <c r="DB224" s="51"/>
      <c r="DC224" s="36"/>
      <c r="DD224" s="36"/>
      <c r="DE224" s="36"/>
      <c r="DF224" s="36"/>
      <c r="DG224" s="51"/>
      <c r="DH224" s="36"/>
      <c r="DI224" s="36"/>
      <c r="DJ224" s="36"/>
      <c r="DK224" s="36"/>
      <c r="DL224" s="51"/>
      <c r="DM224" s="51"/>
      <c r="DN224" s="51"/>
    </row>
    <row r="225" spans="1:118" ht="15.75" customHeight="1">
      <c r="A225" s="171"/>
      <c r="B225" s="51"/>
      <c r="C225" s="99"/>
      <c r="D225" s="101"/>
      <c r="E225" s="102"/>
      <c r="F225" s="51"/>
      <c r="G225" s="103"/>
      <c r="H225" s="103"/>
      <c r="I225" s="104"/>
      <c r="J225" s="101"/>
      <c r="K225" s="101"/>
      <c r="M225" s="51"/>
      <c r="N225" s="51"/>
      <c r="O225" s="51"/>
      <c r="P225" s="51"/>
      <c r="Q225" s="51"/>
      <c r="R225" s="36"/>
      <c r="S225" s="51"/>
      <c r="T225" s="59"/>
      <c r="U225" s="112"/>
      <c r="V225" s="39"/>
      <c r="W225" s="39"/>
      <c r="X225" s="40"/>
      <c r="Y225" s="39"/>
      <c r="Z225" s="41"/>
      <c r="AA225" s="41"/>
      <c r="AB225" s="51"/>
      <c r="AC225" s="51"/>
      <c r="AD225" s="51"/>
      <c r="AE225" s="51"/>
      <c r="AF225" s="51"/>
      <c r="AG225" s="51"/>
      <c r="AH225" s="51"/>
      <c r="AI225" s="106"/>
      <c r="AJ225" s="61"/>
      <c r="AK225" s="106"/>
      <c r="AL225" s="61"/>
      <c r="AM225" s="107"/>
      <c r="AN225" s="99"/>
      <c r="AO225" s="99"/>
      <c r="AP225" s="51"/>
      <c r="AQ225" s="51"/>
      <c r="AR225" s="51"/>
      <c r="AS225" s="101"/>
      <c r="AT225" s="101"/>
      <c r="AU225" s="51"/>
      <c r="AV225" s="51"/>
      <c r="AW225" s="51"/>
      <c r="AX225" s="51"/>
      <c r="AY225" s="106"/>
      <c r="AZ225" s="106"/>
      <c r="BA225" s="106"/>
      <c r="BB225" s="106"/>
      <c r="BC225" s="38"/>
      <c r="BD225" s="38"/>
      <c r="BE225" s="34"/>
      <c r="BF225" s="51"/>
      <c r="BG225" s="36"/>
      <c r="BH225" s="51"/>
      <c r="BI225" s="99"/>
      <c r="BJ225" s="99"/>
      <c r="BK225" s="51"/>
      <c r="BL225" s="51"/>
      <c r="BM225" s="51"/>
      <c r="BN225" s="51"/>
      <c r="BO225" s="99"/>
      <c r="BP225" s="99"/>
      <c r="BQ225" s="99"/>
      <c r="BR225" s="99"/>
      <c r="BS225" s="51"/>
      <c r="BT225" s="99"/>
      <c r="BU225" s="99"/>
      <c r="BV225" s="99"/>
      <c r="BW225" s="51"/>
      <c r="BX225" s="51"/>
      <c r="BY225" s="100"/>
      <c r="BZ225" s="100"/>
      <c r="CA225" s="36"/>
      <c r="CB225" s="36"/>
      <c r="CC225" s="51"/>
      <c r="CD225" s="36"/>
      <c r="CE225" s="36"/>
      <c r="CF225" s="36"/>
      <c r="CG225" s="36"/>
      <c r="CH225" s="51"/>
      <c r="CI225" s="36"/>
      <c r="CJ225" s="36"/>
      <c r="CK225" s="36"/>
      <c r="CL225" s="36"/>
      <c r="CM225" s="51"/>
      <c r="CN225" s="36"/>
      <c r="CO225" s="36"/>
      <c r="CP225" s="36"/>
      <c r="CQ225" s="36"/>
      <c r="CR225" s="51"/>
      <c r="CS225" s="36"/>
      <c r="CT225" s="36"/>
      <c r="CU225" s="36"/>
      <c r="CV225" s="36"/>
      <c r="CW225" s="51"/>
      <c r="CX225" s="36"/>
      <c r="CY225" s="36"/>
      <c r="CZ225" s="36"/>
      <c r="DA225" s="36"/>
      <c r="DB225" s="51"/>
      <c r="DC225" s="36"/>
      <c r="DD225" s="36"/>
      <c r="DE225" s="36"/>
      <c r="DF225" s="36"/>
      <c r="DG225" s="51"/>
      <c r="DH225" s="36"/>
      <c r="DI225" s="36"/>
      <c r="DJ225" s="36"/>
      <c r="DK225" s="36"/>
      <c r="DL225" s="51"/>
      <c r="DM225" s="51"/>
      <c r="DN225" s="51"/>
    </row>
    <row r="226" spans="1:118" ht="15.75" customHeight="1">
      <c r="A226" s="171"/>
      <c r="B226" s="51"/>
      <c r="C226" s="99"/>
      <c r="D226" s="101"/>
      <c r="E226" s="102"/>
      <c r="F226" s="51"/>
      <c r="G226" s="103"/>
      <c r="H226" s="103"/>
      <c r="I226" s="104"/>
      <c r="J226" s="101"/>
      <c r="K226" s="101"/>
      <c r="M226" s="51"/>
      <c r="N226" s="51"/>
      <c r="O226" s="51"/>
      <c r="P226" s="51"/>
      <c r="Q226" s="51"/>
      <c r="R226" s="36"/>
      <c r="S226" s="51"/>
      <c r="T226" s="59"/>
      <c r="U226" s="112"/>
      <c r="V226" s="39"/>
      <c r="W226" s="39"/>
      <c r="X226" s="40"/>
      <c r="Y226" s="39"/>
      <c r="Z226" s="41"/>
      <c r="AA226" s="41"/>
      <c r="AB226" s="51"/>
      <c r="AC226" s="51"/>
      <c r="AD226" s="51"/>
      <c r="AE226" s="51"/>
      <c r="AF226" s="51"/>
      <c r="AG226" s="51"/>
      <c r="AH226" s="51"/>
      <c r="AI226" s="106"/>
      <c r="AJ226" s="61"/>
      <c r="AK226" s="106"/>
      <c r="AL226" s="61"/>
      <c r="AM226" s="107"/>
      <c r="AN226" s="99"/>
      <c r="AO226" s="99"/>
      <c r="AP226" s="51"/>
      <c r="AQ226" s="51"/>
      <c r="AR226" s="51"/>
      <c r="AS226" s="101"/>
      <c r="AT226" s="101"/>
      <c r="AU226" s="51"/>
      <c r="AV226" s="51"/>
      <c r="AW226" s="51"/>
      <c r="AX226" s="51"/>
      <c r="AY226" s="106"/>
      <c r="AZ226" s="106"/>
      <c r="BA226" s="106"/>
      <c r="BB226" s="106"/>
      <c r="BC226" s="38"/>
      <c r="BD226" s="38"/>
      <c r="BE226" s="34"/>
      <c r="BF226" s="51"/>
      <c r="BG226" s="36"/>
      <c r="BH226" s="51"/>
      <c r="BI226" s="99"/>
      <c r="BJ226" s="99"/>
      <c r="BK226" s="51"/>
      <c r="BL226" s="51"/>
      <c r="BM226" s="51"/>
      <c r="BN226" s="51"/>
      <c r="BO226" s="99"/>
      <c r="BP226" s="99"/>
      <c r="BQ226" s="99"/>
      <c r="BR226" s="99"/>
      <c r="BS226" s="51"/>
      <c r="BT226" s="99"/>
      <c r="BU226" s="99"/>
      <c r="BV226" s="99"/>
      <c r="BW226" s="51"/>
      <c r="BX226" s="51"/>
      <c r="BY226" s="100"/>
      <c r="BZ226" s="100"/>
      <c r="CA226" s="36"/>
      <c r="CB226" s="36"/>
      <c r="CC226" s="51"/>
      <c r="CD226" s="36"/>
      <c r="CE226" s="36"/>
      <c r="CF226" s="36"/>
      <c r="CG226" s="36"/>
      <c r="CH226" s="51"/>
      <c r="CI226" s="36"/>
      <c r="CJ226" s="36"/>
      <c r="CK226" s="36"/>
      <c r="CL226" s="36"/>
      <c r="CM226" s="51"/>
      <c r="CN226" s="36"/>
      <c r="CO226" s="36"/>
      <c r="CP226" s="36"/>
      <c r="CQ226" s="36"/>
      <c r="CR226" s="51"/>
      <c r="CS226" s="36"/>
      <c r="CT226" s="36"/>
      <c r="CU226" s="36"/>
      <c r="CV226" s="36"/>
      <c r="CW226" s="51"/>
      <c r="CX226" s="36"/>
      <c r="CY226" s="36"/>
      <c r="CZ226" s="36"/>
      <c r="DA226" s="36"/>
      <c r="DB226" s="51"/>
      <c r="DC226" s="36"/>
      <c r="DD226" s="36"/>
      <c r="DE226" s="36"/>
      <c r="DF226" s="36"/>
      <c r="DG226" s="51"/>
      <c r="DH226" s="36"/>
      <c r="DI226" s="36"/>
      <c r="DJ226" s="36"/>
      <c r="DK226" s="36"/>
      <c r="DL226" s="51"/>
      <c r="DM226" s="51"/>
      <c r="DN226" s="51"/>
    </row>
    <row r="227" spans="1:118" ht="15.75" customHeight="1">
      <c r="A227" s="171"/>
      <c r="B227" s="51"/>
      <c r="C227" s="99"/>
      <c r="D227" s="101"/>
      <c r="E227" s="102"/>
      <c r="F227" s="51"/>
      <c r="G227" s="103"/>
      <c r="H227" s="103"/>
      <c r="I227" s="104"/>
      <c r="J227" s="101"/>
      <c r="K227" s="101"/>
      <c r="M227" s="51"/>
      <c r="N227" s="51"/>
      <c r="O227" s="51"/>
      <c r="P227" s="51"/>
      <c r="Q227" s="51"/>
      <c r="R227" s="36"/>
      <c r="S227" s="51"/>
      <c r="T227" s="59"/>
      <c r="U227" s="112"/>
      <c r="V227" s="39"/>
      <c r="W227" s="39"/>
      <c r="X227" s="40"/>
      <c r="Y227" s="39"/>
      <c r="Z227" s="41"/>
      <c r="AA227" s="41"/>
      <c r="AB227" s="51"/>
      <c r="AC227" s="51"/>
      <c r="AD227" s="51"/>
      <c r="AE227" s="51"/>
      <c r="AF227" s="51"/>
      <c r="AG227" s="51"/>
      <c r="AH227" s="51"/>
      <c r="AI227" s="106"/>
      <c r="AJ227" s="61"/>
      <c r="AK227" s="106"/>
      <c r="AL227" s="61"/>
      <c r="AM227" s="107"/>
      <c r="AN227" s="99"/>
      <c r="AO227" s="99"/>
      <c r="AP227" s="51"/>
      <c r="AQ227" s="51"/>
      <c r="AR227" s="51"/>
      <c r="AS227" s="101"/>
      <c r="AT227" s="101"/>
      <c r="AU227" s="51"/>
      <c r="AV227" s="51"/>
      <c r="AW227" s="51"/>
      <c r="AX227" s="51"/>
      <c r="AY227" s="106"/>
      <c r="AZ227" s="106"/>
      <c r="BA227" s="106"/>
      <c r="BB227" s="106"/>
      <c r="BC227" s="38"/>
      <c r="BD227" s="38"/>
      <c r="BE227" s="34"/>
      <c r="BF227" s="51"/>
      <c r="BG227" s="36"/>
      <c r="BH227" s="51"/>
      <c r="BI227" s="99"/>
      <c r="BJ227" s="99"/>
      <c r="BK227" s="51"/>
      <c r="BL227" s="51"/>
      <c r="BM227" s="51"/>
      <c r="BN227" s="51"/>
      <c r="BO227" s="99"/>
      <c r="BP227" s="99"/>
      <c r="BQ227" s="99"/>
      <c r="BR227" s="99"/>
      <c r="BS227" s="51"/>
      <c r="BT227" s="99"/>
      <c r="BU227" s="99"/>
      <c r="BV227" s="99"/>
      <c r="BW227" s="51"/>
      <c r="BX227" s="51"/>
      <c r="BY227" s="100"/>
      <c r="BZ227" s="100"/>
      <c r="CA227" s="36"/>
      <c r="CB227" s="36"/>
      <c r="CC227" s="51"/>
      <c r="CD227" s="36"/>
      <c r="CE227" s="36"/>
      <c r="CF227" s="36"/>
      <c r="CG227" s="36"/>
      <c r="CH227" s="51"/>
      <c r="CI227" s="36"/>
      <c r="CJ227" s="36"/>
      <c r="CK227" s="36"/>
      <c r="CL227" s="36"/>
      <c r="CM227" s="51"/>
      <c r="CN227" s="36"/>
      <c r="CO227" s="36"/>
      <c r="CP227" s="36"/>
      <c r="CQ227" s="36"/>
      <c r="CR227" s="51"/>
      <c r="CS227" s="36"/>
      <c r="CT227" s="36"/>
      <c r="CU227" s="36"/>
      <c r="CV227" s="36"/>
      <c r="CW227" s="51"/>
      <c r="CX227" s="36"/>
      <c r="CY227" s="36"/>
      <c r="CZ227" s="36"/>
      <c r="DA227" s="36"/>
      <c r="DB227" s="51"/>
      <c r="DC227" s="36"/>
      <c r="DD227" s="36"/>
      <c r="DE227" s="36"/>
      <c r="DF227" s="36"/>
      <c r="DG227" s="51"/>
      <c r="DH227" s="36"/>
      <c r="DI227" s="36"/>
      <c r="DJ227" s="36"/>
      <c r="DK227" s="36"/>
      <c r="DL227" s="51"/>
      <c r="DM227" s="51"/>
      <c r="DN227" s="51"/>
    </row>
    <row r="228" spans="1:118" ht="15.75" customHeight="1">
      <c r="A228" s="171"/>
      <c r="B228" s="51"/>
      <c r="C228" s="99"/>
      <c r="D228" s="101"/>
      <c r="E228" s="102"/>
      <c r="F228" s="51"/>
      <c r="G228" s="103"/>
      <c r="H228" s="103"/>
      <c r="I228" s="104"/>
      <c r="J228" s="101"/>
      <c r="K228" s="101"/>
      <c r="M228" s="51"/>
      <c r="N228" s="51"/>
      <c r="O228" s="51"/>
      <c r="P228" s="51"/>
      <c r="Q228" s="51"/>
      <c r="R228" s="36"/>
      <c r="S228" s="51"/>
      <c r="T228" s="59"/>
      <c r="U228" s="112"/>
      <c r="V228" s="39"/>
      <c r="W228" s="39"/>
      <c r="X228" s="40"/>
      <c r="Y228" s="39"/>
      <c r="Z228" s="41"/>
      <c r="AA228" s="41"/>
      <c r="AB228" s="51"/>
      <c r="AC228" s="51"/>
      <c r="AD228" s="51"/>
      <c r="AE228" s="51"/>
      <c r="AF228" s="51"/>
      <c r="AG228" s="51"/>
      <c r="AH228" s="51"/>
      <c r="AI228" s="106"/>
      <c r="AJ228" s="61"/>
      <c r="AK228" s="106"/>
      <c r="AL228" s="61"/>
      <c r="AM228" s="107"/>
      <c r="AN228" s="99"/>
      <c r="AO228" s="99"/>
      <c r="AP228" s="51"/>
      <c r="AQ228" s="51"/>
      <c r="AR228" s="51"/>
      <c r="AS228" s="101"/>
      <c r="AT228" s="101"/>
      <c r="AU228" s="51"/>
      <c r="AV228" s="51"/>
      <c r="AW228" s="51"/>
      <c r="AX228" s="51"/>
      <c r="AY228" s="106"/>
      <c r="AZ228" s="106"/>
      <c r="BA228" s="106"/>
      <c r="BB228" s="106"/>
      <c r="BC228" s="38"/>
      <c r="BD228" s="38"/>
      <c r="BE228" s="34"/>
      <c r="BF228" s="51"/>
      <c r="BG228" s="36"/>
      <c r="BH228" s="51"/>
      <c r="BI228" s="99"/>
      <c r="BJ228" s="99"/>
      <c r="BK228" s="51"/>
      <c r="BL228" s="51"/>
      <c r="BM228" s="51"/>
      <c r="BN228" s="51"/>
      <c r="BO228" s="99"/>
      <c r="BP228" s="99"/>
      <c r="BQ228" s="99"/>
      <c r="BR228" s="99"/>
      <c r="BS228" s="51"/>
      <c r="BT228" s="99"/>
      <c r="BU228" s="99"/>
      <c r="BV228" s="99"/>
      <c r="BW228" s="51"/>
      <c r="BX228" s="51"/>
      <c r="BY228" s="100"/>
      <c r="BZ228" s="100"/>
      <c r="CA228" s="36"/>
      <c r="CB228" s="36"/>
      <c r="CC228" s="51"/>
      <c r="CD228" s="36"/>
      <c r="CE228" s="36"/>
      <c r="CF228" s="36"/>
      <c r="CG228" s="36"/>
      <c r="CH228" s="51"/>
      <c r="CI228" s="36"/>
      <c r="CJ228" s="36"/>
      <c r="CK228" s="36"/>
      <c r="CL228" s="36"/>
      <c r="CM228" s="51"/>
      <c r="CN228" s="36"/>
      <c r="CO228" s="36"/>
      <c r="CP228" s="36"/>
      <c r="CQ228" s="36"/>
      <c r="CR228" s="51"/>
      <c r="CS228" s="36"/>
      <c r="CT228" s="36"/>
      <c r="CU228" s="36"/>
      <c r="CV228" s="36"/>
      <c r="CW228" s="51"/>
      <c r="CX228" s="36"/>
      <c r="CY228" s="36"/>
      <c r="CZ228" s="36"/>
      <c r="DA228" s="36"/>
      <c r="DB228" s="51"/>
      <c r="DC228" s="36"/>
      <c r="DD228" s="36"/>
      <c r="DE228" s="36"/>
      <c r="DF228" s="36"/>
      <c r="DG228" s="51"/>
      <c r="DH228" s="36"/>
      <c r="DI228" s="36"/>
      <c r="DJ228" s="36"/>
      <c r="DK228" s="36"/>
      <c r="DL228" s="51"/>
      <c r="DM228" s="51"/>
      <c r="DN228" s="51"/>
    </row>
    <row r="229" spans="1:118" ht="15.75" customHeight="1">
      <c r="A229" s="171"/>
      <c r="B229" s="51"/>
      <c r="C229" s="99"/>
      <c r="D229" s="101"/>
      <c r="E229" s="102"/>
      <c r="F229" s="51"/>
      <c r="G229" s="103"/>
      <c r="H229" s="103"/>
      <c r="I229" s="104"/>
      <c r="J229" s="101"/>
      <c r="K229" s="101"/>
      <c r="M229" s="51"/>
      <c r="N229" s="51"/>
      <c r="O229" s="51"/>
      <c r="P229" s="51"/>
      <c r="Q229" s="51"/>
      <c r="R229" s="36"/>
      <c r="S229" s="51"/>
      <c r="T229" s="59"/>
      <c r="U229" s="112"/>
      <c r="V229" s="39"/>
      <c r="W229" s="39"/>
      <c r="X229" s="40"/>
      <c r="Y229" s="39"/>
      <c r="Z229" s="41"/>
      <c r="AA229" s="41"/>
      <c r="AB229" s="51"/>
      <c r="AC229" s="51"/>
      <c r="AD229" s="51"/>
      <c r="AE229" s="51"/>
      <c r="AF229" s="51"/>
      <c r="AG229" s="51"/>
      <c r="AH229" s="51"/>
      <c r="AI229" s="106"/>
      <c r="AJ229" s="61"/>
      <c r="AK229" s="106"/>
      <c r="AL229" s="61"/>
      <c r="AM229" s="107"/>
      <c r="AN229" s="99"/>
      <c r="AO229" s="99"/>
      <c r="AP229" s="51"/>
      <c r="AQ229" s="51"/>
      <c r="AR229" s="51"/>
      <c r="AS229" s="101"/>
      <c r="AT229" s="101"/>
      <c r="AU229" s="51"/>
      <c r="AV229" s="51"/>
      <c r="AW229" s="51"/>
      <c r="AX229" s="51"/>
      <c r="AY229" s="106"/>
      <c r="AZ229" s="106"/>
      <c r="BA229" s="106"/>
      <c r="BB229" s="106"/>
      <c r="BC229" s="38"/>
      <c r="BD229" s="38"/>
      <c r="BE229" s="34"/>
      <c r="BF229" s="51"/>
      <c r="BG229" s="36"/>
      <c r="BH229" s="51"/>
      <c r="BI229" s="99"/>
      <c r="BJ229" s="99"/>
      <c r="BK229" s="51"/>
      <c r="BL229" s="51"/>
      <c r="BM229" s="51"/>
      <c r="BN229" s="51"/>
      <c r="BO229" s="99"/>
      <c r="BP229" s="99"/>
      <c r="BQ229" s="99"/>
      <c r="BR229" s="99"/>
      <c r="BS229" s="51"/>
      <c r="BT229" s="99"/>
      <c r="BU229" s="99"/>
      <c r="BV229" s="99"/>
      <c r="BW229" s="51"/>
      <c r="BX229" s="51"/>
      <c r="BY229" s="100"/>
      <c r="BZ229" s="100"/>
      <c r="CA229" s="36"/>
      <c r="CB229" s="36"/>
      <c r="CC229" s="51"/>
      <c r="CD229" s="36"/>
      <c r="CE229" s="36"/>
      <c r="CF229" s="36"/>
      <c r="CG229" s="36"/>
      <c r="CH229" s="51"/>
      <c r="CI229" s="36"/>
      <c r="CJ229" s="36"/>
      <c r="CK229" s="36"/>
      <c r="CL229" s="36"/>
      <c r="CM229" s="51"/>
      <c r="CN229" s="36"/>
      <c r="CO229" s="36"/>
      <c r="CP229" s="36"/>
      <c r="CQ229" s="36"/>
      <c r="CR229" s="51"/>
      <c r="CS229" s="36"/>
      <c r="CT229" s="36"/>
      <c r="CU229" s="36"/>
      <c r="CV229" s="36"/>
      <c r="CW229" s="51"/>
      <c r="CX229" s="36"/>
      <c r="CY229" s="36"/>
      <c r="CZ229" s="36"/>
      <c r="DA229" s="36"/>
      <c r="DB229" s="51"/>
      <c r="DC229" s="36"/>
      <c r="DD229" s="36"/>
      <c r="DE229" s="36"/>
      <c r="DF229" s="36"/>
      <c r="DG229" s="51"/>
      <c r="DH229" s="36"/>
      <c r="DI229" s="36"/>
      <c r="DJ229" s="36"/>
      <c r="DK229" s="36"/>
      <c r="DL229" s="51"/>
      <c r="DM229" s="51"/>
      <c r="DN229" s="51"/>
    </row>
    <row r="230" spans="1:118" ht="15.75" customHeight="1">
      <c r="A230" s="171"/>
      <c r="B230" s="51"/>
      <c r="C230" s="99"/>
      <c r="D230" s="101"/>
      <c r="E230" s="102"/>
      <c r="F230" s="51"/>
      <c r="G230" s="103"/>
      <c r="H230" s="103"/>
      <c r="I230" s="104"/>
      <c r="J230" s="101"/>
      <c r="K230" s="101"/>
      <c r="M230" s="51"/>
      <c r="N230" s="51"/>
      <c r="O230" s="51"/>
      <c r="P230" s="51"/>
      <c r="Q230" s="51"/>
      <c r="R230" s="36"/>
      <c r="S230" s="51"/>
      <c r="T230" s="59"/>
      <c r="U230" s="112"/>
      <c r="V230" s="39"/>
      <c r="W230" s="39"/>
      <c r="X230" s="40"/>
      <c r="Y230" s="39"/>
      <c r="Z230" s="41"/>
      <c r="AA230" s="41"/>
      <c r="AB230" s="51"/>
      <c r="AC230" s="51"/>
      <c r="AD230" s="51"/>
      <c r="AE230" s="51"/>
      <c r="AF230" s="51"/>
      <c r="AG230" s="51"/>
      <c r="AH230" s="51"/>
      <c r="AI230" s="106"/>
      <c r="AJ230" s="61"/>
      <c r="AK230" s="106"/>
      <c r="AL230" s="61"/>
      <c r="AM230" s="107"/>
      <c r="AN230" s="99"/>
      <c r="AO230" s="99"/>
      <c r="AP230" s="51"/>
      <c r="AQ230" s="51"/>
      <c r="AR230" s="51"/>
      <c r="AS230" s="101"/>
      <c r="AT230" s="101"/>
      <c r="AU230" s="51"/>
      <c r="AV230" s="51"/>
      <c r="AW230" s="51"/>
      <c r="AX230" s="51"/>
      <c r="AY230" s="106"/>
      <c r="AZ230" s="106"/>
      <c r="BA230" s="106"/>
      <c r="BB230" s="106"/>
      <c r="BC230" s="38"/>
      <c r="BD230" s="38"/>
      <c r="BE230" s="34"/>
      <c r="BF230" s="51"/>
      <c r="BG230" s="36"/>
      <c r="BH230" s="51"/>
      <c r="BI230" s="99"/>
      <c r="BJ230" s="99"/>
      <c r="BK230" s="51"/>
      <c r="BL230" s="51"/>
      <c r="BM230" s="51"/>
      <c r="BN230" s="51"/>
      <c r="BO230" s="99"/>
      <c r="BP230" s="99"/>
      <c r="BQ230" s="99"/>
      <c r="BR230" s="99"/>
      <c r="BS230" s="51"/>
      <c r="BT230" s="99"/>
      <c r="BU230" s="99"/>
      <c r="BV230" s="99"/>
      <c r="BW230" s="51"/>
      <c r="BX230" s="51"/>
      <c r="BY230" s="100"/>
      <c r="BZ230" s="100"/>
      <c r="CA230" s="36"/>
      <c r="CB230" s="36"/>
      <c r="CC230" s="51"/>
      <c r="CD230" s="36"/>
      <c r="CE230" s="36"/>
      <c r="CF230" s="36"/>
      <c r="CG230" s="36"/>
      <c r="CH230" s="51"/>
      <c r="CI230" s="36"/>
      <c r="CJ230" s="36"/>
      <c r="CK230" s="36"/>
      <c r="CL230" s="36"/>
      <c r="CM230" s="51"/>
      <c r="CN230" s="36"/>
      <c r="CO230" s="36"/>
      <c r="CP230" s="36"/>
      <c r="CQ230" s="36"/>
      <c r="CR230" s="51"/>
      <c r="CS230" s="36"/>
      <c r="CT230" s="36"/>
      <c r="CU230" s="36"/>
      <c r="CV230" s="36"/>
      <c r="CW230" s="51"/>
      <c r="CX230" s="36"/>
      <c r="CY230" s="36"/>
      <c r="CZ230" s="36"/>
      <c r="DA230" s="36"/>
      <c r="DB230" s="51"/>
      <c r="DC230" s="36"/>
      <c r="DD230" s="36"/>
      <c r="DE230" s="36"/>
      <c r="DF230" s="36"/>
      <c r="DG230" s="51"/>
      <c r="DH230" s="36"/>
      <c r="DI230" s="36"/>
      <c r="DJ230" s="36"/>
      <c r="DK230" s="36"/>
      <c r="DL230" s="51"/>
      <c r="DM230" s="51"/>
      <c r="DN230" s="51"/>
    </row>
    <row r="231" spans="1:118" ht="15.75" customHeight="1">
      <c r="A231" s="171"/>
      <c r="B231" s="51"/>
      <c r="C231" s="99"/>
      <c r="D231" s="101"/>
      <c r="E231" s="102"/>
      <c r="F231" s="51"/>
      <c r="G231" s="103"/>
      <c r="H231" s="103"/>
      <c r="I231" s="104"/>
      <c r="J231" s="101"/>
      <c r="K231" s="101"/>
      <c r="M231" s="51"/>
      <c r="N231" s="51"/>
      <c r="O231" s="51"/>
      <c r="P231" s="51"/>
      <c r="Q231" s="51"/>
      <c r="R231" s="36"/>
      <c r="S231" s="51"/>
      <c r="T231" s="59"/>
      <c r="U231" s="112"/>
      <c r="V231" s="39"/>
      <c r="W231" s="39"/>
      <c r="X231" s="40"/>
      <c r="Y231" s="39"/>
      <c r="Z231" s="41"/>
      <c r="AA231" s="41"/>
      <c r="AB231" s="51"/>
      <c r="AC231" s="51"/>
      <c r="AD231" s="51"/>
      <c r="AE231" s="51"/>
      <c r="AF231" s="51"/>
      <c r="AG231" s="51"/>
      <c r="AH231" s="51"/>
      <c r="AI231" s="106"/>
      <c r="AJ231" s="61"/>
      <c r="AK231" s="106"/>
      <c r="AL231" s="61"/>
      <c r="AM231" s="107"/>
      <c r="AN231" s="99"/>
      <c r="AO231" s="99"/>
      <c r="AP231" s="51"/>
      <c r="AQ231" s="51"/>
      <c r="AR231" s="51"/>
      <c r="AS231" s="101"/>
      <c r="AT231" s="101"/>
      <c r="AU231" s="51"/>
      <c r="AV231" s="51"/>
      <c r="AW231" s="51"/>
      <c r="AX231" s="51"/>
      <c r="AY231" s="106"/>
      <c r="AZ231" s="106"/>
      <c r="BA231" s="106"/>
      <c r="BB231" s="106"/>
      <c r="BC231" s="38"/>
      <c r="BD231" s="38"/>
      <c r="BE231" s="34"/>
      <c r="BF231" s="51"/>
      <c r="BG231" s="36"/>
      <c r="BH231" s="51"/>
      <c r="BI231" s="99"/>
      <c r="BJ231" s="99"/>
      <c r="BK231" s="51"/>
      <c r="BL231" s="51"/>
      <c r="BM231" s="51"/>
      <c r="BN231" s="51"/>
      <c r="BO231" s="99"/>
      <c r="BP231" s="99"/>
      <c r="BQ231" s="99"/>
      <c r="BR231" s="99"/>
      <c r="BS231" s="51"/>
      <c r="BT231" s="99"/>
      <c r="BU231" s="99"/>
      <c r="BV231" s="99"/>
      <c r="BW231" s="51"/>
      <c r="BX231" s="51"/>
      <c r="BY231" s="100"/>
      <c r="BZ231" s="100"/>
      <c r="CA231" s="36"/>
      <c r="CB231" s="36"/>
      <c r="CC231" s="51"/>
      <c r="CD231" s="36"/>
      <c r="CE231" s="36"/>
      <c r="CF231" s="36"/>
      <c r="CG231" s="36"/>
      <c r="CH231" s="51"/>
      <c r="CI231" s="36"/>
      <c r="CJ231" s="36"/>
      <c r="CK231" s="36"/>
      <c r="CL231" s="36"/>
      <c r="CM231" s="51"/>
      <c r="CN231" s="36"/>
      <c r="CO231" s="36"/>
      <c r="CP231" s="36"/>
      <c r="CQ231" s="36"/>
      <c r="CR231" s="51"/>
      <c r="CS231" s="36"/>
      <c r="CT231" s="36"/>
      <c r="CU231" s="36"/>
      <c r="CV231" s="36"/>
      <c r="CW231" s="51"/>
      <c r="CX231" s="36"/>
      <c r="CY231" s="36"/>
      <c r="CZ231" s="36"/>
      <c r="DA231" s="36"/>
      <c r="DB231" s="51"/>
      <c r="DC231" s="36"/>
      <c r="DD231" s="36"/>
      <c r="DE231" s="36"/>
      <c r="DF231" s="36"/>
      <c r="DG231" s="51"/>
      <c r="DH231" s="36"/>
      <c r="DI231" s="36"/>
      <c r="DJ231" s="36"/>
      <c r="DK231" s="36"/>
      <c r="DL231" s="51"/>
      <c r="DM231" s="51"/>
      <c r="DN231" s="51"/>
    </row>
    <row r="232" spans="1:118" ht="15.75" customHeight="1">
      <c r="A232" s="171"/>
      <c r="B232" s="51"/>
      <c r="C232" s="99"/>
      <c r="D232" s="101"/>
      <c r="E232" s="102"/>
      <c r="F232" s="51"/>
      <c r="G232" s="103"/>
      <c r="H232" s="103"/>
      <c r="I232" s="104"/>
      <c r="J232" s="101"/>
      <c r="K232" s="101"/>
      <c r="M232" s="51"/>
      <c r="N232" s="51"/>
      <c r="O232" s="51"/>
      <c r="P232" s="51"/>
      <c r="Q232" s="51"/>
      <c r="R232" s="36"/>
      <c r="S232" s="51"/>
      <c r="T232" s="59"/>
      <c r="U232" s="112"/>
      <c r="V232" s="39"/>
      <c r="W232" s="39"/>
      <c r="X232" s="40"/>
      <c r="Y232" s="39"/>
      <c r="Z232" s="41"/>
      <c r="AA232" s="41"/>
      <c r="AB232" s="51"/>
      <c r="AC232" s="51"/>
      <c r="AD232" s="51"/>
      <c r="AE232" s="51"/>
      <c r="AF232" s="51"/>
      <c r="AG232" s="51"/>
      <c r="AH232" s="51"/>
      <c r="AI232" s="106"/>
      <c r="AJ232" s="61"/>
      <c r="AK232" s="106"/>
      <c r="AL232" s="61"/>
      <c r="AM232" s="107"/>
      <c r="AN232" s="99"/>
      <c r="AO232" s="99"/>
      <c r="AP232" s="51"/>
      <c r="AQ232" s="51"/>
      <c r="AR232" s="51"/>
      <c r="AS232" s="101"/>
      <c r="AT232" s="101"/>
      <c r="AU232" s="51"/>
      <c r="AV232" s="51"/>
      <c r="AW232" s="51"/>
      <c r="AX232" s="51"/>
      <c r="AY232" s="106"/>
      <c r="AZ232" s="106"/>
      <c r="BA232" s="106"/>
      <c r="BB232" s="106"/>
      <c r="BC232" s="38"/>
      <c r="BD232" s="38"/>
      <c r="BE232" s="34"/>
      <c r="BF232" s="51"/>
      <c r="BG232" s="36"/>
      <c r="BH232" s="51"/>
      <c r="BI232" s="99"/>
      <c r="BJ232" s="99"/>
      <c r="BK232" s="51"/>
      <c r="BL232" s="51"/>
      <c r="BM232" s="51"/>
      <c r="BN232" s="51"/>
      <c r="BO232" s="99"/>
      <c r="BP232" s="99"/>
      <c r="BQ232" s="99"/>
      <c r="BR232" s="99"/>
      <c r="BS232" s="51"/>
      <c r="BT232" s="99"/>
      <c r="BU232" s="99"/>
      <c r="BV232" s="99"/>
      <c r="BW232" s="51"/>
      <c r="BX232" s="51"/>
      <c r="BY232" s="100"/>
      <c r="BZ232" s="100"/>
      <c r="CA232" s="36"/>
      <c r="CB232" s="36"/>
      <c r="CC232" s="51"/>
      <c r="CD232" s="36"/>
      <c r="CE232" s="36"/>
      <c r="CF232" s="36"/>
      <c r="CG232" s="36"/>
      <c r="CH232" s="51"/>
      <c r="CI232" s="36"/>
      <c r="CJ232" s="36"/>
      <c r="CK232" s="36"/>
      <c r="CL232" s="36"/>
      <c r="CM232" s="51"/>
      <c r="CN232" s="36"/>
      <c r="CO232" s="36"/>
      <c r="CP232" s="36"/>
      <c r="CQ232" s="36"/>
      <c r="CR232" s="51"/>
      <c r="CS232" s="36"/>
      <c r="CT232" s="36"/>
      <c r="CU232" s="36"/>
      <c r="CV232" s="36"/>
      <c r="CW232" s="51"/>
      <c r="CX232" s="36"/>
      <c r="CY232" s="36"/>
      <c r="CZ232" s="36"/>
      <c r="DA232" s="36"/>
      <c r="DB232" s="51"/>
      <c r="DC232" s="36"/>
      <c r="DD232" s="36"/>
      <c r="DE232" s="36"/>
      <c r="DF232" s="36"/>
      <c r="DG232" s="51"/>
      <c r="DH232" s="36"/>
      <c r="DI232" s="36"/>
      <c r="DJ232" s="36"/>
      <c r="DK232" s="36"/>
      <c r="DL232" s="51"/>
      <c r="DM232" s="51"/>
      <c r="DN232" s="51"/>
    </row>
    <row r="233" spans="1:118" ht="15.75" customHeight="1">
      <c r="A233" s="171"/>
      <c r="B233" s="51"/>
      <c r="C233" s="99"/>
      <c r="D233" s="101"/>
      <c r="E233" s="102"/>
      <c r="F233" s="51"/>
      <c r="G233" s="103"/>
      <c r="H233" s="103"/>
      <c r="I233" s="104"/>
      <c r="J233" s="101"/>
      <c r="K233" s="101"/>
      <c r="M233" s="51"/>
      <c r="N233" s="51"/>
      <c r="O233" s="51"/>
      <c r="P233" s="51"/>
      <c r="Q233" s="51"/>
      <c r="R233" s="36"/>
      <c r="S233" s="51"/>
      <c r="T233" s="59"/>
      <c r="U233" s="112"/>
      <c r="V233" s="39"/>
      <c r="W233" s="39"/>
      <c r="X233" s="40"/>
      <c r="Y233" s="39"/>
      <c r="Z233" s="41"/>
      <c r="AA233" s="41"/>
      <c r="AB233" s="51"/>
      <c r="AC233" s="51"/>
      <c r="AD233" s="51"/>
      <c r="AE233" s="51"/>
      <c r="AF233" s="51"/>
      <c r="AG233" s="51"/>
      <c r="AH233" s="51"/>
      <c r="AI233" s="106"/>
      <c r="AJ233" s="61"/>
      <c r="AK233" s="106"/>
      <c r="AL233" s="61"/>
      <c r="AM233" s="107"/>
      <c r="AN233" s="99"/>
      <c r="AO233" s="99"/>
      <c r="AP233" s="51"/>
      <c r="AQ233" s="51"/>
      <c r="AR233" s="51"/>
      <c r="AS233" s="101"/>
      <c r="AT233" s="101"/>
      <c r="AU233" s="51"/>
      <c r="AV233" s="51"/>
      <c r="AW233" s="51"/>
      <c r="AX233" s="51"/>
      <c r="AY233" s="106"/>
      <c r="AZ233" s="106"/>
      <c r="BA233" s="106"/>
      <c r="BB233" s="106"/>
      <c r="BC233" s="38"/>
      <c r="BD233" s="38"/>
      <c r="BE233" s="34"/>
      <c r="BF233" s="51"/>
      <c r="BG233" s="36"/>
      <c r="BH233" s="51"/>
      <c r="BI233" s="99"/>
      <c r="BJ233" s="99"/>
      <c r="BK233" s="51"/>
      <c r="BL233" s="51"/>
      <c r="BM233" s="51"/>
      <c r="BN233" s="51"/>
      <c r="BO233" s="99"/>
      <c r="BP233" s="99"/>
      <c r="BQ233" s="99"/>
      <c r="BR233" s="99"/>
      <c r="BS233" s="51"/>
      <c r="BT233" s="99"/>
      <c r="BU233" s="99"/>
      <c r="BV233" s="99"/>
      <c r="BW233" s="51"/>
      <c r="BX233" s="51"/>
      <c r="BY233" s="100"/>
      <c r="BZ233" s="100"/>
      <c r="CA233" s="36"/>
      <c r="CB233" s="36"/>
      <c r="CC233" s="51"/>
      <c r="CD233" s="36"/>
      <c r="CE233" s="36"/>
      <c r="CF233" s="36"/>
      <c r="CG233" s="36"/>
      <c r="CH233" s="51"/>
      <c r="CI233" s="36"/>
      <c r="CJ233" s="36"/>
      <c r="CK233" s="36"/>
      <c r="CL233" s="36"/>
      <c r="CM233" s="51"/>
      <c r="CN233" s="36"/>
      <c r="CO233" s="36"/>
      <c r="CP233" s="36"/>
      <c r="CQ233" s="36"/>
      <c r="CR233" s="51"/>
      <c r="CS233" s="36"/>
      <c r="CT233" s="36"/>
      <c r="CU233" s="36"/>
      <c r="CV233" s="36"/>
      <c r="CW233" s="51"/>
      <c r="CX233" s="36"/>
      <c r="CY233" s="36"/>
      <c r="CZ233" s="36"/>
      <c r="DA233" s="36"/>
      <c r="DB233" s="51"/>
      <c r="DC233" s="36"/>
      <c r="DD233" s="36"/>
      <c r="DE233" s="36"/>
      <c r="DF233" s="36"/>
      <c r="DG233" s="51"/>
      <c r="DH233" s="36"/>
      <c r="DI233" s="36"/>
      <c r="DJ233" s="36"/>
      <c r="DK233" s="36"/>
      <c r="DL233" s="51"/>
      <c r="DM233" s="51"/>
      <c r="DN233" s="51"/>
    </row>
    <row r="234" spans="1:118" ht="15.75" customHeight="1">
      <c r="A234" s="171"/>
      <c r="B234" s="51"/>
      <c r="C234" s="99"/>
      <c r="D234" s="101"/>
      <c r="E234" s="102"/>
      <c r="F234" s="51"/>
      <c r="G234" s="103"/>
      <c r="H234" s="103"/>
      <c r="I234" s="104"/>
      <c r="J234" s="101"/>
      <c r="K234" s="101"/>
      <c r="M234" s="51"/>
      <c r="N234" s="51"/>
      <c r="O234" s="51"/>
      <c r="P234" s="51"/>
      <c r="Q234" s="51"/>
      <c r="R234" s="36"/>
      <c r="S234" s="51"/>
      <c r="T234" s="59"/>
      <c r="U234" s="112"/>
      <c r="V234" s="39"/>
      <c r="W234" s="39"/>
      <c r="X234" s="40"/>
      <c r="Y234" s="39"/>
      <c r="Z234" s="41"/>
      <c r="AA234" s="41"/>
      <c r="AB234" s="51"/>
      <c r="AC234" s="51"/>
      <c r="AD234" s="51"/>
      <c r="AE234" s="51"/>
      <c r="AF234" s="51"/>
      <c r="AG234" s="51"/>
      <c r="AH234" s="51"/>
      <c r="AI234" s="106"/>
      <c r="AJ234" s="61"/>
      <c r="AK234" s="106"/>
      <c r="AL234" s="61"/>
      <c r="AM234" s="107"/>
      <c r="AN234" s="99"/>
      <c r="AO234" s="99"/>
      <c r="AP234" s="51"/>
      <c r="AQ234" s="51"/>
      <c r="AR234" s="51"/>
      <c r="AS234" s="101"/>
      <c r="AT234" s="101"/>
      <c r="AU234" s="51"/>
      <c r="AV234" s="51"/>
      <c r="AW234" s="51"/>
      <c r="AX234" s="51"/>
      <c r="AY234" s="106"/>
      <c r="AZ234" s="106"/>
      <c r="BA234" s="106"/>
      <c r="BB234" s="106"/>
      <c r="BC234" s="38"/>
      <c r="BD234" s="38"/>
      <c r="BE234" s="34"/>
      <c r="BF234" s="51"/>
      <c r="BG234" s="36"/>
      <c r="BH234" s="51"/>
      <c r="BI234" s="99"/>
      <c r="BJ234" s="99"/>
      <c r="BK234" s="51"/>
      <c r="BL234" s="51"/>
      <c r="BM234" s="51"/>
      <c r="BN234" s="51"/>
      <c r="BO234" s="99"/>
      <c r="BP234" s="99"/>
      <c r="BQ234" s="99"/>
      <c r="BR234" s="99"/>
      <c r="BS234" s="51"/>
      <c r="BT234" s="99"/>
      <c r="BU234" s="99"/>
      <c r="BV234" s="99"/>
      <c r="BW234" s="51"/>
      <c r="BX234" s="51"/>
      <c r="BY234" s="100"/>
      <c r="BZ234" s="100"/>
      <c r="CA234" s="36"/>
      <c r="CB234" s="36"/>
      <c r="CC234" s="51"/>
      <c r="CD234" s="36"/>
      <c r="CE234" s="36"/>
      <c r="CF234" s="36"/>
      <c r="CG234" s="36"/>
      <c r="CH234" s="51"/>
      <c r="CI234" s="36"/>
      <c r="CJ234" s="36"/>
      <c r="CK234" s="36"/>
      <c r="CL234" s="36"/>
      <c r="CM234" s="51"/>
      <c r="CN234" s="36"/>
      <c r="CO234" s="36"/>
      <c r="CP234" s="36"/>
      <c r="CQ234" s="36"/>
      <c r="CR234" s="51"/>
      <c r="CS234" s="36"/>
      <c r="CT234" s="36"/>
      <c r="CU234" s="36"/>
      <c r="CV234" s="36"/>
      <c r="CW234" s="51"/>
      <c r="CX234" s="36"/>
      <c r="CY234" s="36"/>
      <c r="CZ234" s="36"/>
      <c r="DA234" s="36"/>
      <c r="DB234" s="51"/>
      <c r="DC234" s="36"/>
      <c r="DD234" s="36"/>
      <c r="DE234" s="36"/>
      <c r="DF234" s="36"/>
      <c r="DG234" s="51"/>
      <c r="DH234" s="36"/>
      <c r="DI234" s="36"/>
      <c r="DJ234" s="36"/>
      <c r="DK234" s="36"/>
      <c r="DL234" s="51"/>
      <c r="DM234" s="51"/>
      <c r="DN234" s="51"/>
    </row>
    <row r="235" spans="1:118" ht="15.75" customHeight="1">
      <c r="A235" s="171"/>
      <c r="B235" s="51"/>
      <c r="C235" s="99"/>
      <c r="D235" s="101"/>
      <c r="E235" s="102"/>
      <c r="F235" s="51"/>
      <c r="G235" s="103"/>
      <c r="H235" s="103"/>
      <c r="I235" s="104"/>
      <c r="J235" s="101"/>
      <c r="K235" s="101"/>
      <c r="M235" s="51"/>
      <c r="N235" s="51"/>
      <c r="O235" s="51"/>
      <c r="P235" s="51"/>
      <c r="Q235" s="51"/>
      <c r="R235" s="36"/>
      <c r="S235" s="51"/>
      <c r="T235" s="59"/>
      <c r="U235" s="112"/>
      <c r="V235" s="39"/>
      <c r="W235" s="39"/>
      <c r="X235" s="40"/>
      <c r="Y235" s="39"/>
      <c r="Z235" s="41"/>
      <c r="AA235" s="41"/>
      <c r="AB235" s="51"/>
      <c r="AC235" s="51"/>
      <c r="AD235" s="51"/>
      <c r="AE235" s="51"/>
      <c r="AF235" s="51"/>
      <c r="AG235" s="51"/>
      <c r="AH235" s="51"/>
      <c r="AI235" s="106"/>
      <c r="AJ235" s="61"/>
      <c r="AK235" s="106"/>
      <c r="AL235" s="61"/>
      <c r="AM235" s="107"/>
      <c r="AN235" s="99"/>
      <c r="AO235" s="99"/>
      <c r="AP235" s="51"/>
      <c r="AQ235" s="51"/>
      <c r="AR235" s="51"/>
      <c r="AS235" s="101"/>
      <c r="AT235" s="101"/>
      <c r="AU235" s="51"/>
      <c r="AV235" s="51"/>
      <c r="AW235" s="51"/>
      <c r="AX235" s="51"/>
      <c r="AY235" s="106"/>
      <c r="AZ235" s="106"/>
      <c r="BA235" s="106"/>
      <c r="BB235" s="106"/>
      <c r="BC235" s="38"/>
      <c r="BD235" s="38"/>
      <c r="BE235" s="34"/>
      <c r="BF235" s="51"/>
      <c r="BG235" s="36"/>
      <c r="BH235" s="51"/>
      <c r="BI235" s="99"/>
      <c r="BJ235" s="99"/>
      <c r="BK235" s="51"/>
      <c r="BL235" s="51"/>
      <c r="BM235" s="51"/>
      <c r="BN235" s="51"/>
      <c r="BO235" s="99"/>
      <c r="BP235" s="99"/>
      <c r="BQ235" s="99"/>
      <c r="BR235" s="99"/>
      <c r="BS235" s="51"/>
      <c r="BT235" s="99"/>
      <c r="BU235" s="99"/>
      <c r="BV235" s="99"/>
      <c r="BW235" s="51"/>
      <c r="BX235" s="51"/>
      <c r="BY235" s="100"/>
      <c r="BZ235" s="100"/>
      <c r="CA235" s="36"/>
      <c r="CB235" s="36"/>
      <c r="CC235" s="51"/>
      <c r="CD235" s="36"/>
      <c r="CE235" s="36"/>
      <c r="CF235" s="36"/>
      <c r="CG235" s="36"/>
      <c r="CH235" s="51"/>
      <c r="CI235" s="36"/>
      <c r="CJ235" s="36"/>
      <c r="CK235" s="36"/>
      <c r="CL235" s="36"/>
      <c r="CM235" s="51"/>
      <c r="CN235" s="36"/>
      <c r="CO235" s="36"/>
      <c r="CP235" s="36"/>
      <c r="CQ235" s="36"/>
      <c r="CR235" s="51"/>
      <c r="CS235" s="36"/>
      <c r="CT235" s="36"/>
      <c r="CU235" s="36"/>
      <c r="CV235" s="36"/>
      <c r="CW235" s="51"/>
      <c r="CX235" s="36"/>
      <c r="CY235" s="36"/>
      <c r="CZ235" s="36"/>
      <c r="DA235" s="36"/>
      <c r="DB235" s="51"/>
      <c r="DC235" s="36"/>
      <c r="DD235" s="36"/>
      <c r="DE235" s="36"/>
      <c r="DF235" s="36"/>
      <c r="DG235" s="51"/>
      <c r="DH235" s="36"/>
      <c r="DI235" s="36"/>
      <c r="DJ235" s="36"/>
      <c r="DK235" s="36"/>
      <c r="DL235" s="51"/>
      <c r="DM235" s="51"/>
      <c r="DN235" s="51"/>
    </row>
    <row r="236" spans="1:118" ht="15.75" customHeight="1">
      <c r="A236" s="171"/>
      <c r="B236" s="51"/>
      <c r="C236" s="99"/>
      <c r="D236" s="101"/>
      <c r="E236" s="102"/>
      <c r="F236" s="51"/>
      <c r="G236" s="103"/>
      <c r="H236" s="103"/>
      <c r="I236" s="104"/>
      <c r="J236" s="101"/>
      <c r="K236" s="101"/>
      <c r="M236" s="51"/>
      <c r="N236" s="51"/>
      <c r="O236" s="51"/>
      <c r="P236" s="51"/>
      <c r="Q236" s="51"/>
      <c r="R236" s="36"/>
      <c r="S236" s="51"/>
      <c r="T236" s="59"/>
      <c r="U236" s="112"/>
      <c r="V236" s="39"/>
      <c r="W236" s="39"/>
      <c r="X236" s="40"/>
      <c r="Y236" s="39"/>
      <c r="Z236" s="41"/>
      <c r="AA236" s="41"/>
      <c r="AB236" s="51"/>
      <c r="AC236" s="51"/>
      <c r="AD236" s="51"/>
      <c r="AE236" s="51"/>
      <c r="AF236" s="51"/>
      <c r="AG236" s="51"/>
      <c r="AH236" s="51"/>
      <c r="AI236" s="106"/>
      <c r="AJ236" s="61"/>
      <c r="AK236" s="106"/>
      <c r="AL236" s="61"/>
      <c r="AM236" s="107"/>
      <c r="AN236" s="99"/>
      <c r="AO236" s="99"/>
      <c r="AP236" s="51"/>
      <c r="AQ236" s="51"/>
      <c r="AR236" s="51"/>
      <c r="AS236" s="101"/>
      <c r="AT236" s="101"/>
      <c r="AU236" s="51"/>
      <c r="AV236" s="51"/>
      <c r="AW236" s="51"/>
      <c r="AX236" s="51"/>
      <c r="AY236" s="106"/>
      <c r="AZ236" s="106"/>
      <c r="BA236" s="106"/>
      <c r="BB236" s="106"/>
      <c r="BC236" s="38"/>
      <c r="BD236" s="38"/>
      <c r="BE236" s="34"/>
      <c r="BF236" s="51"/>
      <c r="BG236" s="36"/>
      <c r="BH236" s="51"/>
      <c r="BI236" s="99"/>
      <c r="BJ236" s="99"/>
      <c r="BK236" s="51"/>
      <c r="BL236" s="51"/>
      <c r="BM236" s="51"/>
      <c r="BN236" s="51"/>
      <c r="BO236" s="99"/>
      <c r="BP236" s="99"/>
      <c r="BQ236" s="99"/>
      <c r="BR236" s="99"/>
      <c r="BS236" s="51"/>
      <c r="BT236" s="99"/>
      <c r="BU236" s="99"/>
      <c r="BV236" s="99"/>
      <c r="BW236" s="51"/>
      <c r="BX236" s="51"/>
      <c r="BY236" s="100"/>
      <c r="BZ236" s="100"/>
      <c r="CA236" s="36"/>
      <c r="CB236" s="36"/>
      <c r="CC236" s="51"/>
      <c r="CD236" s="36"/>
      <c r="CE236" s="36"/>
      <c r="CF236" s="36"/>
      <c r="CG236" s="36"/>
      <c r="CH236" s="51"/>
      <c r="CI236" s="36"/>
      <c r="CJ236" s="36"/>
      <c r="CK236" s="36"/>
      <c r="CL236" s="36"/>
      <c r="CM236" s="51"/>
      <c r="CN236" s="36"/>
      <c r="CO236" s="36"/>
      <c r="CP236" s="36"/>
      <c r="CQ236" s="36"/>
      <c r="CR236" s="51"/>
      <c r="CS236" s="36"/>
      <c r="CT236" s="36"/>
      <c r="CU236" s="36"/>
      <c r="CV236" s="36"/>
      <c r="CW236" s="51"/>
      <c r="CX236" s="36"/>
      <c r="CY236" s="36"/>
      <c r="CZ236" s="36"/>
      <c r="DA236" s="36"/>
      <c r="DB236" s="51"/>
      <c r="DC236" s="36"/>
      <c r="DD236" s="36"/>
      <c r="DE236" s="36"/>
      <c r="DF236" s="36"/>
      <c r="DG236" s="51"/>
      <c r="DH236" s="36"/>
      <c r="DI236" s="36"/>
      <c r="DJ236" s="36"/>
      <c r="DK236" s="36"/>
      <c r="DL236" s="51"/>
      <c r="DM236" s="51"/>
      <c r="DN236" s="51"/>
    </row>
    <row r="237" spans="1:118" ht="15.75" customHeight="1">
      <c r="A237" s="171"/>
      <c r="B237" s="51"/>
      <c r="C237" s="99"/>
      <c r="D237" s="101"/>
      <c r="E237" s="102"/>
      <c r="F237" s="51"/>
      <c r="G237" s="103"/>
      <c r="H237" s="103"/>
      <c r="I237" s="104"/>
      <c r="J237" s="101"/>
      <c r="K237" s="101"/>
      <c r="M237" s="51"/>
      <c r="N237" s="51"/>
      <c r="O237" s="51"/>
      <c r="P237" s="51"/>
      <c r="Q237" s="51"/>
      <c r="R237" s="36"/>
      <c r="S237" s="51"/>
      <c r="T237" s="59"/>
      <c r="U237" s="112"/>
      <c r="V237" s="39"/>
      <c r="W237" s="39"/>
      <c r="X237" s="40"/>
      <c r="Y237" s="39"/>
      <c r="Z237" s="41"/>
      <c r="AA237" s="41"/>
      <c r="AB237" s="51"/>
      <c r="AC237" s="51"/>
      <c r="AD237" s="51"/>
      <c r="AE237" s="51"/>
      <c r="AF237" s="51"/>
      <c r="AG237" s="51"/>
      <c r="AH237" s="51"/>
      <c r="AI237" s="106"/>
      <c r="AJ237" s="61"/>
      <c r="AK237" s="106"/>
      <c r="AL237" s="61"/>
      <c r="AM237" s="107"/>
      <c r="AN237" s="99"/>
      <c r="AO237" s="99"/>
      <c r="AP237" s="51"/>
      <c r="AQ237" s="51"/>
      <c r="AR237" s="51"/>
      <c r="AS237" s="101"/>
      <c r="AT237" s="101"/>
      <c r="AU237" s="51"/>
      <c r="AV237" s="51"/>
      <c r="AW237" s="51"/>
      <c r="AX237" s="51"/>
      <c r="AY237" s="106"/>
      <c r="AZ237" s="106"/>
      <c r="BA237" s="106"/>
      <c r="BB237" s="106"/>
      <c r="BC237" s="38"/>
      <c r="BD237" s="38"/>
      <c r="BE237" s="34"/>
      <c r="BF237" s="51"/>
      <c r="BG237" s="36"/>
      <c r="BH237" s="51"/>
      <c r="BI237" s="99"/>
      <c r="BJ237" s="99"/>
      <c r="BK237" s="51"/>
      <c r="BL237" s="51"/>
      <c r="BM237" s="51"/>
      <c r="BN237" s="51"/>
      <c r="BO237" s="99"/>
      <c r="BP237" s="99"/>
      <c r="BQ237" s="99"/>
      <c r="BR237" s="99"/>
      <c r="BS237" s="51"/>
      <c r="BT237" s="99"/>
      <c r="BU237" s="99"/>
      <c r="BV237" s="99"/>
      <c r="BW237" s="51"/>
      <c r="BX237" s="51"/>
      <c r="BY237" s="100"/>
      <c r="BZ237" s="100"/>
      <c r="CA237" s="36"/>
      <c r="CB237" s="36"/>
      <c r="CC237" s="51"/>
      <c r="CD237" s="36"/>
      <c r="CE237" s="36"/>
      <c r="CF237" s="36"/>
      <c r="CG237" s="36"/>
      <c r="CH237" s="51"/>
      <c r="CI237" s="36"/>
      <c r="CJ237" s="36"/>
      <c r="CK237" s="36"/>
      <c r="CL237" s="36"/>
      <c r="CM237" s="51"/>
      <c r="CN237" s="36"/>
      <c r="CO237" s="36"/>
      <c r="CP237" s="36"/>
      <c r="CQ237" s="36"/>
      <c r="CR237" s="51"/>
      <c r="CS237" s="36"/>
      <c r="CT237" s="36"/>
      <c r="CU237" s="36"/>
      <c r="CV237" s="36"/>
      <c r="CW237" s="51"/>
      <c r="CX237" s="36"/>
      <c r="CY237" s="36"/>
      <c r="CZ237" s="36"/>
      <c r="DA237" s="36"/>
      <c r="DB237" s="51"/>
      <c r="DC237" s="36"/>
      <c r="DD237" s="36"/>
      <c r="DE237" s="36"/>
      <c r="DF237" s="36"/>
      <c r="DG237" s="51"/>
      <c r="DH237" s="36"/>
      <c r="DI237" s="36"/>
      <c r="DJ237" s="36"/>
      <c r="DK237" s="36"/>
      <c r="DL237" s="51"/>
      <c r="DM237" s="51"/>
      <c r="DN237" s="51"/>
    </row>
    <row r="238" spans="1:118" ht="15.75" customHeight="1">
      <c r="A238" s="171"/>
      <c r="B238" s="51"/>
      <c r="C238" s="99"/>
      <c r="D238" s="101"/>
      <c r="E238" s="102"/>
      <c r="F238" s="51"/>
      <c r="G238" s="103"/>
      <c r="H238" s="103"/>
      <c r="I238" s="104"/>
      <c r="J238" s="101"/>
      <c r="K238" s="101"/>
      <c r="M238" s="51"/>
      <c r="N238" s="51"/>
      <c r="O238" s="51"/>
      <c r="P238" s="51"/>
      <c r="Q238" s="51"/>
      <c r="R238" s="36"/>
      <c r="S238" s="51"/>
      <c r="T238" s="59"/>
      <c r="U238" s="112"/>
      <c r="V238" s="39"/>
      <c r="W238" s="39"/>
      <c r="X238" s="40"/>
      <c r="Y238" s="39"/>
      <c r="Z238" s="41"/>
      <c r="AA238" s="41"/>
      <c r="AB238" s="51"/>
      <c r="AC238" s="51"/>
      <c r="AD238" s="51"/>
      <c r="AE238" s="51"/>
      <c r="AF238" s="51"/>
      <c r="AG238" s="51"/>
      <c r="AH238" s="51"/>
      <c r="AI238" s="106"/>
      <c r="AJ238" s="61"/>
      <c r="AK238" s="106"/>
      <c r="AL238" s="61"/>
      <c r="AM238" s="107"/>
      <c r="AN238" s="99"/>
      <c r="AO238" s="99"/>
      <c r="AP238" s="51"/>
      <c r="AQ238" s="51"/>
      <c r="AR238" s="51"/>
      <c r="AS238" s="101"/>
      <c r="AT238" s="101"/>
      <c r="AU238" s="51"/>
      <c r="AV238" s="51"/>
      <c r="AW238" s="51"/>
      <c r="AX238" s="51"/>
      <c r="AY238" s="106"/>
      <c r="AZ238" s="106"/>
      <c r="BA238" s="106"/>
      <c r="BB238" s="106"/>
      <c r="BC238" s="38"/>
      <c r="BD238" s="38"/>
      <c r="BE238" s="34"/>
      <c r="BF238" s="51"/>
      <c r="BG238" s="36"/>
      <c r="BH238" s="51"/>
      <c r="BI238" s="99"/>
      <c r="BJ238" s="99"/>
      <c r="BK238" s="51"/>
      <c r="BL238" s="51"/>
      <c r="BM238" s="51"/>
      <c r="BN238" s="51"/>
      <c r="BO238" s="99"/>
      <c r="BP238" s="99"/>
      <c r="BQ238" s="99"/>
      <c r="BR238" s="99"/>
      <c r="BS238" s="51"/>
      <c r="BT238" s="99"/>
      <c r="BU238" s="99"/>
      <c r="BV238" s="99"/>
      <c r="BW238" s="51"/>
      <c r="BX238" s="51"/>
      <c r="BY238" s="100"/>
      <c r="BZ238" s="100"/>
      <c r="CA238" s="36"/>
      <c r="CB238" s="36"/>
      <c r="CC238" s="51"/>
      <c r="CD238" s="36"/>
      <c r="CE238" s="36"/>
      <c r="CF238" s="36"/>
      <c r="CG238" s="36"/>
      <c r="CH238" s="51"/>
      <c r="CI238" s="36"/>
      <c r="CJ238" s="36"/>
      <c r="CK238" s="36"/>
      <c r="CL238" s="36"/>
      <c r="CM238" s="51"/>
      <c r="CN238" s="36"/>
      <c r="CO238" s="36"/>
      <c r="CP238" s="36"/>
      <c r="CQ238" s="36"/>
      <c r="CR238" s="51"/>
      <c r="CS238" s="36"/>
      <c r="CT238" s="36"/>
      <c r="CU238" s="36"/>
      <c r="CV238" s="36"/>
      <c r="CW238" s="51"/>
      <c r="CX238" s="36"/>
      <c r="CY238" s="36"/>
      <c r="CZ238" s="36"/>
      <c r="DA238" s="36"/>
      <c r="DB238" s="51"/>
      <c r="DC238" s="36"/>
      <c r="DD238" s="36"/>
      <c r="DE238" s="36"/>
      <c r="DF238" s="36"/>
      <c r="DG238" s="51"/>
      <c r="DH238" s="36"/>
      <c r="DI238" s="36"/>
      <c r="DJ238" s="36"/>
      <c r="DK238" s="36"/>
      <c r="DL238" s="51"/>
      <c r="DM238" s="51"/>
      <c r="DN238" s="51"/>
    </row>
    <row r="239" spans="1:118" ht="15.75" customHeight="1">
      <c r="A239" s="171"/>
      <c r="B239" s="51"/>
      <c r="C239" s="99"/>
      <c r="D239" s="101"/>
      <c r="E239" s="102"/>
      <c r="F239" s="51"/>
      <c r="G239" s="103"/>
      <c r="H239" s="103"/>
      <c r="I239" s="104"/>
      <c r="J239" s="101"/>
      <c r="K239" s="101"/>
      <c r="M239" s="51"/>
      <c r="N239" s="51"/>
      <c r="O239" s="51"/>
      <c r="P239" s="51"/>
      <c r="Q239" s="51"/>
      <c r="R239" s="36"/>
      <c r="S239" s="51"/>
      <c r="T239" s="59"/>
      <c r="U239" s="112"/>
      <c r="V239" s="39"/>
      <c r="W239" s="39"/>
      <c r="X239" s="40"/>
      <c r="Y239" s="39"/>
      <c r="Z239" s="41"/>
      <c r="AA239" s="41"/>
      <c r="AB239" s="51"/>
      <c r="AC239" s="51"/>
      <c r="AD239" s="51"/>
      <c r="AE239" s="51"/>
      <c r="AF239" s="51"/>
      <c r="AG239" s="51"/>
      <c r="AH239" s="51"/>
      <c r="AI239" s="106"/>
      <c r="AJ239" s="61"/>
      <c r="AK239" s="106"/>
      <c r="AL239" s="61"/>
      <c r="AM239" s="107"/>
      <c r="AN239" s="99"/>
      <c r="AO239" s="99"/>
      <c r="AP239" s="51"/>
      <c r="AQ239" s="51"/>
      <c r="AR239" s="51"/>
      <c r="AS239" s="101"/>
      <c r="AT239" s="101"/>
      <c r="AU239" s="51"/>
      <c r="AV239" s="51"/>
      <c r="AW239" s="51"/>
      <c r="AX239" s="51"/>
      <c r="AY239" s="106"/>
      <c r="AZ239" s="106"/>
      <c r="BA239" s="106"/>
      <c r="BB239" s="106"/>
      <c r="BC239" s="38"/>
      <c r="BD239" s="38"/>
      <c r="BE239" s="34"/>
      <c r="BF239" s="51"/>
      <c r="BG239" s="36"/>
      <c r="BH239" s="51"/>
      <c r="BI239" s="99"/>
      <c r="BJ239" s="99"/>
      <c r="BK239" s="51"/>
      <c r="BL239" s="51"/>
      <c r="BM239" s="51"/>
      <c r="BN239" s="51"/>
      <c r="BO239" s="99"/>
      <c r="BP239" s="99"/>
      <c r="BQ239" s="99"/>
      <c r="BR239" s="99"/>
      <c r="BS239" s="51"/>
      <c r="BT239" s="99"/>
      <c r="BU239" s="99"/>
      <c r="BV239" s="99"/>
      <c r="BW239" s="51"/>
      <c r="BX239" s="51"/>
      <c r="BY239" s="100"/>
      <c r="BZ239" s="100"/>
      <c r="CA239" s="36"/>
      <c r="CB239" s="36"/>
      <c r="CC239" s="51"/>
      <c r="CD239" s="36"/>
      <c r="CE239" s="36"/>
      <c r="CF239" s="36"/>
      <c r="CG239" s="36"/>
      <c r="CH239" s="51"/>
      <c r="CI239" s="36"/>
      <c r="CJ239" s="36"/>
      <c r="CK239" s="36"/>
      <c r="CL239" s="36"/>
      <c r="CM239" s="51"/>
      <c r="CN239" s="36"/>
      <c r="CO239" s="36"/>
      <c r="CP239" s="36"/>
      <c r="CQ239" s="36"/>
      <c r="CR239" s="51"/>
      <c r="CS239" s="36"/>
      <c r="CT239" s="36"/>
      <c r="CU239" s="36"/>
      <c r="CV239" s="36"/>
      <c r="CW239" s="51"/>
      <c r="CX239" s="36"/>
      <c r="CY239" s="36"/>
      <c r="CZ239" s="36"/>
      <c r="DA239" s="36"/>
      <c r="DB239" s="51"/>
      <c r="DC239" s="36"/>
      <c r="DD239" s="36"/>
      <c r="DE239" s="36"/>
      <c r="DF239" s="36"/>
      <c r="DG239" s="51"/>
      <c r="DH239" s="36"/>
      <c r="DI239" s="36"/>
      <c r="DJ239" s="36"/>
      <c r="DK239" s="36"/>
      <c r="DL239" s="51"/>
      <c r="DM239" s="51"/>
      <c r="DN239" s="51"/>
    </row>
    <row r="240" spans="1:118" ht="15.75" customHeight="1">
      <c r="A240" s="171"/>
      <c r="B240" s="51"/>
      <c r="C240" s="99"/>
      <c r="D240" s="101"/>
      <c r="E240" s="102"/>
      <c r="F240" s="51"/>
      <c r="G240" s="103"/>
      <c r="H240" s="103"/>
      <c r="I240" s="104"/>
      <c r="J240" s="101"/>
      <c r="K240" s="101"/>
      <c r="M240" s="51"/>
      <c r="N240" s="51"/>
      <c r="O240" s="51"/>
      <c r="P240" s="51"/>
      <c r="Q240" s="51"/>
      <c r="R240" s="36"/>
      <c r="S240" s="51"/>
      <c r="T240" s="59"/>
      <c r="U240" s="112"/>
      <c r="V240" s="39"/>
      <c r="W240" s="39"/>
      <c r="X240" s="40"/>
      <c r="Y240" s="39"/>
      <c r="Z240" s="41"/>
      <c r="AA240" s="41"/>
      <c r="AB240" s="51"/>
      <c r="AC240" s="51"/>
      <c r="AD240" s="51"/>
      <c r="AE240" s="51"/>
      <c r="AF240" s="51"/>
      <c r="AG240" s="51"/>
      <c r="AH240" s="51"/>
      <c r="AI240" s="106"/>
      <c r="AJ240" s="61"/>
      <c r="AK240" s="106"/>
      <c r="AL240" s="61"/>
      <c r="AM240" s="107"/>
      <c r="AN240" s="99"/>
      <c r="AO240" s="99"/>
      <c r="AP240" s="51"/>
      <c r="AQ240" s="51"/>
      <c r="AR240" s="51"/>
      <c r="AS240" s="101"/>
      <c r="AT240" s="101"/>
      <c r="AU240" s="51"/>
      <c r="AV240" s="51"/>
      <c r="AW240" s="51"/>
      <c r="AX240" s="51"/>
      <c r="AY240" s="106"/>
      <c r="AZ240" s="106"/>
      <c r="BA240" s="106"/>
      <c r="BB240" s="106"/>
      <c r="BC240" s="38"/>
      <c r="BD240" s="38"/>
      <c r="BE240" s="34"/>
      <c r="BF240" s="51"/>
      <c r="BG240" s="36"/>
      <c r="BH240" s="51"/>
      <c r="BI240" s="99"/>
      <c r="BJ240" s="99"/>
      <c r="BK240" s="51"/>
      <c r="BL240" s="51"/>
      <c r="BM240" s="51"/>
      <c r="BN240" s="51"/>
      <c r="BO240" s="99"/>
      <c r="BP240" s="99"/>
      <c r="BQ240" s="99"/>
      <c r="BR240" s="99"/>
      <c r="BS240" s="51"/>
      <c r="BT240" s="99"/>
      <c r="BU240" s="99"/>
      <c r="BV240" s="99"/>
      <c r="BW240" s="51"/>
      <c r="BX240" s="51"/>
      <c r="BY240" s="100"/>
      <c r="BZ240" s="100"/>
      <c r="CA240" s="36"/>
      <c r="CB240" s="36"/>
      <c r="CC240" s="51"/>
      <c r="CD240" s="36"/>
      <c r="CE240" s="36"/>
      <c r="CF240" s="36"/>
      <c r="CG240" s="36"/>
      <c r="CH240" s="51"/>
      <c r="CI240" s="36"/>
      <c r="CJ240" s="36"/>
      <c r="CK240" s="36"/>
      <c r="CL240" s="36"/>
      <c r="CM240" s="51"/>
      <c r="CN240" s="36"/>
      <c r="CO240" s="36"/>
      <c r="CP240" s="36"/>
      <c r="CQ240" s="36"/>
      <c r="CR240" s="51"/>
      <c r="CS240" s="36"/>
      <c r="CT240" s="36"/>
      <c r="CU240" s="36"/>
      <c r="CV240" s="36"/>
      <c r="CW240" s="51"/>
      <c r="CX240" s="36"/>
      <c r="CY240" s="36"/>
      <c r="CZ240" s="36"/>
      <c r="DA240" s="36"/>
      <c r="DB240" s="51"/>
      <c r="DC240" s="36"/>
      <c r="DD240" s="36"/>
      <c r="DE240" s="36"/>
      <c r="DF240" s="36"/>
      <c r="DG240" s="51"/>
      <c r="DH240" s="36"/>
      <c r="DI240" s="36"/>
      <c r="DJ240" s="36"/>
      <c r="DK240" s="36"/>
      <c r="DL240" s="51"/>
      <c r="DM240" s="51"/>
      <c r="DN240" s="51"/>
    </row>
    <row r="241" spans="1:118" ht="15.75" customHeight="1">
      <c r="A241" s="171"/>
      <c r="B241" s="51"/>
      <c r="C241" s="99"/>
      <c r="D241" s="101"/>
      <c r="E241" s="102"/>
      <c r="F241" s="51"/>
      <c r="G241" s="103"/>
      <c r="H241" s="103"/>
      <c r="I241" s="104"/>
      <c r="J241" s="101"/>
      <c r="K241" s="101"/>
      <c r="M241" s="51"/>
      <c r="N241" s="51"/>
      <c r="O241" s="51"/>
      <c r="P241" s="51"/>
      <c r="Q241" s="51"/>
      <c r="R241" s="36"/>
      <c r="S241" s="51"/>
      <c r="T241" s="59"/>
      <c r="U241" s="112"/>
      <c r="V241" s="39"/>
      <c r="W241" s="39"/>
      <c r="X241" s="40"/>
      <c r="Y241" s="39"/>
      <c r="Z241" s="41"/>
      <c r="AA241" s="41"/>
      <c r="AB241" s="51"/>
      <c r="AC241" s="51"/>
      <c r="AD241" s="51"/>
      <c r="AE241" s="51"/>
      <c r="AF241" s="51"/>
      <c r="AG241" s="51"/>
      <c r="AH241" s="51"/>
      <c r="AI241" s="106"/>
      <c r="AJ241" s="61"/>
      <c r="AK241" s="106"/>
      <c r="AL241" s="61"/>
      <c r="AM241" s="107"/>
      <c r="AN241" s="99"/>
      <c r="AO241" s="99"/>
      <c r="AP241" s="51"/>
      <c r="AQ241" s="51"/>
      <c r="AR241" s="51"/>
      <c r="AS241" s="101"/>
      <c r="AT241" s="101"/>
      <c r="AU241" s="51"/>
      <c r="AV241" s="51"/>
      <c r="AW241" s="51"/>
      <c r="AX241" s="51"/>
      <c r="AY241" s="106"/>
      <c r="AZ241" s="106"/>
      <c r="BA241" s="106"/>
      <c r="BB241" s="106"/>
      <c r="BC241" s="38"/>
      <c r="BD241" s="38"/>
      <c r="BE241" s="34"/>
      <c r="BF241" s="51"/>
      <c r="BG241" s="36"/>
      <c r="BH241" s="51"/>
      <c r="BI241" s="99"/>
      <c r="BJ241" s="99"/>
      <c r="BK241" s="51"/>
      <c r="BL241" s="51"/>
      <c r="BM241" s="51"/>
      <c r="BN241" s="51"/>
      <c r="BO241" s="99"/>
      <c r="BP241" s="99"/>
      <c r="BQ241" s="99"/>
      <c r="BR241" s="99"/>
      <c r="BS241" s="51"/>
      <c r="BT241" s="99"/>
      <c r="BU241" s="99"/>
      <c r="BV241" s="99"/>
      <c r="BW241" s="51"/>
      <c r="BX241" s="51"/>
      <c r="BY241" s="100"/>
      <c r="BZ241" s="100"/>
      <c r="CA241" s="36"/>
      <c r="CB241" s="36"/>
      <c r="CC241" s="51"/>
      <c r="CD241" s="36"/>
      <c r="CE241" s="36"/>
      <c r="CF241" s="36"/>
      <c r="CG241" s="36"/>
      <c r="CH241" s="51"/>
      <c r="CI241" s="36"/>
      <c r="CJ241" s="36"/>
      <c r="CK241" s="36"/>
      <c r="CL241" s="36"/>
      <c r="CM241" s="51"/>
      <c r="CN241" s="36"/>
      <c r="CO241" s="36"/>
      <c r="CP241" s="36"/>
      <c r="CQ241" s="36"/>
      <c r="CR241" s="51"/>
      <c r="CS241" s="36"/>
      <c r="CT241" s="36"/>
      <c r="CU241" s="36"/>
      <c r="CV241" s="36"/>
      <c r="CW241" s="51"/>
      <c r="CX241" s="36"/>
      <c r="CY241" s="36"/>
      <c r="CZ241" s="36"/>
      <c r="DA241" s="36"/>
      <c r="DB241" s="51"/>
      <c r="DC241" s="36"/>
      <c r="DD241" s="36"/>
      <c r="DE241" s="36"/>
      <c r="DF241" s="36"/>
      <c r="DG241" s="51"/>
      <c r="DH241" s="36"/>
      <c r="DI241" s="36"/>
      <c r="DJ241" s="36"/>
      <c r="DK241" s="36"/>
      <c r="DL241" s="51"/>
      <c r="DM241" s="51"/>
      <c r="DN241" s="51"/>
    </row>
    <row r="242" spans="1:118" ht="15.75" customHeight="1">
      <c r="A242" s="171"/>
      <c r="B242" s="51"/>
      <c r="C242" s="99"/>
      <c r="D242" s="101"/>
      <c r="E242" s="102"/>
      <c r="F242" s="51"/>
      <c r="G242" s="103"/>
      <c r="H242" s="103"/>
      <c r="I242" s="104"/>
      <c r="J242" s="101"/>
      <c r="K242" s="101"/>
      <c r="M242" s="51"/>
      <c r="N242" s="51"/>
      <c r="O242" s="51"/>
      <c r="P242" s="51"/>
      <c r="Q242" s="51"/>
      <c r="R242" s="36"/>
      <c r="S242" s="51"/>
      <c r="T242" s="59"/>
      <c r="U242" s="112"/>
      <c r="V242" s="39"/>
      <c r="W242" s="39"/>
      <c r="X242" s="40"/>
      <c r="Y242" s="39"/>
      <c r="Z242" s="41"/>
      <c r="AA242" s="41"/>
      <c r="AB242" s="51"/>
      <c r="AC242" s="51"/>
      <c r="AD242" s="51"/>
      <c r="AE242" s="51"/>
      <c r="AF242" s="51"/>
      <c r="AG242" s="51"/>
      <c r="AH242" s="51"/>
      <c r="AI242" s="106"/>
      <c r="AJ242" s="61"/>
      <c r="AK242" s="106"/>
      <c r="AL242" s="61"/>
      <c r="AM242" s="107"/>
      <c r="AN242" s="99"/>
      <c r="AO242" s="99"/>
      <c r="AP242" s="51"/>
      <c r="AQ242" s="51"/>
      <c r="AR242" s="51"/>
      <c r="AS242" s="101"/>
      <c r="AT242" s="101"/>
      <c r="AU242" s="51"/>
      <c r="AV242" s="51"/>
      <c r="AW242" s="51"/>
      <c r="AX242" s="51"/>
      <c r="AY242" s="106"/>
      <c r="AZ242" s="106"/>
      <c r="BA242" s="106"/>
      <c r="BB242" s="106"/>
      <c r="BC242" s="38"/>
      <c r="BD242" s="38"/>
      <c r="BE242" s="34"/>
      <c r="BF242" s="51"/>
      <c r="BG242" s="36"/>
      <c r="BH242" s="51"/>
      <c r="BI242" s="99"/>
      <c r="BJ242" s="99"/>
      <c r="BK242" s="51"/>
      <c r="BL242" s="51"/>
      <c r="BM242" s="51"/>
      <c r="BN242" s="51"/>
      <c r="BO242" s="99"/>
      <c r="BP242" s="99"/>
      <c r="BQ242" s="99"/>
      <c r="BR242" s="99"/>
      <c r="BS242" s="51"/>
      <c r="BT242" s="99"/>
      <c r="BU242" s="99"/>
      <c r="BV242" s="99"/>
      <c r="BW242" s="51"/>
      <c r="BX242" s="51"/>
      <c r="BY242" s="100"/>
      <c r="BZ242" s="100"/>
      <c r="CA242" s="36"/>
      <c r="CB242" s="36"/>
      <c r="CC242" s="51"/>
      <c r="CD242" s="36"/>
      <c r="CE242" s="36"/>
      <c r="CF242" s="36"/>
      <c r="CG242" s="36"/>
      <c r="CH242" s="51"/>
      <c r="CI242" s="36"/>
      <c r="CJ242" s="36"/>
      <c r="CK242" s="36"/>
      <c r="CL242" s="36"/>
      <c r="CM242" s="51"/>
      <c r="CN242" s="36"/>
      <c r="CO242" s="36"/>
      <c r="CP242" s="36"/>
      <c r="CQ242" s="36"/>
      <c r="CR242" s="51"/>
      <c r="CS242" s="36"/>
      <c r="CT242" s="36"/>
      <c r="CU242" s="36"/>
      <c r="CV242" s="36"/>
      <c r="CW242" s="51"/>
      <c r="CX242" s="36"/>
      <c r="CY242" s="36"/>
      <c r="CZ242" s="36"/>
      <c r="DA242" s="36"/>
      <c r="DB242" s="51"/>
      <c r="DC242" s="36"/>
      <c r="DD242" s="36"/>
      <c r="DE242" s="36"/>
      <c r="DF242" s="36"/>
      <c r="DG242" s="51"/>
      <c r="DH242" s="36"/>
      <c r="DI242" s="36"/>
      <c r="DJ242" s="36"/>
      <c r="DK242" s="36"/>
      <c r="DL242" s="51"/>
      <c r="DM242" s="51"/>
      <c r="DN242" s="51"/>
    </row>
    <row r="243" spans="1:118" ht="15.75" customHeight="1">
      <c r="A243" s="171"/>
      <c r="B243" s="51"/>
      <c r="C243" s="99"/>
      <c r="D243" s="101"/>
      <c r="E243" s="102"/>
      <c r="F243" s="51"/>
      <c r="G243" s="103"/>
      <c r="H243" s="103"/>
      <c r="I243" s="104"/>
      <c r="J243" s="101"/>
      <c r="K243" s="101"/>
      <c r="M243" s="51"/>
      <c r="N243" s="51"/>
      <c r="O243" s="51"/>
      <c r="P243" s="51"/>
      <c r="Q243" s="51"/>
      <c r="R243" s="36"/>
      <c r="S243" s="51"/>
      <c r="T243" s="59"/>
      <c r="U243" s="112"/>
      <c r="V243" s="39"/>
      <c r="W243" s="39"/>
      <c r="X243" s="40"/>
      <c r="Y243" s="39"/>
      <c r="Z243" s="41"/>
      <c r="AA243" s="41"/>
      <c r="AB243" s="51"/>
      <c r="AC243" s="51"/>
      <c r="AD243" s="51"/>
      <c r="AE243" s="51"/>
      <c r="AF243" s="51"/>
      <c r="AG243" s="51"/>
      <c r="AH243" s="51"/>
      <c r="AI243" s="106"/>
      <c r="AJ243" s="61"/>
      <c r="AK243" s="106"/>
      <c r="AL243" s="61"/>
      <c r="AM243" s="107"/>
      <c r="AN243" s="99"/>
      <c r="AO243" s="99"/>
      <c r="AP243" s="51"/>
      <c r="AQ243" s="51"/>
      <c r="AR243" s="51"/>
      <c r="AS243" s="101"/>
      <c r="AT243" s="101"/>
      <c r="AU243" s="51"/>
      <c r="AV243" s="51"/>
      <c r="AW243" s="51"/>
      <c r="AX243" s="51"/>
      <c r="AY243" s="106"/>
      <c r="AZ243" s="106"/>
      <c r="BA243" s="106"/>
      <c r="BB243" s="106"/>
      <c r="BC243" s="38"/>
      <c r="BD243" s="38"/>
      <c r="BE243" s="34"/>
      <c r="BF243" s="51"/>
      <c r="BG243" s="36"/>
      <c r="BH243" s="51"/>
      <c r="BI243" s="99"/>
      <c r="BJ243" s="99"/>
      <c r="BK243" s="51"/>
      <c r="BL243" s="51"/>
      <c r="BM243" s="51"/>
      <c r="BN243" s="51"/>
      <c r="BO243" s="99"/>
      <c r="BP243" s="99"/>
      <c r="BQ243" s="99"/>
      <c r="BR243" s="99"/>
      <c r="BS243" s="51"/>
      <c r="BT243" s="99"/>
      <c r="BU243" s="99"/>
      <c r="BV243" s="99"/>
      <c r="BW243" s="51"/>
      <c r="BX243" s="51"/>
      <c r="BY243" s="100"/>
      <c r="BZ243" s="100"/>
      <c r="CA243" s="36"/>
      <c r="CB243" s="36"/>
      <c r="CC243" s="51"/>
      <c r="CD243" s="36"/>
      <c r="CE243" s="36"/>
      <c r="CF243" s="36"/>
      <c r="CG243" s="36"/>
      <c r="CH243" s="51"/>
      <c r="CI243" s="36"/>
      <c r="CJ243" s="36"/>
      <c r="CK243" s="36"/>
      <c r="CL243" s="36"/>
      <c r="CM243" s="51"/>
      <c r="CN243" s="36"/>
      <c r="CO243" s="36"/>
      <c r="CP243" s="36"/>
      <c r="CQ243" s="36"/>
      <c r="CR243" s="51"/>
      <c r="CS243" s="36"/>
      <c r="CT243" s="36"/>
      <c r="CU243" s="36"/>
      <c r="CV243" s="36"/>
      <c r="CW243" s="51"/>
      <c r="CX243" s="36"/>
      <c r="CY243" s="36"/>
      <c r="CZ243" s="36"/>
      <c r="DA243" s="36"/>
      <c r="DB243" s="51"/>
      <c r="DC243" s="36"/>
      <c r="DD243" s="36"/>
      <c r="DE243" s="36"/>
      <c r="DF243" s="36"/>
      <c r="DG243" s="51"/>
      <c r="DH243" s="36"/>
      <c r="DI243" s="36"/>
      <c r="DJ243" s="36"/>
      <c r="DK243" s="36"/>
      <c r="DL243" s="51"/>
      <c r="DM243" s="51"/>
      <c r="DN243" s="51"/>
    </row>
    <row r="244" spans="1:118" ht="15.75" customHeight="1">
      <c r="A244" s="171"/>
      <c r="B244" s="51"/>
      <c r="C244" s="99"/>
      <c r="D244" s="101"/>
      <c r="E244" s="102"/>
      <c r="F244" s="51"/>
      <c r="G244" s="103"/>
      <c r="H244" s="103"/>
      <c r="I244" s="104"/>
      <c r="J244" s="101"/>
      <c r="K244" s="101"/>
      <c r="M244" s="51"/>
      <c r="N244" s="51"/>
      <c r="O244" s="51"/>
      <c r="P244" s="51"/>
      <c r="Q244" s="51"/>
      <c r="R244" s="36"/>
      <c r="S244" s="51"/>
      <c r="T244" s="59"/>
      <c r="U244" s="112"/>
      <c r="V244" s="39"/>
      <c r="W244" s="39"/>
      <c r="X244" s="40"/>
      <c r="Y244" s="39"/>
      <c r="Z244" s="41"/>
      <c r="AA244" s="41"/>
      <c r="AB244" s="51"/>
      <c r="AC244" s="51"/>
      <c r="AD244" s="51"/>
      <c r="AE244" s="51"/>
      <c r="AF244" s="51"/>
      <c r="AG244" s="51"/>
      <c r="AH244" s="51"/>
      <c r="AI244" s="106"/>
      <c r="AJ244" s="61"/>
      <c r="AK244" s="106"/>
      <c r="AL244" s="61"/>
      <c r="AM244" s="107"/>
      <c r="AN244" s="99"/>
      <c r="AO244" s="99"/>
      <c r="AP244" s="51"/>
      <c r="AQ244" s="51"/>
      <c r="AR244" s="51"/>
      <c r="AS244" s="101"/>
      <c r="AT244" s="101"/>
      <c r="AU244" s="51"/>
      <c r="AV244" s="51"/>
      <c r="AW244" s="51"/>
      <c r="AX244" s="51"/>
      <c r="AY244" s="106"/>
      <c r="AZ244" s="106"/>
      <c r="BA244" s="106"/>
      <c r="BB244" s="106"/>
      <c r="BC244" s="38"/>
      <c r="BD244" s="38"/>
      <c r="BE244" s="34"/>
      <c r="BF244" s="51"/>
      <c r="BG244" s="36"/>
      <c r="BH244" s="51"/>
      <c r="BI244" s="99"/>
      <c r="BJ244" s="99"/>
      <c r="BK244" s="51"/>
      <c r="BL244" s="51"/>
      <c r="BM244" s="51"/>
      <c r="BN244" s="51"/>
      <c r="BO244" s="99"/>
      <c r="BP244" s="99"/>
      <c r="BQ244" s="99"/>
      <c r="BR244" s="99"/>
      <c r="BS244" s="51"/>
      <c r="BT244" s="99"/>
      <c r="BU244" s="99"/>
      <c r="BV244" s="99"/>
      <c r="BW244" s="51"/>
      <c r="BX244" s="51"/>
      <c r="BY244" s="100"/>
      <c r="BZ244" s="100"/>
      <c r="CA244" s="36"/>
      <c r="CB244" s="36"/>
      <c r="CC244" s="51"/>
      <c r="CD244" s="36"/>
      <c r="CE244" s="36"/>
      <c r="CF244" s="36"/>
      <c r="CG244" s="36"/>
      <c r="CH244" s="51"/>
      <c r="CI244" s="36"/>
      <c r="CJ244" s="36"/>
      <c r="CK244" s="36"/>
      <c r="CL244" s="36"/>
      <c r="CM244" s="51"/>
      <c r="CN244" s="36"/>
      <c r="CO244" s="36"/>
      <c r="CP244" s="36"/>
      <c r="CQ244" s="36"/>
      <c r="CR244" s="51"/>
      <c r="CS244" s="36"/>
      <c r="CT244" s="36"/>
      <c r="CU244" s="36"/>
      <c r="CV244" s="36"/>
      <c r="CW244" s="51"/>
      <c r="CX244" s="36"/>
      <c r="CY244" s="36"/>
      <c r="CZ244" s="36"/>
      <c r="DA244" s="36"/>
      <c r="DB244" s="51"/>
      <c r="DC244" s="36"/>
      <c r="DD244" s="36"/>
      <c r="DE244" s="36"/>
      <c r="DF244" s="36"/>
      <c r="DG244" s="51"/>
      <c r="DH244" s="36"/>
      <c r="DI244" s="36"/>
      <c r="DJ244" s="36"/>
      <c r="DK244" s="36"/>
      <c r="DL244" s="51"/>
      <c r="DM244" s="51"/>
      <c r="DN244" s="51"/>
    </row>
    <row r="245" spans="1:118" ht="15.75" customHeight="1">
      <c r="A245" s="171"/>
      <c r="B245" s="51"/>
      <c r="C245" s="99"/>
      <c r="D245" s="101"/>
      <c r="E245" s="102"/>
      <c r="F245" s="51"/>
      <c r="G245" s="103"/>
      <c r="H245" s="103"/>
      <c r="I245" s="104"/>
      <c r="J245" s="101"/>
      <c r="K245" s="101"/>
      <c r="M245" s="51"/>
      <c r="N245" s="51"/>
      <c r="O245" s="51"/>
      <c r="P245" s="51"/>
      <c r="Q245" s="51"/>
      <c r="R245" s="36"/>
      <c r="S245" s="51"/>
      <c r="T245" s="59"/>
      <c r="U245" s="112"/>
      <c r="V245" s="39"/>
      <c r="W245" s="39"/>
      <c r="X245" s="40"/>
      <c r="Y245" s="39"/>
      <c r="Z245" s="41"/>
      <c r="AA245" s="41"/>
      <c r="AB245" s="51"/>
      <c r="AC245" s="51"/>
      <c r="AD245" s="51"/>
      <c r="AE245" s="51"/>
      <c r="AF245" s="51"/>
      <c r="AG245" s="51"/>
      <c r="AH245" s="51"/>
      <c r="AI245" s="106"/>
      <c r="AJ245" s="61"/>
      <c r="AK245" s="106"/>
      <c r="AL245" s="61"/>
      <c r="AM245" s="107"/>
      <c r="AN245" s="99"/>
      <c r="AO245" s="99"/>
      <c r="AP245" s="51"/>
      <c r="AQ245" s="51"/>
      <c r="AR245" s="51"/>
      <c r="AS245" s="101"/>
      <c r="AT245" s="101"/>
      <c r="AU245" s="51"/>
      <c r="AV245" s="51"/>
      <c r="AW245" s="51"/>
      <c r="AX245" s="51"/>
      <c r="AY245" s="106"/>
      <c r="AZ245" s="106"/>
      <c r="BA245" s="106"/>
      <c r="BB245" s="106"/>
      <c r="BC245" s="38"/>
      <c r="BD245" s="38"/>
      <c r="BE245" s="34"/>
      <c r="BF245" s="51"/>
      <c r="BG245" s="36"/>
      <c r="BH245" s="51"/>
      <c r="BI245" s="99"/>
      <c r="BJ245" s="99"/>
      <c r="BK245" s="51"/>
      <c r="BL245" s="51"/>
      <c r="BM245" s="51"/>
      <c r="BN245" s="51"/>
      <c r="BO245" s="99"/>
      <c r="BP245" s="99"/>
      <c r="BQ245" s="99"/>
      <c r="BR245" s="99"/>
      <c r="BS245" s="51"/>
      <c r="BT245" s="99"/>
      <c r="BU245" s="99"/>
      <c r="BV245" s="99"/>
      <c r="BW245" s="51"/>
      <c r="BX245" s="51"/>
      <c r="BY245" s="100"/>
      <c r="BZ245" s="100"/>
      <c r="CA245" s="36"/>
      <c r="CB245" s="36"/>
      <c r="CC245" s="51"/>
      <c r="CD245" s="36"/>
      <c r="CE245" s="36"/>
      <c r="CF245" s="36"/>
      <c r="CG245" s="36"/>
      <c r="CH245" s="51"/>
      <c r="CI245" s="36"/>
      <c r="CJ245" s="36"/>
      <c r="CK245" s="36"/>
      <c r="CL245" s="36"/>
      <c r="CM245" s="51"/>
      <c r="CN245" s="36"/>
      <c r="CO245" s="36"/>
      <c r="CP245" s="36"/>
      <c r="CQ245" s="36"/>
      <c r="CR245" s="51"/>
      <c r="CS245" s="36"/>
      <c r="CT245" s="36"/>
      <c r="CU245" s="36"/>
      <c r="CV245" s="36"/>
      <c r="CW245" s="51"/>
      <c r="CX245" s="36"/>
      <c r="CY245" s="36"/>
      <c r="CZ245" s="36"/>
      <c r="DA245" s="36"/>
      <c r="DB245" s="51"/>
      <c r="DC245" s="36"/>
      <c r="DD245" s="36"/>
      <c r="DE245" s="36"/>
      <c r="DF245" s="36"/>
      <c r="DG245" s="51"/>
      <c r="DH245" s="36"/>
      <c r="DI245" s="36"/>
      <c r="DJ245" s="36"/>
      <c r="DK245" s="36"/>
      <c r="DL245" s="51"/>
      <c r="DM245" s="51"/>
      <c r="DN245" s="51"/>
    </row>
    <row r="246" spans="1:118" ht="15.75" customHeight="1">
      <c r="A246" s="171"/>
      <c r="B246" s="51"/>
      <c r="C246" s="99"/>
      <c r="D246" s="101"/>
      <c r="E246" s="102"/>
      <c r="F246" s="51"/>
      <c r="G246" s="103"/>
      <c r="H246" s="103"/>
      <c r="I246" s="104"/>
      <c r="J246" s="101"/>
      <c r="K246" s="101"/>
      <c r="M246" s="51"/>
      <c r="N246" s="51"/>
      <c r="O246" s="51"/>
      <c r="P246" s="51"/>
      <c r="Q246" s="51"/>
      <c r="R246" s="36"/>
      <c r="S246" s="51"/>
      <c r="T246" s="59"/>
      <c r="U246" s="112"/>
      <c r="V246" s="39"/>
      <c r="W246" s="39"/>
      <c r="X246" s="40"/>
      <c r="Y246" s="39"/>
      <c r="Z246" s="41"/>
      <c r="AA246" s="41"/>
      <c r="AB246" s="51"/>
      <c r="AC246" s="51"/>
      <c r="AD246" s="51"/>
      <c r="AE246" s="51"/>
      <c r="AF246" s="51"/>
      <c r="AG246" s="51"/>
      <c r="AH246" s="51"/>
      <c r="AI246" s="106"/>
      <c r="AJ246" s="61"/>
      <c r="AK246" s="106"/>
      <c r="AL246" s="61"/>
      <c r="AM246" s="107"/>
      <c r="AN246" s="99"/>
      <c r="AO246" s="99"/>
      <c r="AP246" s="51"/>
      <c r="AQ246" s="51"/>
      <c r="AR246" s="51"/>
      <c r="AS246" s="101"/>
      <c r="AT246" s="101"/>
      <c r="AU246" s="51"/>
      <c r="AV246" s="51"/>
      <c r="AW246" s="51"/>
      <c r="AX246" s="51"/>
      <c r="AY246" s="106"/>
      <c r="AZ246" s="106"/>
      <c r="BA246" s="106"/>
      <c r="BB246" s="106"/>
      <c r="BC246" s="38"/>
      <c r="BD246" s="38"/>
      <c r="BE246" s="34"/>
      <c r="BF246" s="51"/>
      <c r="BG246" s="36"/>
      <c r="BH246" s="51"/>
      <c r="BI246" s="99"/>
      <c r="BJ246" s="99"/>
      <c r="BK246" s="51"/>
      <c r="BL246" s="51"/>
      <c r="BM246" s="51"/>
      <c r="BN246" s="51"/>
      <c r="BO246" s="99"/>
      <c r="BP246" s="99"/>
      <c r="BQ246" s="99"/>
      <c r="BR246" s="99"/>
      <c r="BS246" s="51"/>
      <c r="BT246" s="99"/>
      <c r="BU246" s="99"/>
      <c r="BV246" s="99"/>
      <c r="BW246" s="51"/>
      <c r="BX246" s="51"/>
      <c r="BY246" s="100"/>
      <c r="BZ246" s="100"/>
      <c r="CA246" s="36"/>
      <c r="CB246" s="36"/>
      <c r="CC246" s="51"/>
      <c r="CD246" s="36"/>
      <c r="CE246" s="36"/>
      <c r="CF246" s="36"/>
      <c r="CG246" s="36"/>
      <c r="CH246" s="51"/>
      <c r="CI246" s="36"/>
      <c r="CJ246" s="36"/>
      <c r="CK246" s="36"/>
      <c r="CL246" s="36"/>
      <c r="CM246" s="51"/>
      <c r="CN246" s="36"/>
      <c r="CO246" s="36"/>
      <c r="CP246" s="36"/>
      <c r="CQ246" s="36"/>
      <c r="CR246" s="51"/>
      <c r="CS246" s="36"/>
      <c r="CT246" s="36"/>
      <c r="CU246" s="36"/>
      <c r="CV246" s="36"/>
      <c r="CW246" s="51"/>
      <c r="CX246" s="36"/>
      <c r="CY246" s="36"/>
      <c r="CZ246" s="36"/>
      <c r="DA246" s="36"/>
      <c r="DB246" s="51"/>
      <c r="DC246" s="36"/>
      <c r="DD246" s="36"/>
      <c r="DE246" s="36"/>
      <c r="DF246" s="36"/>
      <c r="DG246" s="51"/>
      <c r="DH246" s="36"/>
      <c r="DI246" s="36"/>
      <c r="DJ246" s="36"/>
      <c r="DK246" s="36"/>
      <c r="DL246" s="51"/>
      <c r="DM246" s="51"/>
      <c r="DN246" s="51"/>
    </row>
    <row r="247" spans="1:118" ht="15.75" customHeight="1">
      <c r="A247" s="171"/>
      <c r="B247" s="51"/>
      <c r="C247" s="99"/>
      <c r="D247" s="101"/>
      <c r="E247" s="102"/>
      <c r="F247" s="51"/>
      <c r="G247" s="103"/>
      <c r="H247" s="103"/>
      <c r="I247" s="104"/>
      <c r="J247" s="101"/>
      <c r="K247" s="101"/>
      <c r="M247" s="51"/>
      <c r="N247" s="51"/>
      <c r="O247" s="51"/>
      <c r="P247" s="51"/>
      <c r="Q247" s="51"/>
      <c r="R247" s="36"/>
      <c r="S247" s="51"/>
      <c r="T247" s="59"/>
      <c r="U247" s="112"/>
      <c r="V247" s="39"/>
      <c r="W247" s="39"/>
      <c r="X247" s="40"/>
      <c r="Y247" s="39"/>
      <c r="Z247" s="41"/>
      <c r="AA247" s="41"/>
      <c r="AB247" s="51"/>
      <c r="AC247" s="51"/>
      <c r="AD247" s="51"/>
      <c r="AE247" s="51"/>
      <c r="AF247" s="51"/>
      <c r="AG247" s="51"/>
      <c r="AH247" s="51"/>
      <c r="AI247" s="106"/>
      <c r="AJ247" s="61"/>
      <c r="AK247" s="106"/>
      <c r="AL247" s="61"/>
      <c r="AM247" s="107"/>
      <c r="AN247" s="99"/>
      <c r="AO247" s="99"/>
      <c r="AP247" s="51"/>
      <c r="AQ247" s="51"/>
      <c r="AR247" s="51"/>
      <c r="AS247" s="101"/>
      <c r="AT247" s="101"/>
      <c r="AU247" s="51"/>
      <c r="AV247" s="51"/>
      <c r="AW247" s="51"/>
      <c r="AX247" s="51"/>
      <c r="AY247" s="106"/>
      <c r="AZ247" s="106"/>
      <c r="BA247" s="106"/>
      <c r="BB247" s="106"/>
      <c r="BC247" s="38"/>
      <c r="BD247" s="38"/>
      <c r="BE247" s="34"/>
      <c r="BF247" s="51"/>
      <c r="BG247" s="36"/>
      <c r="BH247" s="51"/>
      <c r="BI247" s="99"/>
      <c r="BJ247" s="99"/>
      <c r="BK247" s="51"/>
      <c r="BL247" s="51"/>
      <c r="BM247" s="51"/>
      <c r="BN247" s="51"/>
      <c r="BO247" s="99"/>
      <c r="BP247" s="99"/>
      <c r="BQ247" s="99"/>
      <c r="BR247" s="99"/>
      <c r="BS247" s="51"/>
      <c r="BT247" s="99"/>
      <c r="BU247" s="99"/>
      <c r="BV247" s="99"/>
      <c r="BW247" s="51"/>
      <c r="BX247" s="51"/>
      <c r="BY247" s="100"/>
      <c r="BZ247" s="100"/>
      <c r="CA247" s="36"/>
      <c r="CB247" s="36"/>
      <c r="CC247" s="51"/>
      <c r="CD247" s="36"/>
      <c r="CE247" s="36"/>
      <c r="CF247" s="36"/>
      <c r="CG247" s="36"/>
      <c r="CH247" s="51"/>
      <c r="CI247" s="36"/>
      <c r="CJ247" s="36"/>
      <c r="CK247" s="36"/>
      <c r="CL247" s="36"/>
      <c r="CM247" s="51"/>
      <c r="CN247" s="36"/>
      <c r="CO247" s="36"/>
      <c r="CP247" s="36"/>
      <c r="CQ247" s="36"/>
      <c r="CR247" s="51"/>
      <c r="CS247" s="36"/>
      <c r="CT247" s="36"/>
      <c r="CU247" s="36"/>
      <c r="CV247" s="36"/>
      <c r="CW247" s="51"/>
      <c r="CX247" s="36"/>
      <c r="CY247" s="36"/>
      <c r="CZ247" s="36"/>
      <c r="DA247" s="36"/>
      <c r="DB247" s="51"/>
      <c r="DC247" s="36"/>
      <c r="DD247" s="36"/>
      <c r="DE247" s="36"/>
      <c r="DF247" s="36"/>
      <c r="DG247" s="51"/>
      <c r="DH247" s="36"/>
      <c r="DI247" s="36"/>
      <c r="DJ247" s="36"/>
      <c r="DK247" s="36"/>
      <c r="DL247" s="51"/>
      <c r="DM247" s="51"/>
      <c r="DN247" s="51"/>
    </row>
    <row r="248" spans="1:118" ht="15.75" customHeight="1">
      <c r="A248" s="171"/>
      <c r="B248" s="51"/>
      <c r="C248" s="99"/>
      <c r="D248" s="101"/>
      <c r="E248" s="102"/>
      <c r="F248" s="51"/>
      <c r="G248" s="103"/>
      <c r="H248" s="103"/>
      <c r="I248" s="104"/>
      <c r="J248" s="101"/>
      <c r="K248" s="101"/>
      <c r="M248" s="51"/>
      <c r="N248" s="51"/>
      <c r="O248" s="51"/>
      <c r="P248" s="51"/>
      <c r="Q248" s="51"/>
      <c r="R248" s="36"/>
      <c r="S248" s="51"/>
      <c r="T248" s="59"/>
      <c r="U248" s="112"/>
      <c r="V248" s="39"/>
      <c r="W248" s="39"/>
      <c r="X248" s="40"/>
      <c r="Y248" s="39"/>
      <c r="Z248" s="41"/>
      <c r="AA248" s="41"/>
      <c r="AB248" s="51"/>
      <c r="AC248" s="51"/>
      <c r="AD248" s="51"/>
      <c r="AE248" s="51"/>
      <c r="AF248" s="51"/>
      <c r="AG248" s="51"/>
      <c r="AH248" s="51"/>
      <c r="AI248" s="106"/>
      <c r="AJ248" s="61"/>
      <c r="AK248" s="106"/>
      <c r="AL248" s="61"/>
      <c r="AM248" s="107"/>
      <c r="AN248" s="99"/>
      <c r="AO248" s="99"/>
      <c r="AP248" s="51"/>
      <c r="AQ248" s="51"/>
      <c r="AR248" s="51"/>
      <c r="AS248" s="101"/>
      <c r="AT248" s="101"/>
      <c r="AU248" s="51"/>
      <c r="AV248" s="51"/>
      <c r="AW248" s="51"/>
      <c r="AX248" s="51"/>
      <c r="AY248" s="106"/>
      <c r="AZ248" s="106"/>
      <c r="BA248" s="106"/>
      <c r="BB248" s="106"/>
      <c r="BC248" s="38"/>
      <c r="BD248" s="38"/>
      <c r="BE248" s="34"/>
      <c r="BF248" s="51"/>
      <c r="BG248" s="36"/>
      <c r="BH248" s="51"/>
      <c r="BI248" s="99"/>
      <c r="BJ248" s="99"/>
      <c r="BK248" s="51"/>
      <c r="BL248" s="51"/>
      <c r="BM248" s="51"/>
      <c r="BN248" s="51"/>
      <c r="BO248" s="99"/>
      <c r="BP248" s="99"/>
      <c r="BQ248" s="99"/>
      <c r="BR248" s="99"/>
      <c r="BS248" s="51"/>
      <c r="BT248" s="99"/>
      <c r="BU248" s="99"/>
      <c r="BV248" s="99"/>
      <c r="BW248" s="51"/>
      <c r="BX248" s="51"/>
      <c r="BY248" s="100"/>
      <c r="BZ248" s="100"/>
      <c r="CA248" s="36"/>
      <c r="CB248" s="36"/>
      <c r="CC248" s="51"/>
      <c r="CD248" s="36"/>
      <c r="CE248" s="36"/>
      <c r="CF248" s="36"/>
      <c r="CG248" s="36"/>
      <c r="CH248" s="51"/>
      <c r="CI248" s="36"/>
      <c r="CJ248" s="36"/>
      <c r="CK248" s="36"/>
      <c r="CL248" s="36"/>
      <c r="CM248" s="51"/>
      <c r="CN248" s="36"/>
      <c r="CO248" s="36"/>
      <c r="CP248" s="36"/>
      <c r="CQ248" s="36"/>
      <c r="CR248" s="51"/>
      <c r="CS248" s="36"/>
      <c r="CT248" s="36"/>
      <c r="CU248" s="36"/>
      <c r="CV248" s="36"/>
      <c r="CW248" s="51"/>
      <c r="CX248" s="36"/>
      <c r="CY248" s="36"/>
      <c r="CZ248" s="36"/>
      <c r="DA248" s="36"/>
      <c r="DB248" s="51"/>
      <c r="DC248" s="36"/>
      <c r="DD248" s="36"/>
      <c r="DE248" s="36"/>
      <c r="DF248" s="36"/>
      <c r="DG248" s="51"/>
      <c r="DH248" s="36"/>
      <c r="DI248" s="36"/>
      <c r="DJ248" s="36"/>
      <c r="DK248" s="36"/>
      <c r="DL248" s="51"/>
      <c r="DM248" s="51"/>
      <c r="DN248" s="51"/>
    </row>
    <row r="249" spans="1:118" ht="15.75" customHeight="1">
      <c r="A249" s="171"/>
      <c r="B249" s="51"/>
      <c r="C249" s="99"/>
      <c r="D249" s="101"/>
      <c r="E249" s="102"/>
      <c r="F249" s="51"/>
      <c r="G249" s="103"/>
      <c r="H249" s="103"/>
      <c r="I249" s="104"/>
      <c r="J249" s="101"/>
      <c r="K249" s="101"/>
      <c r="M249" s="51"/>
      <c r="N249" s="51"/>
      <c r="O249" s="51"/>
      <c r="P249" s="51"/>
      <c r="Q249" s="51"/>
      <c r="R249" s="36"/>
      <c r="S249" s="51"/>
      <c r="T249" s="59"/>
      <c r="U249" s="112"/>
      <c r="V249" s="39"/>
      <c r="W249" s="39"/>
      <c r="X249" s="40"/>
      <c r="Y249" s="39"/>
      <c r="Z249" s="41"/>
      <c r="AA249" s="41"/>
      <c r="AB249" s="51"/>
      <c r="AC249" s="51"/>
      <c r="AD249" s="51"/>
      <c r="AE249" s="51"/>
      <c r="AF249" s="51"/>
      <c r="AG249" s="51"/>
      <c r="AH249" s="51"/>
      <c r="AI249" s="106"/>
      <c r="AJ249" s="61"/>
      <c r="AK249" s="106"/>
      <c r="AL249" s="61"/>
      <c r="AM249" s="107"/>
      <c r="AN249" s="99"/>
      <c r="AO249" s="99"/>
      <c r="AP249" s="51"/>
      <c r="AQ249" s="51"/>
      <c r="AR249" s="51"/>
      <c r="AS249" s="101"/>
      <c r="AT249" s="101"/>
      <c r="AU249" s="51"/>
      <c r="AV249" s="51"/>
      <c r="AW249" s="51"/>
      <c r="AX249" s="51"/>
      <c r="AY249" s="106"/>
      <c r="AZ249" s="106"/>
      <c r="BA249" s="106"/>
      <c r="BB249" s="106"/>
      <c r="BC249" s="38"/>
      <c r="BD249" s="38"/>
      <c r="BE249" s="34"/>
      <c r="BF249" s="51"/>
      <c r="BG249" s="36"/>
      <c r="BH249" s="51"/>
      <c r="BI249" s="99"/>
      <c r="BJ249" s="99"/>
      <c r="BK249" s="51"/>
      <c r="BL249" s="51"/>
      <c r="BM249" s="51"/>
      <c r="BN249" s="51"/>
      <c r="BO249" s="99"/>
      <c r="BP249" s="99"/>
      <c r="BQ249" s="99"/>
      <c r="BR249" s="99"/>
      <c r="BS249" s="51"/>
      <c r="BT249" s="99"/>
      <c r="BU249" s="99"/>
      <c r="BV249" s="99"/>
      <c r="BW249" s="51"/>
      <c r="BX249" s="51"/>
      <c r="BY249" s="100"/>
      <c r="BZ249" s="100"/>
      <c r="CA249" s="36"/>
      <c r="CB249" s="36"/>
      <c r="CC249" s="51"/>
      <c r="CD249" s="36"/>
      <c r="CE249" s="36"/>
      <c r="CF249" s="36"/>
      <c r="CG249" s="36"/>
      <c r="CH249" s="51"/>
      <c r="CI249" s="36"/>
      <c r="CJ249" s="36"/>
      <c r="CK249" s="36"/>
      <c r="CL249" s="36"/>
      <c r="CM249" s="51"/>
      <c r="CN249" s="36"/>
      <c r="CO249" s="36"/>
      <c r="CP249" s="36"/>
      <c r="CQ249" s="36"/>
      <c r="CR249" s="51"/>
      <c r="CS249" s="36"/>
      <c r="CT249" s="36"/>
      <c r="CU249" s="36"/>
      <c r="CV249" s="36"/>
      <c r="CW249" s="51"/>
      <c r="CX249" s="36"/>
      <c r="CY249" s="36"/>
      <c r="CZ249" s="36"/>
      <c r="DA249" s="36"/>
      <c r="DB249" s="51"/>
      <c r="DC249" s="36"/>
      <c r="DD249" s="36"/>
      <c r="DE249" s="36"/>
      <c r="DF249" s="36"/>
      <c r="DG249" s="51"/>
      <c r="DH249" s="36"/>
      <c r="DI249" s="36"/>
      <c r="DJ249" s="36"/>
      <c r="DK249" s="36"/>
      <c r="DL249" s="51"/>
      <c r="DM249" s="51"/>
      <c r="DN249" s="51"/>
    </row>
    <row r="250" spans="1:118" ht="15.75" customHeight="1">
      <c r="A250" s="171"/>
      <c r="B250" s="51"/>
      <c r="C250" s="99"/>
      <c r="D250" s="101"/>
      <c r="E250" s="102"/>
      <c r="F250" s="51"/>
      <c r="G250" s="103"/>
      <c r="H250" s="103"/>
      <c r="I250" s="104"/>
      <c r="J250" s="101"/>
      <c r="K250" s="101"/>
      <c r="M250" s="51"/>
      <c r="N250" s="51"/>
      <c r="O250" s="51"/>
      <c r="P250" s="51"/>
      <c r="Q250" s="51"/>
      <c r="R250" s="36"/>
      <c r="S250" s="51"/>
      <c r="T250" s="59"/>
      <c r="U250" s="112"/>
      <c r="V250" s="39"/>
      <c r="W250" s="39"/>
      <c r="X250" s="40"/>
      <c r="Y250" s="39"/>
      <c r="Z250" s="41"/>
      <c r="AA250" s="41"/>
      <c r="AB250" s="51"/>
      <c r="AC250" s="51"/>
      <c r="AD250" s="51"/>
      <c r="AE250" s="51"/>
      <c r="AF250" s="51"/>
      <c r="AG250" s="51"/>
      <c r="AH250" s="51"/>
      <c r="AI250" s="106"/>
      <c r="AJ250" s="61"/>
      <c r="AK250" s="106"/>
      <c r="AL250" s="61"/>
      <c r="AM250" s="107"/>
      <c r="AN250" s="99"/>
      <c r="AO250" s="99"/>
      <c r="AP250" s="51"/>
      <c r="AQ250" s="51"/>
      <c r="AR250" s="51"/>
      <c r="AS250" s="101"/>
      <c r="AT250" s="101"/>
      <c r="AU250" s="51"/>
      <c r="AV250" s="51"/>
      <c r="AW250" s="51"/>
      <c r="AX250" s="51"/>
      <c r="AY250" s="106"/>
      <c r="AZ250" s="106"/>
      <c r="BA250" s="106"/>
      <c r="BB250" s="106"/>
      <c r="BC250" s="38"/>
      <c r="BD250" s="38"/>
      <c r="BE250" s="34"/>
      <c r="BF250" s="51"/>
      <c r="BG250" s="36"/>
      <c r="BH250" s="51"/>
      <c r="BI250" s="99"/>
      <c r="BJ250" s="99"/>
      <c r="BK250" s="51"/>
      <c r="BL250" s="51"/>
      <c r="BM250" s="51"/>
      <c r="BN250" s="51"/>
      <c r="BO250" s="99"/>
      <c r="BP250" s="99"/>
      <c r="BQ250" s="99"/>
      <c r="BR250" s="99"/>
      <c r="BS250" s="51"/>
      <c r="BT250" s="99"/>
      <c r="BU250" s="99"/>
      <c r="BV250" s="99"/>
      <c r="BW250" s="51"/>
      <c r="BX250" s="51"/>
      <c r="BY250" s="100"/>
      <c r="BZ250" s="100"/>
      <c r="CA250" s="36"/>
      <c r="CB250" s="36"/>
      <c r="CC250" s="51"/>
      <c r="CD250" s="36"/>
      <c r="CE250" s="36"/>
      <c r="CF250" s="36"/>
      <c r="CG250" s="36"/>
      <c r="CH250" s="51"/>
      <c r="CI250" s="36"/>
      <c r="CJ250" s="36"/>
      <c r="CK250" s="36"/>
      <c r="CL250" s="36"/>
      <c r="CM250" s="51"/>
      <c r="CN250" s="36"/>
      <c r="CO250" s="36"/>
      <c r="CP250" s="36"/>
      <c r="CQ250" s="36"/>
      <c r="CR250" s="51"/>
      <c r="CS250" s="36"/>
      <c r="CT250" s="36"/>
      <c r="CU250" s="36"/>
      <c r="CV250" s="36"/>
      <c r="CW250" s="51"/>
      <c r="CX250" s="36"/>
      <c r="CY250" s="36"/>
      <c r="CZ250" s="36"/>
      <c r="DA250" s="36"/>
      <c r="DB250" s="51"/>
      <c r="DC250" s="36"/>
      <c r="DD250" s="36"/>
      <c r="DE250" s="36"/>
      <c r="DF250" s="36"/>
      <c r="DG250" s="51"/>
      <c r="DH250" s="36"/>
      <c r="DI250" s="36"/>
      <c r="DJ250" s="36"/>
      <c r="DK250" s="36"/>
      <c r="DL250" s="51"/>
      <c r="DM250" s="51"/>
      <c r="DN250" s="51"/>
    </row>
    <row r="251" spans="1:118" ht="15.75" customHeight="1">
      <c r="A251" s="171"/>
      <c r="B251" s="51"/>
      <c r="C251" s="99"/>
      <c r="D251" s="101"/>
      <c r="E251" s="102"/>
      <c r="F251" s="51"/>
      <c r="G251" s="103"/>
      <c r="H251" s="103"/>
      <c r="I251" s="104"/>
      <c r="J251" s="101"/>
      <c r="K251" s="101"/>
      <c r="M251" s="51"/>
      <c r="N251" s="51"/>
      <c r="O251" s="51"/>
      <c r="P251" s="51"/>
      <c r="Q251" s="51"/>
      <c r="R251" s="36"/>
      <c r="S251" s="51"/>
      <c r="T251" s="59"/>
      <c r="U251" s="112"/>
      <c r="V251" s="39"/>
      <c r="W251" s="39"/>
      <c r="X251" s="40"/>
      <c r="Y251" s="39"/>
      <c r="Z251" s="41"/>
      <c r="AA251" s="41"/>
      <c r="AB251" s="51"/>
      <c r="AC251" s="51"/>
      <c r="AD251" s="51"/>
      <c r="AE251" s="51"/>
      <c r="AF251" s="51"/>
      <c r="AG251" s="51"/>
      <c r="AH251" s="51"/>
      <c r="AI251" s="106"/>
      <c r="AJ251" s="61"/>
      <c r="AK251" s="106"/>
      <c r="AL251" s="61"/>
      <c r="AM251" s="107"/>
      <c r="AN251" s="99"/>
      <c r="AO251" s="99"/>
      <c r="AP251" s="51"/>
      <c r="AQ251" s="51"/>
      <c r="AR251" s="51"/>
      <c r="AS251" s="101"/>
      <c r="AT251" s="101"/>
      <c r="AU251" s="51"/>
      <c r="AV251" s="51"/>
      <c r="AW251" s="51"/>
      <c r="AX251" s="51"/>
      <c r="AY251" s="106"/>
      <c r="AZ251" s="106"/>
      <c r="BA251" s="106"/>
      <c r="BB251" s="106"/>
      <c r="BC251" s="38"/>
      <c r="BD251" s="38"/>
      <c r="BE251" s="34"/>
      <c r="BF251" s="51"/>
      <c r="BG251" s="36"/>
      <c r="BH251" s="51"/>
      <c r="BI251" s="99"/>
      <c r="BJ251" s="99"/>
      <c r="BK251" s="51"/>
      <c r="BL251" s="51"/>
      <c r="BM251" s="51"/>
      <c r="BN251" s="51"/>
      <c r="BO251" s="99"/>
      <c r="BP251" s="99"/>
      <c r="BQ251" s="99"/>
      <c r="BR251" s="99"/>
      <c r="BS251" s="51"/>
      <c r="BT251" s="99"/>
      <c r="BU251" s="99"/>
      <c r="BV251" s="99"/>
      <c r="BW251" s="51"/>
      <c r="BX251" s="51"/>
      <c r="BY251" s="100"/>
      <c r="BZ251" s="100"/>
      <c r="CA251" s="36"/>
      <c r="CB251" s="36"/>
      <c r="CC251" s="51"/>
      <c r="CD251" s="36"/>
      <c r="CE251" s="36"/>
      <c r="CF251" s="36"/>
      <c r="CG251" s="36"/>
      <c r="CH251" s="51"/>
      <c r="CI251" s="36"/>
      <c r="CJ251" s="36"/>
      <c r="CK251" s="36"/>
      <c r="CL251" s="36"/>
      <c r="CM251" s="51"/>
      <c r="CN251" s="36"/>
      <c r="CO251" s="36"/>
      <c r="CP251" s="36"/>
      <c r="CQ251" s="36"/>
      <c r="CR251" s="51"/>
      <c r="CS251" s="36"/>
      <c r="CT251" s="36"/>
      <c r="CU251" s="36"/>
      <c r="CV251" s="36"/>
      <c r="CW251" s="51"/>
      <c r="CX251" s="36"/>
      <c r="CY251" s="36"/>
      <c r="CZ251" s="36"/>
      <c r="DA251" s="36"/>
      <c r="DB251" s="51"/>
      <c r="DC251" s="36"/>
      <c r="DD251" s="36"/>
      <c r="DE251" s="36"/>
      <c r="DF251" s="36"/>
      <c r="DG251" s="51"/>
      <c r="DH251" s="36"/>
      <c r="DI251" s="36"/>
      <c r="DJ251" s="36"/>
      <c r="DK251" s="36"/>
      <c r="DL251" s="51"/>
      <c r="DM251" s="51"/>
      <c r="DN251" s="51"/>
    </row>
    <row r="252" spans="1:118" ht="15.75" customHeight="1">
      <c r="A252" s="171"/>
      <c r="B252" s="51"/>
      <c r="C252" s="99"/>
      <c r="D252" s="101"/>
      <c r="E252" s="102"/>
      <c r="F252" s="51"/>
      <c r="G252" s="103"/>
      <c r="H252" s="103"/>
      <c r="I252" s="104"/>
      <c r="J252" s="101"/>
      <c r="K252" s="101"/>
      <c r="M252" s="51"/>
      <c r="N252" s="51"/>
      <c r="O252" s="51"/>
      <c r="P252" s="51"/>
      <c r="Q252" s="51"/>
      <c r="R252" s="36"/>
      <c r="S252" s="51"/>
      <c r="T252" s="59"/>
      <c r="U252" s="112"/>
      <c r="V252" s="39"/>
      <c r="W252" s="39"/>
      <c r="X252" s="40"/>
      <c r="Y252" s="39"/>
      <c r="Z252" s="41"/>
      <c r="AA252" s="41"/>
      <c r="AB252" s="51"/>
      <c r="AC252" s="51"/>
      <c r="AD252" s="51"/>
      <c r="AE252" s="51"/>
      <c r="AF252" s="51"/>
      <c r="AG252" s="51"/>
      <c r="AH252" s="51"/>
      <c r="AI252" s="106"/>
      <c r="AJ252" s="61"/>
      <c r="AK252" s="106"/>
      <c r="AL252" s="61"/>
      <c r="AM252" s="107"/>
      <c r="AN252" s="99"/>
      <c r="AO252" s="99"/>
      <c r="AP252" s="51"/>
      <c r="AQ252" s="51"/>
      <c r="AR252" s="51"/>
      <c r="AS252" s="101"/>
      <c r="AT252" s="101"/>
      <c r="AU252" s="51"/>
      <c r="AV252" s="51"/>
      <c r="AW252" s="51"/>
      <c r="AX252" s="51"/>
      <c r="AY252" s="106"/>
      <c r="AZ252" s="106"/>
      <c r="BA252" s="106"/>
      <c r="BB252" s="106"/>
      <c r="BC252" s="38"/>
      <c r="BD252" s="38"/>
      <c r="BE252" s="34"/>
      <c r="BF252" s="51"/>
      <c r="BG252" s="36"/>
      <c r="BH252" s="51"/>
      <c r="BI252" s="99"/>
      <c r="BJ252" s="99"/>
      <c r="BK252" s="51"/>
      <c r="BL252" s="51"/>
      <c r="BM252" s="51"/>
      <c r="BN252" s="51"/>
      <c r="BO252" s="99"/>
      <c r="BP252" s="99"/>
      <c r="BQ252" s="99"/>
      <c r="BR252" s="99"/>
      <c r="BS252" s="51"/>
      <c r="BT252" s="99"/>
      <c r="BU252" s="99"/>
      <c r="BV252" s="99"/>
      <c r="BW252" s="51"/>
      <c r="BX252" s="51"/>
      <c r="BY252" s="100"/>
      <c r="BZ252" s="100"/>
      <c r="CA252" s="36"/>
      <c r="CB252" s="36"/>
      <c r="CC252" s="51"/>
      <c r="CD252" s="36"/>
      <c r="CE252" s="36"/>
      <c r="CF252" s="36"/>
      <c r="CG252" s="36"/>
      <c r="CH252" s="51"/>
      <c r="CI252" s="36"/>
      <c r="CJ252" s="36"/>
      <c r="CK252" s="36"/>
      <c r="CL252" s="36"/>
      <c r="CM252" s="51"/>
      <c r="CN252" s="36"/>
      <c r="CO252" s="36"/>
      <c r="CP252" s="36"/>
      <c r="CQ252" s="36"/>
      <c r="CR252" s="51"/>
      <c r="CS252" s="36"/>
      <c r="CT252" s="36"/>
      <c r="CU252" s="36"/>
      <c r="CV252" s="36"/>
      <c r="CW252" s="51"/>
      <c r="CX252" s="36"/>
      <c r="CY252" s="36"/>
      <c r="CZ252" s="36"/>
      <c r="DA252" s="36"/>
      <c r="DB252" s="51"/>
      <c r="DC252" s="36"/>
      <c r="DD252" s="36"/>
      <c r="DE252" s="36"/>
      <c r="DF252" s="36"/>
      <c r="DG252" s="51"/>
      <c r="DH252" s="36"/>
      <c r="DI252" s="36"/>
      <c r="DJ252" s="36"/>
      <c r="DK252" s="36"/>
      <c r="DL252" s="51"/>
      <c r="DM252" s="51"/>
      <c r="DN252" s="51"/>
    </row>
    <row r="253" spans="1:118" ht="15.75" customHeight="1">
      <c r="A253" s="171"/>
      <c r="B253" s="51"/>
      <c r="C253" s="99"/>
      <c r="D253" s="101"/>
      <c r="E253" s="102"/>
      <c r="F253" s="51"/>
      <c r="G253" s="103"/>
      <c r="H253" s="103"/>
      <c r="I253" s="104"/>
      <c r="J253" s="101"/>
      <c r="K253" s="101"/>
      <c r="M253" s="51"/>
      <c r="N253" s="51"/>
      <c r="O253" s="51"/>
      <c r="P253" s="51"/>
      <c r="Q253" s="51"/>
      <c r="R253" s="36"/>
      <c r="S253" s="51"/>
      <c r="T253" s="59"/>
      <c r="U253" s="112"/>
      <c r="V253" s="39"/>
      <c r="W253" s="39"/>
      <c r="X253" s="40"/>
      <c r="Y253" s="39"/>
      <c r="Z253" s="41"/>
      <c r="AA253" s="41"/>
      <c r="AB253" s="51"/>
      <c r="AC253" s="51"/>
      <c r="AD253" s="51"/>
      <c r="AE253" s="51"/>
      <c r="AF253" s="51"/>
      <c r="AG253" s="51"/>
      <c r="AH253" s="51"/>
      <c r="AI253" s="106"/>
      <c r="AJ253" s="61"/>
      <c r="AK253" s="106"/>
      <c r="AL253" s="61"/>
      <c r="AM253" s="107"/>
      <c r="AN253" s="99"/>
      <c r="AO253" s="99"/>
      <c r="AP253" s="51"/>
      <c r="AQ253" s="51"/>
      <c r="AR253" s="51"/>
      <c r="AS253" s="101"/>
      <c r="AT253" s="101"/>
      <c r="AU253" s="51"/>
      <c r="AV253" s="51"/>
      <c r="AW253" s="51"/>
      <c r="AX253" s="51"/>
      <c r="AY253" s="106"/>
      <c r="AZ253" s="106"/>
      <c r="BA253" s="106"/>
      <c r="BB253" s="106"/>
      <c r="BC253" s="38"/>
      <c r="BD253" s="38"/>
      <c r="BE253" s="34"/>
      <c r="BF253" s="51"/>
      <c r="BG253" s="36"/>
      <c r="BH253" s="51"/>
      <c r="BI253" s="99"/>
      <c r="BJ253" s="99"/>
      <c r="BK253" s="51"/>
      <c r="BL253" s="51"/>
      <c r="BM253" s="51"/>
      <c r="BN253" s="51"/>
      <c r="BO253" s="99"/>
      <c r="BP253" s="99"/>
      <c r="BQ253" s="99"/>
      <c r="BR253" s="99"/>
      <c r="BS253" s="51"/>
      <c r="BT253" s="99"/>
      <c r="BU253" s="99"/>
      <c r="BV253" s="99"/>
      <c r="BW253" s="51"/>
      <c r="BX253" s="51"/>
      <c r="BY253" s="100"/>
      <c r="BZ253" s="100"/>
      <c r="CA253" s="36"/>
      <c r="CB253" s="36"/>
      <c r="CC253" s="51"/>
      <c r="CD253" s="36"/>
      <c r="CE253" s="36"/>
      <c r="CF253" s="36"/>
      <c r="CG253" s="36"/>
      <c r="CH253" s="51"/>
      <c r="CI253" s="36"/>
      <c r="CJ253" s="36"/>
      <c r="CK253" s="36"/>
      <c r="CL253" s="36"/>
      <c r="CM253" s="51"/>
      <c r="CN253" s="36"/>
      <c r="CO253" s="36"/>
      <c r="CP253" s="36"/>
      <c r="CQ253" s="36"/>
      <c r="CR253" s="51"/>
      <c r="CS253" s="36"/>
      <c r="CT253" s="36"/>
      <c r="CU253" s="36"/>
      <c r="CV253" s="36"/>
      <c r="CW253" s="51"/>
      <c r="CX253" s="36"/>
      <c r="CY253" s="36"/>
      <c r="CZ253" s="36"/>
      <c r="DA253" s="36"/>
      <c r="DB253" s="51"/>
      <c r="DC253" s="36"/>
      <c r="DD253" s="36"/>
      <c r="DE253" s="36"/>
      <c r="DF253" s="36"/>
      <c r="DG253" s="51"/>
      <c r="DH253" s="36"/>
      <c r="DI253" s="36"/>
      <c r="DJ253" s="36"/>
      <c r="DK253" s="36"/>
      <c r="DL253" s="51"/>
      <c r="DM253" s="51"/>
      <c r="DN253" s="51"/>
    </row>
    <row r="254" spans="1:118" ht="15.75" customHeight="1">
      <c r="A254" s="171"/>
      <c r="B254" s="51"/>
      <c r="C254" s="99"/>
      <c r="D254" s="101"/>
      <c r="E254" s="102"/>
      <c r="F254" s="51"/>
      <c r="G254" s="103"/>
      <c r="H254" s="103"/>
      <c r="I254" s="104"/>
      <c r="J254" s="101"/>
      <c r="K254" s="101"/>
      <c r="M254" s="51"/>
      <c r="N254" s="51"/>
      <c r="O254" s="51"/>
      <c r="P254" s="51"/>
      <c r="Q254" s="51"/>
      <c r="R254" s="36"/>
      <c r="S254" s="51"/>
      <c r="T254" s="59"/>
      <c r="U254" s="112"/>
      <c r="V254" s="39"/>
      <c r="W254" s="39"/>
      <c r="X254" s="40"/>
      <c r="Y254" s="39"/>
      <c r="Z254" s="41"/>
      <c r="AA254" s="41"/>
      <c r="AB254" s="51"/>
      <c r="AC254" s="51"/>
      <c r="AD254" s="51"/>
      <c r="AE254" s="51"/>
      <c r="AF254" s="51"/>
      <c r="AG254" s="51"/>
      <c r="AH254" s="51"/>
      <c r="AI254" s="106"/>
      <c r="AJ254" s="61"/>
      <c r="AK254" s="106"/>
      <c r="AL254" s="61"/>
      <c r="AM254" s="107"/>
      <c r="AN254" s="99"/>
      <c r="AO254" s="99"/>
      <c r="AP254" s="51"/>
      <c r="AQ254" s="51"/>
      <c r="AR254" s="51"/>
      <c r="AS254" s="101"/>
      <c r="AT254" s="101"/>
      <c r="AU254" s="51"/>
      <c r="AV254" s="51"/>
      <c r="AW254" s="51"/>
      <c r="AX254" s="51"/>
      <c r="AY254" s="106"/>
      <c r="AZ254" s="106"/>
      <c r="BA254" s="106"/>
      <c r="BB254" s="106"/>
      <c r="BC254" s="38"/>
      <c r="BD254" s="38"/>
      <c r="BE254" s="34"/>
      <c r="BF254" s="51"/>
      <c r="BG254" s="36"/>
      <c r="BH254" s="51"/>
      <c r="BI254" s="99"/>
      <c r="BJ254" s="99"/>
      <c r="BK254" s="51"/>
      <c r="BL254" s="51"/>
      <c r="BM254" s="51"/>
      <c r="BN254" s="51"/>
      <c r="BO254" s="99"/>
      <c r="BP254" s="99"/>
      <c r="BQ254" s="99"/>
      <c r="BR254" s="99"/>
      <c r="BS254" s="51"/>
      <c r="BT254" s="99"/>
      <c r="BU254" s="99"/>
      <c r="BV254" s="99"/>
      <c r="BW254" s="51"/>
      <c r="BX254" s="51"/>
      <c r="BY254" s="100"/>
      <c r="BZ254" s="100"/>
      <c r="CA254" s="36"/>
      <c r="CB254" s="36"/>
      <c r="CC254" s="51"/>
      <c r="CD254" s="36"/>
      <c r="CE254" s="36"/>
      <c r="CF254" s="36"/>
      <c r="CG254" s="36"/>
      <c r="CH254" s="51"/>
      <c r="CI254" s="36"/>
      <c r="CJ254" s="36"/>
      <c r="CK254" s="36"/>
      <c r="CL254" s="36"/>
      <c r="CM254" s="51"/>
      <c r="CN254" s="36"/>
      <c r="CO254" s="36"/>
      <c r="CP254" s="36"/>
      <c r="CQ254" s="36"/>
      <c r="CR254" s="51"/>
      <c r="CS254" s="36"/>
      <c r="CT254" s="36"/>
      <c r="CU254" s="36"/>
      <c r="CV254" s="36"/>
      <c r="CW254" s="51"/>
      <c r="CX254" s="36"/>
      <c r="CY254" s="36"/>
      <c r="CZ254" s="36"/>
      <c r="DA254" s="36"/>
      <c r="DB254" s="51"/>
      <c r="DC254" s="36"/>
      <c r="DD254" s="36"/>
      <c r="DE254" s="36"/>
      <c r="DF254" s="36"/>
      <c r="DG254" s="51"/>
      <c r="DH254" s="36"/>
      <c r="DI254" s="36"/>
      <c r="DJ254" s="36"/>
      <c r="DK254" s="36"/>
      <c r="DL254" s="51"/>
      <c r="DM254" s="51"/>
      <c r="DN254" s="51"/>
    </row>
    <row r="255" spans="1:118" ht="15.75" customHeight="1">
      <c r="A255" s="171"/>
      <c r="B255" s="51"/>
      <c r="C255" s="99"/>
      <c r="D255" s="101"/>
      <c r="E255" s="102"/>
      <c r="F255" s="51"/>
      <c r="G255" s="103"/>
      <c r="H255" s="103"/>
      <c r="I255" s="104"/>
      <c r="J255" s="101"/>
      <c r="K255" s="101"/>
      <c r="M255" s="51"/>
      <c r="N255" s="51"/>
      <c r="O255" s="51"/>
      <c r="P255" s="51"/>
      <c r="Q255" s="51"/>
      <c r="R255" s="36"/>
      <c r="S255" s="51"/>
      <c r="T255" s="59"/>
      <c r="U255" s="112"/>
      <c r="V255" s="39"/>
      <c r="W255" s="39"/>
      <c r="X255" s="40"/>
      <c r="Y255" s="39"/>
      <c r="Z255" s="41"/>
      <c r="AA255" s="41"/>
      <c r="AB255" s="51"/>
      <c r="AC255" s="51"/>
      <c r="AD255" s="51"/>
      <c r="AE255" s="51"/>
      <c r="AF255" s="51"/>
      <c r="AG255" s="51"/>
      <c r="AH255" s="51"/>
      <c r="AI255" s="106"/>
      <c r="AJ255" s="61"/>
      <c r="AK255" s="106"/>
      <c r="AL255" s="61"/>
      <c r="AM255" s="107"/>
      <c r="AN255" s="99"/>
      <c r="AO255" s="99"/>
      <c r="AP255" s="51"/>
      <c r="AQ255" s="51"/>
      <c r="AR255" s="51"/>
      <c r="AS255" s="101"/>
      <c r="AT255" s="101"/>
      <c r="AU255" s="51"/>
      <c r="AV255" s="51"/>
      <c r="AW255" s="51"/>
      <c r="AX255" s="51"/>
      <c r="AY255" s="106"/>
      <c r="AZ255" s="106"/>
      <c r="BA255" s="106"/>
      <c r="BB255" s="106"/>
      <c r="BC255" s="38"/>
      <c r="BD255" s="38"/>
      <c r="BE255" s="34"/>
      <c r="BF255" s="51"/>
      <c r="BG255" s="36"/>
      <c r="BH255" s="51"/>
      <c r="BI255" s="99"/>
      <c r="BJ255" s="99"/>
      <c r="BK255" s="51"/>
      <c r="BL255" s="51"/>
      <c r="BM255" s="51"/>
      <c r="BN255" s="51"/>
      <c r="BO255" s="99"/>
      <c r="BP255" s="99"/>
      <c r="BQ255" s="99"/>
      <c r="BR255" s="99"/>
      <c r="BS255" s="51"/>
      <c r="BT255" s="99"/>
      <c r="BU255" s="99"/>
      <c r="BV255" s="99"/>
      <c r="BW255" s="51"/>
      <c r="BX255" s="51"/>
      <c r="BY255" s="100"/>
      <c r="BZ255" s="100"/>
      <c r="CA255" s="36"/>
      <c r="CB255" s="36"/>
      <c r="CC255" s="51"/>
      <c r="CD255" s="36"/>
      <c r="CE255" s="36"/>
      <c r="CF255" s="36"/>
      <c r="CG255" s="36"/>
      <c r="CH255" s="51"/>
      <c r="CI255" s="36"/>
      <c r="CJ255" s="36"/>
      <c r="CK255" s="36"/>
      <c r="CL255" s="36"/>
      <c r="CM255" s="51"/>
      <c r="CN255" s="36"/>
      <c r="CO255" s="36"/>
      <c r="CP255" s="36"/>
      <c r="CQ255" s="36"/>
      <c r="CR255" s="51"/>
      <c r="CS255" s="36"/>
      <c r="CT255" s="36"/>
      <c r="CU255" s="36"/>
      <c r="CV255" s="36"/>
      <c r="CW255" s="51"/>
      <c r="CX255" s="36"/>
      <c r="CY255" s="36"/>
      <c r="CZ255" s="36"/>
      <c r="DA255" s="36"/>
      <c r="DB255" s="51"/>
      <c r="DC255" s="36"/>
      <c r="DD255" s="36"/>
      <c r="DE255" s="36"/>
      <c r="DF255" s="36"/>
      <c r="DG255" s="51"/>
      <c r="DH255" s="36"/>
      <c r="DI255" s="36"/>
      <c r="DJ255" s="36"/>
      <c r="DK255" s="36"/>
      <c r="DL255" s="51"/>
      <c r="DM255" s="51"/>
      <c r="DN255" s="51"/>
    </row>
    <row r="256" spans="1:118" ht="15.75" customHeight="1">
      <c r="A256" s="171"/>
      <c r="B256" s="51"/>
      <c r="C256" s="99"/>
      <c r="D256" s="101"/>
      <c r="E256" s="102"/>
      <c r="F256" s="51"/>
      <c r="G256" s="103"/>
      <c r="H256" s="103"/>
      <c r="I256" s="104"/>
      <c r="J256" s="101"/>
      <c r="K256" s="101"/>
      <c r="M256" s="51"/>
      <c r="N256" s="51"/>
      <c r="O256" s="51"/>
      <c r="P256" s="51"/>
      <c r="Q256" s="51"/>
      <c r="R256" s="36"/>
      <c r="S256" s="51"/>
      <c r="T256" s="59"/>
      <c r="U256" s="112"/>
      <c r="V256" s="39"/>
      <c r="W256" s="39"/>
      <c r="X256" s="40"/>
      <c r="Y256" s="39"/>
      <c r="Z256" s="41"/>
      <c r="AA256" s="41"/>
      <c r="AB256" s="51"/>
      <c r="AC256" s="51"/>
      <c r="AD256" s="51"/>
      <c r="AE256" s="51"/>
      <c r="AF256" s="51"/>
      <c r="AG256" s="51"/>
      <c r="AH256" s="51"/>
      <c r="AI256" s="106"/>
      <c r="AJ256" s="61"/>
      <c r="AK256" s="106"/>
      <c r="AL256" s="61"/>
      <c r="AM256" s="107"/>
      <c r="AN256" s="99"/>
      <c r="AO256" s="99"/>
      <c r="AP256" s="51"/>
      <c r="AQ256" s="51"/>
      <c r="AR256" s="51"/>
      <c r="AS256" s="101"/>
      <c r="AT256" s="101"/>
      <c r="AU256" s="51"/>
      <c r="AV256" s="51"/>
      <c r="AW256" s="51"/>
      <c r="AX256" s="51"/>
      <c r="AY256" s="106"/>
      <c r="AZ256" s="106"/>
      <c r="BA256" s="106"/>
      <c r="BB256" s="106"/>
      <c r="BC256" s="38"/>
      <c r="BD256" s="38"/>
      <c r="BE256" s="34"/>
      <c r="BF256" s="51"/>
      <c r="BG256" s="36"/>
      <c r="BH256" s="51"/>
      <c r="BI256" s="99"/>
      <c r="BJ256" s="99"/>
      <c r="BK256" s="51"/>
      <c r="BL256" s="51"/>
      <c r="BM256" s="51"/>
      <c r="BN256" s="51"/>
      <c r="BO256" s="99"/>
      <c r="BP256" s="99"/>
      <c r="BQ256" s="99"/>
      <c r="BR256" s="99"/>
      <c r="BS256" s="51"/>
      <c r="BT256" s="99"/>
      <c r="BU256" s="99"/>
      <c r="BV256" s="99"/>
      <c r="BW256" s="51"/>
      <c r="BX256" s="51"/>
      <c r="BY256" s="100"/>
      <c r="BZ256" s="100"/>
      <c r="CA256" s="36"/>
      <c r="CB256" s="36"/>
      <c r="CC256" s="51"/>
      <c r="CD256" s="36"/>
      <c r="CE256" s="36"/>
      <c r="CF256" s="36"/>
      <c r="CG256" s="36"/>
      <c r="CH256" s="51"/>
      <c r="CI256" s="36"/>
      <c r="CJ256" s="36"/>
      <c r="CK256" s="36"/>
      <c r="CL256" s="36"/>
      <c r="CM256" s="51"/>
      <c r="CN256" s="36"/>
      <c r="CO256" s="36"/>
      <c r="CP256" s="36"/>
      <c r="CQ256" s="36"/>
      <c r="CR256" s="51"/>
      <c r="CS256" s="36"/>
      <c r="CT256" s="36"/>
      <c r="CU256" s="36"/>
      <c r="CV256" s="36"/>
      <c r="CW256" s="51"/>
      <c r="CX256" s="36"/>
      <c r="CY256" s="36"/>
      <c r="CZ256" s="36"/>
      <c r="DA256" s="36"/>
      <c r="DB256" s="51"/>
      <c r="DC256" s="36"/>
      <c r="DD256" s="36"/>
      <c r="DE256" s="36"/>
      <c r="DF256" s="36"/>
      <c r="DG256" s="51"/>
      <c r="DH256" s="36"/>
      <c r="DI256" s="36"/>
      <c r="DJ256" s="36"/>
      <c r="DK256" s="36"/>
      <c r="DL256" s="51"/>
      <c r="DM256" s="51"/>
      <c r="DN256" s="51"/>
    </row>
    <row r="257" spans="1:118" ht="15.75" customHeight="1">
      <c r="A257" s="171"/>
      <c r="B257" s="51"/>
      <c r="C257" s="99"/>
      <c r="D257" s="101"/>
      <c r="E257" s="102"/>
      <c r="F257" s="51"/>
      <c r="G257" s="103"/>
      <c r="H257" s="103"/>
      <c r="I257" s="104"/>
      <c r="J257" s="101"/>
      <c r="K257" s="101"/>
      <c r="M257" s="51"/>
      <c r="N257" s="51"/>
      <c r="O257" s="51"/>
      <c r="P257" s="51"/>
      <c r="Q257" s="51"/>
      <c r="R257" s="36"/>
      <c r="S257" s="51"/>
      <c r="T257" s="59"/>
      <c r="U257" s="112"/>
      <c r="V257" s="39"/>
      <c r="W257" s="39"/>
      <c r="X257" s="40"/>
      <c r="Y257" s="39"/>
      <c r="Z257" s="41"/>
      <c r="AA257" s="41"/>
      <c r="AB257" s="51"/>
      <c r="AC257" s="51"/>
      <c r="AD257" s="51"/>
      <c r="AE257" s="51"/>
      <c r="AF257" s="51"/>
      <c r="AG257" s="51"/>
      <c r="AH257" s="51"/>
      <c r="AI257" s="106"/>
      <c r="AJ257" s="61"/>
      <c r="AK257" s="106"/>
      <c r="AL257" s="61"/>
      <c r="AM257" s="107"/>
      <c r="AN257" s="99"/>
      <c r="AO257" s="99"/>
      <c r="AP257" s="51"/>
      <c r="AQ257" s="51"/>
      <c r="AR257" s="51"/>
      <c r="AS257" s="101"/>
      <c r="AT257" s="101"/>
      <c r="AU257" s="51"/>
      <c r="AV257" s="51"/>
      <c r="AW257" s="51"/>
      <c r="AX257" s="51"/>
      <c r="AY257" s="106"/>
      <c r="AZ257" s="106"/>
      <c r="BA257" s="106"/>
      <c r="BB257" s="106"/>
      <c r="BC257" s="38"/>
      <c r="BD257" s="38"/>
      <c r="BE257" s="34"/>
      <c r="BF257" s="51"/>
      <c r="BG257" s="36"/>
      <c r="BH257" s="51"/>
      <c r="BI257" s="99"/>
      <c r="BJ257" s="99"/>
      <c r="BK257" s="51"/>
      <c r="BL257" s="51"/>
      <c r="BM257" s="51"/>
      <c r="BN257" s="51"/>
      <c r="BO257" s="99"/>
      <c r="BP257" s="99"/>
      <c r="BQ257" s="99"/>
      <c r="BR257" s="99"/>
      <c r="BS257" s="51"/>
      <c r="BT257" s="99"/>
      <c r="BU257" s="99"/>
      <c r="BV257" s="99"/>
      <c r="BW257" s="51"/>
      <c r="BX257" s="51"/>
      <c r="BY257" s="100"/>
      <c r="BZ257" s="100"/>
      <c r="CA257" s="36"/>
      <c r="CB257" s="36"/>
      <c r="CC257" s="51"/>
      <c r="CD257" s="36"/>
      <c r="CE257" s="36"/>
      <c r="CF257" s="36"/>
      <c r="CG257" s="36"/>
      <c r="CH257" s="51"/>
      <c r="CI257" s="36"/>
      <c r="CJ257" s="36"/>
      <c r="CK257" s="36"/>
      <c r="CL257" s="36"/>
      <c r="CM257" s="51"/>
      <c r="CN257" s="36"/>
      <c r="CO257" s="36"/>
      <c r="CP257" s="36"/>
      <c r="CQ257" s="36"/>
      <c r="CR257" s="51"/>
      <c r="CS257" s="36"/>
      <c r="CT257" s="36"/>
      <c r="CU257" s="36"/>
      <c r="CV257" s="36"/>
      <c r="CW257" s="51"/>
      <c r="CX257" s="36"/>
      <c r="CY257" s="36"/>
      <c r="CZ257" s="36"/>
      <c r="DA257" s="36"/>
      <c r="DB257" s="51"/>
      <c r="DC257" s="36"/>
      <c r="DD257" s="36"/>
      <c r="DE257" s="36"/>
      <c r="DF257" s="36"/>
      <c r="DG257" s="51"/>
      <c r="DH257" s="36"/>
      <c r="DI257" s="36"/>
      <c r="DJ257" s="36"/>
      <c r="DK257" s="36"/>
      <c r="DL257" s="51"/>
      <c r="DM257" s="51"/>
      <c r="DN257" s="51"/>
    </row>
    <row r="258" spans="1:118" ht="15.75" customHeight="1">
      <c r="A258" s="171"/>
      <c r="B258" s="51"/>
      <c r="C258" s="99"/>
      <c r="D258" s="101"/>
      <c r="E258" s="102"/>
      <c r="F258" s="51"/>
      <c r="G258" s="103"/>
      <c r="H258" s="103"/>
      <c r="I258" s="104"/>
      <c r="J258" s="101"/>
      <c r="K258" s="101"/>
      <c r="M258" s="51"/>
      <c r="N258" s="51"/>
      <c r="O258" s="51"/>
      <c r="P258" s="51"/>
      <c r="Q258" s="51"/>
      <c r="R258" s="36"/>
      <c r="S258" s="51"/>
      <c r="T258" s="59"/>
      <c r="U258" s="112"/>
      <c r="V258" s="39"/>
      <c r="W258" s="39"/>
      <c r="X258" s="40"/>
      <c r="Y258" s="39"/>
      <c r="Z258" s="41"/>
      <c r="AA258" s="41"/>
      <c r="AB258" s="51"/>
      <c r="AC258" s="51"/>
      <c r="AD258" s="51"/>
      <c r="AE258" s="51"/>
      <c r="AF258" s="51"/>
      <c r="AG258" s="51"/>
      <c r="AH258" s="51"/>
      <c r="AI258" s="106"/>
      <c r="AJ258" s="61"/>
      <c r="AK258" s="106"/>
      <c r="AL258" s="61"/>
      <c r="AM258" s="107"/>
      <c r="AN258" s="99"/>
      <c r="AO258" s="99"/>
      <c r="AP258" s="51"/>
      <c r="AQ258" s="51"/>
      <c r="AR258" s="51"/>
      <c r="AS258" s="101"/>
      <c r="AT258" s="101"/>
      <c r="AU258" s="51"/>
      <c r="AV258" s="51"/>
      <c r="AW258" s="51"/>
      <c r="AX258" s="51"/>
      <c r="AY258" s="106"/>
      <c r="AZ258" s="106"/>
      <c r="BA258" s="106"/>
      <c r="BB258" s="106"/>
      <c r="BC258" s="38"/>
      <c r="BD258" s="38"/>
      <c r="BE258" s="34"/>
      <c r="BF258" s="51"/>
      <c r="BG258" s="36"/>
      <c r="BH258" s="51"/>
      <c r="BI258" s="99"/>
      <c r="BJ258" s="99"/>
      <c r="BK258" s="51"/>
      <c r="BL258" s="51"/>
      <c r="BM258" s="51"/>
      <c r="BN258" s="51"/>
      <c r="BO258" s="99"/>
      <c r="BP258" s="99"/>
      <c r="BQ258" s="99"/>
      <c r="BR258" s="99"/>
      <c r="BS258" s="51"/>
      <c r="BT258" s="99"/>
      <c r="BU258" s="99"/>
      <c r="BV258" s="99"/>
      <c r="BW258" s="51"/>
      <c r="BX258" s="51"/>
      <c r="BY258" s="100"/>
      <c r="BZ258" s="100"/>
      <c r="CA258" s="36"/>
      <c r="CB258" s="36"/>
      <c r="CC258" s="51"/>
      <c r="CD258" s="36"/>
      <c r="CE258" s="36"/>
      <c r="CF258" s="36"/>
      <c r="CG258" s="36"/>
      <c r="CH258" s="51"/>
      <c r="CI258" s="36"/>
      <c r="CJ258" s="36"/>
      <c r="CK258" s="36"/>
      <c r="CL258" s="36"/>
      <c r="CM258" s="51"/>
      <c r="CN258" s="36"/>
      <c r="CO258" s="36"/>
      <c r="CP258" s="36"/>
      <c r="CQ258" s="36"/>
      <c r="CR258" s="51"/>
      <c r="CS258" s="36"/>
      <c r="CT258" s="36"/>
      <c r="CU258" s="36"/>
      <c r="CV258" s="36"/>
      <c r="CW258" s="51"/>
      <c r="CX258" s="36"/>
      <c r="CY258" s="36"/>
      <c r="CZ258" s="36"/>
      <c r="DA258" s="36"/>
      <c r="DB258" s="51"/>
      <c r="DC258" s="36"/>
      <c r="DD258" s="36"/>
      <c r="DE258" s="36"/>
      <c r="DF258" s="36"/>
      <c r="DG258" s="51"/>
      <c r="DH258" s="36"/>
      <c r="DI258" s="36"/>
      <c r="DJ258" s="36"/>
      <c r="DK258" s="36"/>
      <c r="DL258" s="51"/>
      <c r="DM258" s="51"/>
      <c r="DN258" s="51"/>
    </row>
    <row r="259" spans="1:118" ht="15.75" customHeight="1">
      <c r="A259" s="171"/>
      <c r="B259" s="51"/>
      <c r="C259" s="99"/>
      <c r="D259" s="101"/>
      <c r="E259" s="102"/>
      <c r="F259" s="51"/>
      <c r="G259" s="103"/>
      <c r="H259" s="103"/>
      <c r="I259" s="104"/>
      <c r="J259" s="101"/>
      <c r="K259" s="101"/>
      <c r="M259" s="51"/>
      <c r="N259" s="51"/>
      <c r="O259" s="51"/>
      <c r="P259" s="51"/>
      <c r="Q259" s="51"/>
      <c r="R259" s="36"/>
      <c r="S259" s="51"/>
      <c r="T259" s="59"/>
      <c r="U259" s="112"/>
      <c r="V259" s="39"/>
      <c r="W259" s="39"/>
      <c r="X259" s="40"/>
      <c r="Y259" s="39"/>
      <c r="Z259" s="41"/>
      <c r="AA259" s="41"/>
      <c r="AB259" s="51"/>
      <c r="AC259" s="51"/>
      <c r="AD259" s="51"/>
      <c r="AE259" s="51"/>
      <c r="AF259" s="51"/>
      <c r="AG259" s="51"/>
      <c r="AH259" s="51"/>
      <c r="AI259" s="106"/>
      <c r="AJ259" s="61"/>
      <c r="AK259" s="106"/>
      <c r="AL259" s="61"/>
      <c r="AM259" s="107"/>
      <c r="AN259" s="99"/>
      <c r="AO259" s="99"/>
      <c r="AP259" s="51"/>
      <c r="AQ259" s="51"/>
      <c r="AR259" s="51"/>
      <c r="AS259" s="101"/>
      <c r="AT259" s="101"/>
      <c r="AU259" s="51"/>
      <c r="AV259" s="51"/>
      <c r="AW259" s="51"/>
      <c r="AX259" s="51"/>
      <c r="AY259" s="106"/>
      <c r="AZ259" s="106"/>
      <c r="BA259" s="106"/>
      <c r="BB259" s="106"/>
      <c r="BC259" s="38"/>
      <c r="BD259" s="38"/>
      <c r="BE259" s="34"/>
      <c r="BF259" s="51"/>
      <c r="BG259" s="36"/>
      <c r="BH259" s="51"/>
      <c r="BI259" s="99"/>
      <c r="BJ259" s="99"/>
      <c r="BK259" s="51"/>
      <c r="BL259" s="51"/>
      <c r="BM259" s="51"/>
      <c r="BN259" s="51"/>
      <c r="BO259" s="99"/>
      <c r="BP259" s="99"/>
      <c r="BQ259" s="99"/>
      <c r="BR259" s="99"/>
      <c r="BS259" s="51"/>
      <c r="BT259" s="99"/>
      <c r="BU259" s="99"/>
      <c r="BV259" s="99"/>
      <c r="BW259" s="51"/>
      <c r="BX259" s="51"/>
      <c r="BY259" s="100"/>
      <c r="BZ259" s="100"/>
      <c r="CA259" s="36"/>
      <c r="CB259" s="36"/>
      <c r="CC259" s="51"/>
      <c r="CD259" s="36"/>
      <c r="CE259" s="36"/>
      <c r="CF259" s="36"/>
      <c r="CG259" s="36"/>
      <c r="CH259" s="51"/>
      <c r="CI259" s="36"/>
      <c r="CJ259" s="36"/>
      <c r="CK259" s="36"/>
      <c r="CL259" s="36"/>
      <c r="CM259" s="51"/>
      <c r="CN259" s="36"/>
      <c r="CO259" s="36"/>
      <c r="CP259" s="36"/>
      <c r="CQ259" s="36"/>
      <c r="CR259" s="51"/>
      <c r="CS259" s="36"/>
      <c r="CT259" s="36"/>
      <c r="CU259" s="36"/>
      <c r="CV259" s="36"/>
      <c r="CW259" s="51"/>
      <c r="CX259" s="36"/>
      <c r="CY259" s="36"/>
      <c r="CZ259" s="36"/>
      <c r="DA259" s="36"/>
      <c r="DB259" s="51"/>
      <c r="DC259" s="36"/>
      <c r="DD259" s="36"/>
      <c r="DE259" s="36"/>
      <c r="DF259" s="36"/>
      <c r="DG259" s="51"/>
      <c r="DH259" s="36"/>
      <c r="DI259" s="36"/>
      <c r="DJ259" s="36"/>
      <c r="DK259" s="36"/>
      <c r="DL259" s="51"/>
      <c r="DM259" s="51"/>
      <c r="DN259" s="51"/>
    </row>
    <row r="260" spans="1:118" ht="15.75" customHeight="1">
      <c r="A260" s="171"/>
      <c r="B260" s="51"/>
      <c r="C260" s="99"/>
      <c r="D260" s="101"/>
      <c r="E260" s="102"/>
      <c r="F260" s="51"/>
      <c r="G260" s="103"/>
      <c r="H260" s="103"/>
      <c r="I260" s="104"/>
      <c r="J260" s="101"/>
      <c r="K260" s="101"/>
      <c r="M260" s="51"/>
      <c r="N260" s="51"/>
      <c r="O260" s="51"/>
      <c r="P260" s="51"/>
      <c r="Q260" s="51"/>
      <c r="R260" s="36"/>
      <c r="S260" s="51"/>
      <c r="T260" s="59"/>
      <c r="U260" s="112"/>
      <c r="V260" s="39"/>
      <c r="W260" s="39"/>
      <c r="X260" s="40"/>
      <c r="Y260" s="39"/>
      <c r="Z260" s="41"/>
      <c r="AA260" s="41"/>
      <c r="AB260" s="51"/>
      <c r="AC260" s="51"/>
      <c r="AD260" s="51"/>
      <c r="AE260" s="51"/>
      <c r="AF260" s="51"/>
      <c r="AG260" s="51"/>
      <c r="AH260" s="51"/>
      <c r="AI260" s="106"/>
      <c r="AJ260" s="61"/>
      <c r="AK260" s="106"/>
      <c r="AL260" s="61"/>
      <c r="AM260" s="107"/>
      <c r="AN260" s="99"/>
      <c r="AO260" s="99"/>
      <c r="AP260" s="51"/>
      <c r="AQ260" s="51"/>
      <c r="AR260" s="51"/>
      <c r="AS260" s="101"/>
      <c r="AT260" s="101"/>
      <c r="AU260" s="51"/>
      <c r="AV260" s="51"/>
      <c r="AW260" s="51"/>
      <c r="AX260" s="51"/>
      <c r="AY260" s="106"/>
      <c r="AZ260" s="106"/>
      <c r="BA260" s="106"/>
      <c r="BB260" s="106"/>
      <c r="BC260" s="38"/>
      <c r="BD260" s="38"/>
      <c r="BE260" s="34"/>
      <c r="BF260" s="51"/>
      <c r="BG260" s="36"/>
      <c r="BH260" s="51"/>
      <c r="BI260" s="99"/>
      <c r="BJ260" s="99"/>
      <c r="BK260" s="51"/>
      <c r="BL260" s="51"/>
      <c r="BM260" s="51"/>
      <c r="BN260" s="51"/>
      <c r="BO260" s="99"/>
      <c r="BP260" s="99"/>
      <c r="BQ260" s="99"/>
      <c r="BR260" s="99"/>
      <c r="BS260" s="51"/>
      <c r="BT260" s="99"/>
      <c r="BU260" s="99"/>
      <c r="BV260" s="99"/>
      <c r="BW260" s="51"/>
      <c r="BX260" s="51"/>
      <c r="BY260" s="100"/>
      <c r="BZ260" s="100"/>
      <c r="CA260" s="36"/>
      <c r="CB260" s="36"/>
      <c r="CC260" s="51"/>
      <c r="CD260" s="36"/>
      <c r="CE260" s="36"/>
      <c r="CF260" s="36"/>
      <c r="CG260" s="36"/>
      <c r="CH260" s="51"/>
      <c r="CI260" s="36"/>
      <c r="CJ260" s="36"/>
      <c r="CK260" s="36"/>
      <c r="CL260" s="36"/>
      <c r="CM260" s="51"/>
      <c r="CN260" s="36"/>
      <c r="CO260" s="36"/>
      <c r="CP260" s="36"/>
      <c r="CQ260" s="36"/>
      <c r="CR260" s="51"/>
      <c r="CS260" s="36"/>
      <c r="CT260" s="36"/>
      <c r="CU260" s="36"/>
      <c r="CV260" s="36"/>
      <c r="CW260" s="51"/>
      <c r="CX260" s="36"/>
      <c r="CY260" s="36"/>
      <c r="CZ260" s="36"/>
      <c r="DA260" s="36"/>
      <c r="DB260" s="51"/>
      <c r="DC260" s="36"/>
      <c r="DD260" s="36"/>
      <c r="DE260" s="36"/>
      <c r="DF260" s="36"/>
      <c r="DG260" s="51"/>
      <c r="DH260" s="36"/>
      <c r="DI260" s="36"/>
      <c r="DJ260" s="36"/>
      <c r="DK260" s="36"/>
      <c r="DL260" s="51"/>
      <c r="DM260" s="51"/>
      <c r="DN260" s="51"/>
    </row>
    <row r="261" spans="1:118" ht="15.75" customHeight="1">
      <c r="A261" s="171"/>
      <c r="B261" s="51"/>
      <c r="C261" s="99"/>
      <c r="D261" s="101"/>
      <c r="E261" s="102"/>
      <c r="F261" s="51"/>
      <c r="G261" s="103"/>
      <c r="H261" s="103"/>
      <c r="I261" s="104"/>
      <c r="J261" s="101"/>
      <c r="K261" s="101"/>
      <c r="M261" s="51"/>
      <c r="N261" s="51"/>
      <c r="O261" s="51"/>
      <c r="P261" s="51"/>
      <c r="Q261" s="51"/>
      <c r="R261" s="36"/>
      <c r="S261" s="51"/>
      <c r="T261" s="59"/>
      <c r="U261" s="112"/>
      <c r="V261" s="39"/>
      <c r="W261" s="39"/>
      <c r="X261" s="40"/>
      <c r="Y261" s="39"/>
      <c r="Z261" s="41"/>
      <c r="AA261" s="41"/>
      <c r="AB261" s="51"/>
      <c r="AC261" s="51"/>
      <c r="AD261" s="51"/>
      <c r="AE261" s="51"/>
      <c r="AF261" s="51"/>
      <c r="AG261" s="51"/>
      <c r="AH261" s="51"/>
      <c r="AI261" s="106"/>
      <c r="AJ261" s="61"/>
      <c r="AK261" s="106"/>
      <c r="AL261" s="61"/>
      <c r="AM261" s="107"/>
      <c r="AN261" s="99"/>
      <c r="AO261" s="99"/>
      <c r="AP261" s="51"/>
      <c r="AQ261" s="51"/>
      <c r="AR261" s="51"/>
      <c r="AS261" s="101"/>
      <c r="AT261" s="101"/>
      <c r="AU261" s="51"/>
      <c r="AV261" s="51"/>
      <c r="AW261" s="51"/>
      <c r="AX261" s="51"/>
      <c r="AY261" s="106"/>
      <c r="AZ261" s="106"/>
      <c r="BA261" s="106"/>
      <c r="BB261" s="106"/>
      <c r="BC261" s="38"/>
      <c r="BD261" s="38"/>
      <c r="BE261" s="34"/>
      <c r="BF261" s="51"/>
      <c r="BG261" s="36"/>
      <c r="BH261" s="51"/>
      <c r="BI261" s="99"/>
      <c r="BJ261" s="99"/>
      <c r="BK261" s="51"/>
      <c r="BL261" s="51"/>
      <c r="BM261" s="51"/>
      <c r="BN261" s="51"/>
      <c r="BO261" s="99"/>
      <c r="BP261" s="99"/>
      <c r="BQ261" s="99"/>
      <c r="BR261" s="99"/>
      <c r="BS261" s="51"/>
      <c r="BT261" s="99"/>
      <c r="BU261" s="99"/>
      <c r="BV261" s="99"/>
      <c r="BW261" s="51"/>
      <c r="BX261" s="51"/>
      <c r="BY261" s="100"/>
      <c r="BZ261" s="100"/>
      <c r="CA261" s="36"/>
      <c r="CB261" s="36"/>
      <c r="CC261" s="51"/>
      <c r="CD261" s="36"/>
      <c r="CE261" s="36"/>
      <c r="CF261" s="36"/>
      <c r="CG261" s="36"/>
      <c r="CH261" s="51"/>
      <c r="CI261" s="36"/>
      <c r="CJ261" s="36"/>
      <c r="CK261" s="36"/>
      <c r="CL261" s="36"/>
      <c r="CM261" s="51"/>
      <c r="CN261" s="36"/>
      <c r="CO261" s="36"/>
      <c r="CP261" s="36"/>
      <c r="CQ261" s="36"/>
      <c r="CR261" s="51"/>
      <c r="CS261" s="36"/>
      <c r="CT261" s="36"/>
      <c r="CU261" s="36"/>
      <c r="CV261" s="36"/>
      <c r="CW261" s="51"/>
      <c r="CX261" s="36"/>
      <c r="CY261" s="36"/>
      <c r="CZ261" s="36"/>
      <c r="DA261" s="36"/>
      <c r="DB261" s="51"/>
      <c r="DC261" s="36"/>
      <c r="DD261" s="36"/>
      <c r="DE261" s="36"/>
      <c r="DF261" s="36"/>
      <c r="DG261" s="51"/>
      <c r="DH261" s="36"/>
      <c r="DI261" s="36"/>
      <c r="DJ261" s="36"/>
      <c r="DK261" s="36"/>
      <c r="DL261" s="51"/>
      <c r="DM261" s="51"/>
      <c r="DN261" s="51"/>
    </row>
    <row r="262" spans="1:118" ht="15.75" customHeight="1">
      <c r="A262" s="171"/>
      <c r="B262" s="51"/>
      <c r="C262" s="99"/>
      <c r="D262" s="101"/>
      <c r="E262" s="102"/>
      <c r="F262" s="51"/>
      <c r="G262" s="103"/>
      <c r="H262" s="103"/>
      <c r="I262" s="104"/>
      <c r="J262" s="101"/>
      <c r="K262" s="101"/>
      <c r="M262" s="51"/>
      <c r="N262" s="51"/>
      <c r="O262" s="51"/>
      <c r="P262" s="51"/>
      <c r="Q262" s="51"/>
      <c r="R262" s="36"/>
      <c r="S262" s="51"/>
      <c r="T262" s="59"/>
      <c r="U262" s="112"/>
      <c r="V262" s="39"/>
      <c r="W262" s="39"/>
      <c r="X262" s="40"/>
      <c r="Y262" s="39"/>
      <c r="Z262" s="41"/>
      <c r="AA262" s="41"/>
      <c r="AB262" s="51"/>
      <c r="AC262" s="51"/>
      <c r="AD262" s="51"/>
      <c r="AE262" s="51"/>
      <c r="AF262" s="51"/>
      <c r="AG262" s="51"/>
      <c r="AH262" s="51"/>
      <c r="AI262" s="106"/>
      <c r="AJ262" s="61"/>
      <c r="AK262" s="106"/>
      <c r="AL262" s="61"/>
      <c r="AM262" s="107"/>
      <c r="AN262" s="99"/>
      <c r="AO262" s="99"/>
      <c r="AP262" s="51"/>
      <c r="AQ262" s="51"/>
      <c r="AR262" s="51"/>
      <c r="AS262" s="101"/>
      <c r="AT262" s="101"/>
      <c r="AU262" s="51"/>
      <c r="AV262" s="51"/>
      <c r="AW262" s="51"/>
      <c r="AX262" s="51"/>
      <c r="AY262" s="106"/>
      <c r="AZ262" s="106"/>
      <c r="BA262" s="106"/>
      <c r="BB262" s="106"/>
      <c r="BC262" s="38"/>
      <c r="BD262" s="38"/>
      <c r="BE262" s="34"/>
      <c r="BF262" s="51"/>
      <c r="BG262" s="36"/>
      <c r="BH262" s="51"/>
      <c r="BI262" s="99"/>
      <c r="BJ262" s="99"/>
      <c r="BK262" s="51"/>
      <c r="BL262" s="51"/>
      <c r="BM262" s="51"/>
      <c r="BN262" s="51"/>
      <c r="BO262" s="99"/>
      <c r="BP262" s="99"/>
      <c r="BQ262" s="99"/>
      <c r="BR262" s="99"/>
      <c r="BS262" s="51"/>
      <c r="BT262" s="99"/>
      <c r="BU262" s="99"/>
      <c r="BV262" s="99"/>
      <c r="BW262" s="51"/>
      <c r="BX262" s="51"/>
      <c r="BY262" s="100"/>
      <c r="BZ262" s="100"/>
      <c r="CA262" s="36"/>
      <c r="CB262" s="36"/>
      <c r="CC262" s="51"/>
      <c r="CD262" s="36"/>
      <c r="CE262" s="36"/>
      <c r="CF262" s="36"/>
      <c r="CG262" s="36"/>
      <c r="CH262" s="51"/>
      <c r="CI262" s="36"/>
      <c r="CJ262" s="36"/>
      <c r="CK262" s="36"/>
      <c r="CL262" s="36"/>
      <c r="CM262" s="51"/>
      <c r="CN262" s="36"/>
      <c r="CO262" s="36"/>
      <c r="CP262" s="36"/>
      <c r="CQ262" s="36"/>
      <c r="CR262" s="51"/>
      <c r="CS262" s="36"/>
      <c r="CT262" s="36"/>
      <c r="CU262" s="36"/>
      <c r="CV262" s="36"/>
      <c r="CW262" s="51"/>
      <c r="CX262" s="36"/>
      <c r="CY262" s="36"/>
      <c r="CZ262" s="36"/>
      <c r="DA262" s="36"/>
      <c r="DB262" s="51"/>
      <c r="DC262" s="36"/>
      <c r="DD262" s="36"/>
      <c r="DE262" s="36"/>
      <c r="DF262" s="36"/>
      <c r="DG262" s="51"/>
      <c r="DH262" s="36"/>
      <c r="DI262" s="36"/>
      <c r="DJ262" s="36"/>
      <c r="DK262" s="36"/>
      <c r="DL262" s="51"/>
      <c r="DM262" s="51"/>
      <c r="DN262" s="51"/>
    </row>
    <row r="263" spans="1:118" ht="15.75" customHeight="1">
      <c r="A263" s="171"/>
      <c r="B263" s="51"/>
      <c r="C263" s="99"/>
      <c r="D263" s="101"/>
      <c r="E263" s="102"/>
      <c r="F263" s="51"/>
      <c r="G263" s="103"/>
      <c r="H263" s="103"/>
      <c r="I263" s="104"/>
      <c r="J263" s="101"/>
      <c r="K263" s="101"/>
      <c r="M263" s="51"/>
      <c r="N263" s="51"/>
      <c r="O263" s="51"/>
      <c r="P263" s="51"/>
      <c r="Q263" s="51"/>
      <c r="R263" s="36"/>
      <c r="S263" s="51"/>
      <c r="T263" s="59"/>
      <c r="U263" s="112"/>
      <c r="V263" s="39"/>
      <c r="W263" s="39"/>
      <c r="X263" s="40"/>
      <c r="Y263" s="39"/>
      <c r="Z263" s="41"/>
      <c r="AA263" s="41"/>
      <c r="AB263" s="51"/>
      <c r="AC263" s="51"/>
      <c r="AD263" s="51"/>
      <c r="AE263" s="51"/>
      <c r="AF263" s="51"/>
      <c r="AG263" s="51"/>
      <c r="AH263" s="51"/>
      <c r="AI263" s="106"/>
      <c r="AJ263" s="61"/>
      <c r="AK263" s="106"/>
      <c r="AL263" s="61"/>
      <c r="AM263" s="107"/>
      <c r="AN263" s="99"/>
      <c r="AO263" s="99"/>
      <c r="AP263" s="51"/>
      <c r="AQ263" s="51"/>
      <c r="AR263" s="51"/>
      <c r="AS263" s="101"/>
      <c r="AT263" s="101"/>
      <c r="AU263" s="51"/>
      <c r="AV263" s="51"/>
      <c r="AW263" s="51"/>
      <c r="AX263" s="51"/>
      <c r="AY263" s="106"/>
      <c r="AZ263" s="106"/>
      <c r="BA263" s="106"/>
      <c r="BB263" s="106"/>
      <c r="BC263" s="38"/>
      <c r="BD263" s="38"/>
      <c r="BE263" s="34"/>
      <c r="BF263" s="51"/>
      <c r="BG263" s="36"/>
      <c r="BH263" s="51"/>
      <c r="BI263" s="99"/>
      <c r="BJ263" s="99"/>
      <c r="BK263" s="51"/>
      <c r="BL263" s="51"/>
      <c r="BM263" s="51"/>
      <c r="BN263" s="51"/>
      <c r="BO263" s="99"/>
      <c r="BP263" s="99"/>
      <c r="BQ263" s="99"/>
      <c r="BR263" s="99"/>
      <c r="BS263" s="51"/>
      <c r="BT263" s="99"/>
      <c r="BU263" s="99"/>
      <c r="BV263" s="99"/>
      <c r="BW263" s="51"/>
      <c r="BX263" s="51"/>
      <c r="BY263" s="100"/>
      <c r="BZ263" s="100"/>
      <c r="CA263" s="36"/>
      <c r="CB263" s="36"/>
      <c r="CC263" s="51"/>
      <c r="CD263" s="36"/>
      <c r="CE263" s="36"/>
      <c r="CF263" s="36"/>
      <c r="CG263" s="36"/>
      <c r="CH263" s="51"/>
      <c r="CI263" s="36"/>
      <c r="CJ263" s="36"/>
      <c r="CK263" s="36"/>
      <c r="CL263" s="36"/>
      <c r="CM263" s="51"/>
      <c r="CN263" s="36"/>
      <c r="CO263" s="36"/>
      <c r="CP263" s="36"/>
      <c r="CQ263" s="36"/>
      <c r="CR263" s="51"/>
      <c r="CS263" s="36"/>
      <c r="CT263" s="36"/>
      <c r="CU263" s="36"/>
      <c r="CV263" s="36"/>
      <c r="CW263" s="51"/>
      <c r="CX263" s="36"/>
      <c r="CY263" s="36"/>
      <c r="CZ263" s="36"/>
      <c r="DA263" s="36"/>
      <c r="DB263" s="51"/>
      <c r="DC263" s="36"/>
      <c r="DD263" s="36"/>
      <c r="DE263" s="36"/>
      <c r="DF263" s="36"/>
      <c r="DG263" s="51"/>
      <c r="DH263" s="36"/>
      <c r="DI263" s="36"/>
      <c r="DJ263" s="36"/>
      <c r="DK263" s="36"/>
      <c r="DL263" s="51"/>
      <c r="DM263" s="51"/>
      <c r="DN263" s="51"/>
    </row>
    <row r="264" spans="1:118" ht="15.75" customHeight="1">
      <c r="A264" s="171"/>
      <c r="B264" s="51"/>
      <c r="C264" s="99"/>
      <c r="D264" s="101"/>
      <c r="E264" s="102"/>
      <c r="F264" s="51"/>
      <c r="G264" s="103"/>
      <c r="H264" s="103"/>
      <c r="I264" s="104"/>
      <c r="J264" s="101"/>
      <c r="K264" s="101"/>
      <c r="M264" s="51"/>
      <c r="N264" s="51"/>
      <c r="O264" s="51"/>
      <c r="P264" s="51"/>
      <c r="Q264" s="51"/>
      <c r="R264" s="36"/>
      <c r="S264" s="51"/>
      <c r="T264" s="59"/>
      <c r="U264" s="112"/>
      <c r="V264" s="39"/>
      <c r="W264" s="39"/>
      <c r="X264" s="40"/>
      <c r="Y264" s="39"/>
      <c r="Z264" s="41"/>
      <c r="AA264" s="41"/>
      <c r="AB264" s="51"/>
      <c r="AC264" s="51"/>
      <c r="AD264" s="51"/>
      <c r="AE264" s="51"/>
      <c r="AF264" s="51"/>
      <c r="AG264" s="51"/>
      <c r="AH264" s="51"/>
      <c r="AI264" s="106"/>
      <c r="AJ264" s="61"/>
      <c r="AK264" s="106"/>
      <c r="AL264" s="61"/>
      <c r="AM264" s="107"/>
      <c r="AN264" s="99"/>
      <c r="AO264" s="99"/>
      <c r="AP264" s="51"/>
      <c r="AQ264" s="51"/>
      <c r="AR264" s="51"/>
      <c r="AS264" s="101"/>
      <c r="AT264" s="101"/>
      <c r="AU264" s="51"/>
      <c r="AV264" s="51"/>
      <c r="AW264" s="51"/>
      <c r="AX264" s="51"/>
      <c r="AY264" s="106"/>
      <c r="AZ264" s="106"/>
      <c r="BA264" s="106"/>
      <c r="BB264" s="106"/>
      <c r="BC264" s="38"/>
      <c r="BD264" s="38"/>
      <c r="BE264" s="34"/>
      <c r="BF264" s="51"/>
      <c r="BG264" s="36"/>
      <c r="BH264" s="51"/>
      <c r="BI264" s="99"/>
      <c r="BJ264" s="99"/>
      <c r="BK264" s="51"/>
      <c r="BL264" s="51"/>
      <c r="BM264" s="51"/>
      <c r="BN264" s="51"/>
      <c r="BO264" s="99"/>
      <c r="BP264" s="99"/>
      <c r="BQ264" s="99"/>
      <c r="BR264" s="99"/>
      <c r="BS264" s="51"/>
      <c r="BT264" s="99"/>
      <c r="BU264" s="99"/>
      <c r="BV264" s="99"/>
      <c r="BW264" s="51"/>
      <c r="BX264" s="51"/>
      <c r="BY264" s="100"/>
      <c r="BZ264" s="100"/>
      <c r="CA264" s="36"/>
      <c r="CB264" s="36"/>
      <c r="CC264" s="51"/>
      <c r="CD264" s="36"/>
      <c r="CE264" s="36"/>
      <c r="CF264" s="36"/>
      <c r="CG264" s="36"/>
      <c r="CH264" s="51"/>
      <c r="CI264" s="36"/>
      <c r="CJ264" s="36"/>
      <c r="CK264" s="36"/>
      <c r="CL264" s="36"/>
      <c r="CM264" s="51"/>
      <c r="CN264" s="36"/>
      <c r="CO264" s="36"/>
      <c r="CP264" s="36"/>
      <c r="CQ264" s="36"/>
      <c r="CR264" s="51"/>
      <c r="CS264" s="36"/>
      <c r="CT264" s="36"/>
      <c r="CU264" s="36"/>
      <c r="CV264" s="36"/>
      <c r="CW264" s="51"/>
      <c r="CX264" s="36"/>
      <c r="CY264" s="36"/>
      <c r="CZ264" s="36"/>
      <c r="DA264" s="36"/>
      <c r="DB264" s="51"/>
      <c r="DC264" s="36"/>
      <c r="DD264" s="36"/>
      <c r="DE264" s="36"/>
      <c r="DF264" s="36"/>
      <c r="DG264" s="51"/>
      <c r="DH264" s="36"/>
      <c r="DI264" s="36"/>
      <c r="DJ264" s="36"/>
      <c r="DK264" s="36"/>
      <c r="DL264" s="51"/>
      <c r="DM264" s="51"/>
      <c r="DN264" s="51"/>
    </row>
    <row r="265" spans="1:118" ht="15.75" customHeight="1">
      <c r="A265" s="171"/>
      <c r="B265" s="51"/>
      <c r="C265" s="99"/>
      <c r="D265" s="101"/>
      <c r="E265" s="102"/>
      <c r="F265" s="51"/>
      <c r="G265" s="103"/>
      <c r="H265" s="103"/>
      <c r="I265" s="104"/>
      <c r="J265" s="101"/>
      <c r="K265" s="101"/>
      <c r="M265" s="51"/>
      <c r="N265" s="51"/>
      <c r="O265" s="51"/>
      <c r="P265" s="51"/>
      <c r="Q265" s="51"/>
      <c r="R265" s="36"/>
      <c r="S265" s="51"/>
      <c r="T265" s="59"/>
      <c r="U265" s="112"/>
      <c r="V265" s="39"/>
      <c r="W265" s="39"/>
      <c r="X265" s="40"/>
      <c r="Y265" s="39"/>
      <c r="Z265" s="41"/>
      <c r="AA265" s="41"/>
      <c r="AB265" s="51"/>
      <c r="AC265" s="51"/>
      <c r="AD265" s="51"/>
      <c r="AE265" s="51"/>
      <c r="AF265" s="51"/>
      <c r="AG265" s="51"/>
      <c r="AH265" s="51"/>
      <c r="AI265" s="106"/>
      <c r="AJ265" s="61"/>
      <c r="AK265" s="106"/>
      <c r="AL265" s="61"/>
      <c r="AM265" s="107"/>
      <c r="AN265" s="99"/>
      <c r="AO265" s="99"/>
      <c r="AP265" s="51"/>
      <c r="AQ265" s="51"/>
      <c r="AR265" s="51"/>
      <c r="AS265" s="101"/>
      <c r="AT265" s="101"/>
      <c r="AU265" s="51"/>
      <c r="AV265" s="51"/>
      <c r="AW265" s="51"/>
      <c r="AX265" s="51"/>
      <c r="AY265" s="106"/>
      <c r="AZ265" s="106"/>
      <c r="BA265" s="106"/>
      <c r="BB265" s="106"/>
      <c r="BC265" s="38"/>
      <c r="BD265" s="38"/>
      <c r="BE265" s="34"/>
      <c r="BF265" s="51"/>
      <c r="BG265" s="36"/>
      <c r="BH265" s="51"/>
      <c r="BI265" s="99"/>
      <c r="BJ265" s="99"/>
      <c r="BK265" s="51"/>
      <c r="BL265" s="51"/>
      <c r="BM265" s="51"/>
      <c r="BN265" s="51"/>
      <c r="BO265" s="99"/>
      <c r="BP265" s="99"/>
      <c r="BQ265" s="99"/>
      <c r="BR265" s="99"/>
      <c r="BS265" s="51"/>
      <c r="BT265" s="99"/>
      <c r="BU265" s="99"/>
      <c r="BV265" s="99"/>
      <c r="BW265" s="51"/>
      <c r="BX265" s="51"/>
      <c r="BY265" s="100"/>
      <c r="BZ265" s="100"/>
      <c r="CA265" s="36"/>
      <c r="CB265" s="36"/>
      <c r="CC265" s="51"/>
      <c r="CD265" s="36"/>
      <c r="CE265" s="36"/>
      <c r="CF265" s="36"/>
      <c r="CG265" s="36"/>
      <c r="CH265" s="51"/>
      <c r="CI265" s="36"/>
      <c r="CJ265" s="36"/>
      <c r="CK265" s="36"/>
      <c r="CL265" s="36"/>
      <c r="CM265" s="51"/>
      <c r="CN265" s="36"/>
      <c r="CO265" s="36"/>
      <c r="CP265" s="36"/>
      <c r="CQ265" s="36"/>
      <c r="CR265" s="51"/>
      <c r="CS265" s="36"/>
      <c r="CT265" s="36"/>
      <c r="CU265" s="36"/>
      <c r="CV265" s="36"/>
      <c r="CW265" s="51"/>
      <c r="CX265" s="36"/>
      <c r="CY265" s="36"/>
      <c r="CZ265" s="36"/>
      <c r="DA265" s="36"/>
      <c r="DB265" s="51"/>
      <c r="DC265" s="36"/>
      <c r="DD265" s="36"/>
      <c r="DE265" s="36"/>
      <c r="DF265" s="36"/>
      <c r="DG265" s="51"/>
      <c r="DH265" s="36"/>
      <c r="DI265" s="36"/>
      <c r="DJ265" s="36"/>
      <c r="DK265" s="36"/>
      <c r="DL265" s="51"/>
      <c r="DM265" s="51"/>
      <c r="DN265" s="51"/>
    </row>
    <row r="266" spans="1:118" ht="15.75" customHeight="1">
      <c r="A266" s="171"/>
      <c r="B266" s="51"/>
      <c r="C266" s="99"/>
      <c r="D266" s="101"/>
      <c r="E266" s="102"/>
      <c r="F266" s="51"/>
      <c r="G266" s="103"/>
      <c r="H266" s="103"/>
      <c r="I266" s="104"/>
      <c r="J266" s="101"/>
      <c r="K266" s="101"/>
      <c r="M266" s="51"/>
      <c r="N266" s="51"/>
      <c r="O266" s="51"/>
      <c r="P266" s="51"/>
      <c r="Q266" s="51"/>
      <c r="R266" s="36"/>
      <c r="S266" s="51"/>
      <c r="T266" s="59"/>
      <c r="U266" s="112"/>
      <c r="V266" s="39"/>
      <c r="W266" s="39"/>
      <c r="X266" s="40"/>
      <c r="Y266" s="39"/>
      <c r="Z266" s="41"/>
      <c r="AA266" s="41"/>
      <c r="AB266" s="51"/>
      <c r="AC266" s="51"/>
      <c r="AD266" s="51"/>
      <c r="AE266" s="51"/>
      <c r="AF266" s="51"/>
      <c r="AG266" s="51"/>
      <c r="AH266" s="51"/>
      <c r="AI266" s="106"/>
      <c r="AJ266" s="61"/>
      <c r="AK266" s="106"/>
      <c r="AL266" s="61"/>
      <c r="AM266" s="107"/>
      <c r="AN266" s="99"/>
      <c r="AO266" s="99"/>
      <c r="AP266" s="51"/>
      <c r="AQ266" s="51"/>
      <c r="AR266" s="51"/>
      <c r="AS266" s="101"/>
      <c r="AT266" s="101"/>
      <c r="AU266" s="51"/>
      <c r="AV266" s="51"/>
      <c r="AW266" s="51"/>
      <c r="AX266" s="51"/>
      <c r="AY266" s="106"/>
      <c r="AZ266" s="106"/>
      <c r="BA266" s="106"/>
      <c r="BB266" s="106"/>
      <c r="BC266" s="38"/>
      <c r="BD266" s="38"/>
      <c r="BE266" s="34"/>
      <c r="BF266" s="51"/>
      <c r="BG266" s="36"/>
      <c r="BH266" s="51"/>
      <c r="BI266" s="99"/>
      <c r="BJ266" s="99"/>
      <c r="BK266" s="51"/>
      <c r="BL266" s="51"/>
      <c r="BM266" s="51"/>
      <c r="BN266" s="51"/>
      <c r="BO266" s="99"/>
      <c r="BP266" s="99"/>
      <c r="BQ266" s="99"/>
      <c r="BR266" s="99"/>
      <c r="BS266" s="51"/>
      <c r="BT266" s="99"/>
      <c r="BU266" s="99"/>
      <c r="BV266" s="99"/>
      <c r="BW266" s="51"/>
      <c r="BX266" s="51"/>
      <c r="BY266" s="100"/>
      <c r="BZ266" s="100"/>
      <c r="CA266" s="36"/>
      <c r="CB266" s="36"/>
      <c r="CC266" s="51"/>
      <c r="CD266" s="36"/>
      <c r="CE266" s="36"/>
      <c r="CF266" s="36"/>
      <c r="CG266" s="36"/>
      <c r="CH266" s="51"/>
      <c r="CI266" s="36"/>
      <c r="CJ266" s="36"/>
      <c r="CK266" s="36"/>
      <c r="CL266" s="36"/>
      <c r="CM266" s="51"/>
      <c r="CN266" s="36"/>
      <c r="CO266" s="36"/>
      <c r="CP266" s="36"/>
      <c r="CQ266" s="36"/>
      <c r="CR266" s="51"/>
      <c r="CS266" s="36"/>
      <c r="CT266" s="36"/>
      <c r="CU266" s="36"/>
      <c r="CV266" s="36"/>
      <c r="CW266" s="51"/>
      <c r="CX266" s="36"/>
      <c r="CY266" s="36"/>
      <c r="CZ266" s="36"/>
      <c r="DA266" s="36"/>
      <c r="DB266" s="51"/>
      <c r="DC266" s="36"/>
      <c r="DD266" s="36"/>
      <c r="DE266" s="36"/>
      <c r="DF266" s="36"/>
      <c r="DG266" s="51"/>
      <c r="DH266" s="36"/>
      <c r="DI266" s="36"/>
      <c r="DJ266" s="36"/>
      <c r="DK266" s="36"/>
      <c r="DL266" s="51"/>
      <c r="DM266" s="51"/>
      <c r="DN266" s="51"/>
    </row>
    <row r="267" spans="1:118" ht="15.75" customHeight="1">
      <c r="A267" s="171"/>
      <c r="B267" s="51"/>
      <c r="C267" s="99"/>
      <c r="D267" s="101"/>
      <c r="E267" s="102"/>
      <c r="F267" s="51"/>
      <c r="G267" s="103"/>
      <c r="H267" s="103"/>
      <c r="I267" s="104"/>
      <c r="J267" s="101"/>
      <c r="K267" s="101"/>
      <c r="M267" s="51"/>
      <c r="N267" s="51"/>
      <c r="O267" s="51"/>
      <c r="P267" s="51"/>
      <c r="Q267" s="51"/>
      <c r="R267" s="36"/>
      <c r="S267" s="51"/>
      <c r="T267" s="59"/>
      <c r="U267" s="112"/>
      <c r="V267" s="39"/>
      <c r="W267" s="39"/>
      <c r="X267" s="40"/>
      <c r="Y267" s="39"/>
      <c r="Z267" s="41"/>
      <c r="AA267" s="41"/>
      <c r="AB267" s="51"/>
      <c r="AC267" s="51"/>
      <c r="AD267" s="51"/>
      <c r="AE267" s="51"/>
      <c r="AF267" s="51"/>
      <c r="AG267" s="51"/>
      <c r="AH267" s="51"/>
      <c r="AI267" s="106"/>
      <c r="AJ267" s="61"/>
      <c r="AK267" s="106"/>
      <c r="AL267" s="61"/>
      <c r="AM267" s="107"/>
      <c r="AN267" s="99"/>
      <c r="AO267" s="99"/>
      <c r="AP267" s="51"/>
      <c r="AQ267" s="51"/>
      <c r="AR267" s="51"/>
      <c r="AS267" s="101"/>
      <c r="AT267" s="101"/>
      <c r="AU267" s="51"/>
      <c r="AV267" s="51"/>
      <c r="AW267" s="51"/>
      <c r="AX267" s="51"/>
      <c r="AY267" s="106"/>
      <c r="AZ267" s="106"/>
      <c r="BA267" s="106"/>
      <c r="BB267" s="106"/>
      <c r="BC267" s="38"/>
      <c r="BD267" s="38"/>
      <c r="BE267" s="34"/>
      <c r="BF267" s="51"/>
      <c r="BG267" s="36"/>
      <c r="BH267" s="51"/>
      <c r="BI267" s="99"/>
      <c r="BJ267" s="99"/>
      <c r="BK267" s="51"/>
      <c r="BL267" s="51"/>
      <c r="BM267" s="51"/>
      <c r="BN267" s="51"/>
      <c r="BO267" s="99"/>
      <c r="BP267" s="99"/>
      <c r="BQ267" s="99"/>
      <c r="BR267" s="99"/>
      <c r="BS267" s="51"/>
      <c r="BT267" s="99"/>
      <c r="BU267" s="99"/>
      <c r="BV267" s="99"/>
      <c r="BW267" s="51"/>
      <c r="BX267" s="51"/>
      <c r="BY267" s="100"/>
      <c r="BZ267" s="100"/>
      <c r="CA267" s="36"/>
      <c r="CB267" s="36"/>
      <c r="CC267" s="51"/>
      <c r="CD267" s="36"/>
      <c r="CE267" s="36"/>
      <c r="CF267" s="36"/>
      <c r="CG267" s="36"/>
      <c r="CH267" s="51"/>
      <c r="CI267" s="36"/>
      <c r="CJ267" s="36"/>
      <c r="CK267" s="36"/>
      <c r="CL267" s="36"/>
      <c r="CM267" s="51"/>
      <c r="CN267" s="36"/>
      <c r="CO267" s="36"/>
      <c r="CP267" s="36"/>
      <c r="CQ267" s="36"/>
      <c r="CR267" s="51"/>
      <c r="CS267" s="36"/>
      <c r="CT267" s="36"/>
      <c r="CU267" s="36"/>
      <c r="CV267" s="36"/>
      <c r="CW267" s="51"/>
      <c r="CX267" s="36"/>
      <c r="CY267" s="36"/>
      <c r="CZ267" s="36"/>
      <c r="DA267" s="36"/>
      <c r="DB267" s="51"/>
      <c r="DC267" s="36"/>
      <c r="DD267" s="36"/>
      <c r="DE267" s="36"/>
      <c r="DF267" s="36"/>
      <c r="DG267" s="51"/>
      <c r="DH267" s="36"/>
      <c r="DI267" s="36"/>
      <c r="DJ267" s="36"/>
      <c r="DK267" s="36"/>
      <c r="DL267" s="51"/>
      <c r="DM267" s="51"/>
      <c r="DN267" s="51"/>
    </row>
    <row r="268" spans="1:118" ht="15.75" customHeight="1">
      <c r="A268" s="171"/>
      <c r="B268" s="51"/>
      <c r="C268" s="99"/>
      <c r="D268" s="101"/>
      <c r="E268" s="102"/>
      <c r="F268" s="51"/>
      <c r="G268" s="103"/>
      <c r="H268" s="103"/>
      <c r="I268" s="104"/>
      <c r="J268" s="101"/>
      <c r="K268" s="101"/>
      <c r="M268" s="51"/>
      <c r="N268" s="51"/>
      <c r="O268" s="51"/>
      <c r="P268" s="51"/>
      <c r="Q268" s="51"/>
      <c r="R268" s="36"/>
      <c r="S268" s="51"/>
      <c r="T268" s="59"/>
      <c r="U268" s="112"/>
      <c r="V268" s="39"/>
      <c r="W268" s="39"/>
      <c r="X268" s="40"/>
      <c r="Y268" s="39"/>
      <c r="Z268" s="41"/>
      <c r="AA268" s="41"/>
      <c r="AB268" s="51"/>
      <c r="AC268" s="51"/>
      <c r="AD268" s="51"/>
      <c r="AE268" s="51"/>
      <c r="AF268" s="51"/>
      <c r="AG268" s="51"/>
      <c r="AH268" s="51"/>
      <c r="AI268" s="106"/>
      <c r="AJ268" s="61"/>
      <c r="AK268" s="106"/>
      <c r="AL268" s="61"/>
      <c r="AM268" s="107"/>
      <c r="AN268" s="99"/>
      <c r="AO268" s="99"/>
      <c r="AP268" s="51"/>
      <c r="AQ268" s="51"/>
      <c r="AR268" s="51"/>
      <c r="AS268" s="101"/>
      <c r="AT268" s="101"/>
      <c r="AU268" s="51"/>
      <c r="AV268" s="51"/>
      <c r="AW268" s="51"/>
      <c r="AX268" s="51"/>
      <c r="AY268" s="106"/>
      <c r="AZ268" s="106"/>
      <c r="BA268" s="106"/>
      <c r="BB268" s="106"/>
      <c r="BC268" s="38"/>
      <c r="BD268" s="38"/>
      <c r="BE268" s="34"/>
      <c r="BF268" s="51"/>
      <c r="BG268" s="36"/>
      <c r="BH268" s="51"/>
      <c r="BI268" s="99"/>
      <c r="BJ268" s="99"/>
      <c r="BK268" s="51"/>
      <c r="BL268" s="51"/>
      <c r="BM268" s="51"/>
      <c r="BN268" s="51"/>
      <c r="BO268" s="99"/>
      <c r="BP268" s="99"/>
      <c r="BQ268" s="99"/>
      <c r="BR268" s="99"/>
      <c r="BS268" s="51"/>
      <c r="BT268" s="99"/>
      <c r="BU268" s="99"/>
      <c r="BV268" s="99"/>
      <c r="BW268" s="51"/>
      <c r="BX268" s="51"/>
      <c r="BY268" s="100"/>
      <c r="BZ268" s="100"/>
      <c r="CA268" s="36"/>
      <c r="CB268" s="36"/>
      <c r="CC268" s="51"/>
      <c r="CD268" s="36"/>
      <c r="CE268" s="36"/>
      <c r="CF268" s="36"/>
      <c r="CG268" s="36"/>
      <c r="CH268" s="51"/>
      <c r="CI268" s="36"/>
      <c r="CJ268" s="36"/>
      <c r="CK268" s="36"/>
      <c r="CL268" s="36"/>
      <c r="CM268" s="51"/>
      <c r="CN268" s="36"/>
      <c r="CO268" s="36"/>
      <c r="CP268" s="36"/>
      <c r="CQ268" s="36"/>
      <c r="CR268" s="51"/>
      <c r="CS268" s="36"/>
      <c r="CT268" s="36"/>
      <c r="CU268" s="36"/>
      <c r="CV268" s="36"/>
      <c r="CW268" s="51"/>
      <c r="CX268" s="36"/>
      <c r="CY268" s="36"/>
      <c r="CZ268" s="36"/>
      <c r="DA268" s="36"/>
      <c r="DB268" s="51"/>
      <c r="DC268" s="36"/>
      <c r="DD268" s="36"/>
      <c r="DE268" s="36"/>
      <c r="DF268" s="36"/>
      <c r="DG268" s="51"/>
      <c r="DH268" s="36"/>
      <c r="DI268" s="36"/>
      <c r="DJ268" s="36"/>
      <c r="DK268" s="36"/>
      <c r="DL268" s="51"/>
      <c r="DM268" s="51"/>
      <c r="DN268" s="51"/>
    </row>
    <row r="269" spans="1:118" ht="15.75" customHeight="1">
      <c r="A269" s="171"/>
      <c r="B269" s="51"/>
      <c r="C269" s="99"/>
      <c r="D269" s="101"/>
      <c r="E269" s="102"/>
      <c r="F269" s="51"/>
      <c r="G269" s="103"/>
      <c r="H269" s="103"/>
      <c r="I269" s="104"/>
      <c r="J269" s="101"/>
      <c r="K269" s="101"/>
      <c r="M269" s="51"/>
      <c r="N269" s="51"/>
      <c r="O269" s="51"/>
      <c r="P269" s="51"/>
      <c r="Q269" s="51"/>
      <c r="R269" s="36"/>
      <c r="S269" s="51"/>
      <c r="T269" s="59"/>
      <c r="U269" s="112"/>
      <c r="V269" s="39"/>
      <c r="W269" s="39"/>
      <c r="X269" s="40"/>
      <c r="Y269" s="39"/>
      <c r="Z269" s="41"/>
      <c r="AA269" s="41"/>
      <c r="AB269" s="51"/>
      <c r="AC269" s="51"/>
      <c r="AD269" s="51"/>
      <c r="AE269" s="51"/>
      <c r="AF269" s="51"/>
      <c r="AG269" s="51"/>
      <c r="AH269" s="51"/>
      <c r="AI269" s="106"/>
      <c r="AJ269" s="61"/>
      <c r="AK269" s="106"/>
      <c r="AL269" s="61"/>
      <c r="AM269" s="107"/>
      <c r="AN269" s="99"/>
      <c r="AO269" s="99"/>
      <c r="AP269" s="51"/>
      <c r="AQ269" s="51"/>
      <c r="AR269" s="51"/>
      <c r="AS269" s="101"/>
      <c r="AT269" s="101"/>
      <c r="AU269" s="51"/>
      <c r="AV269" s="51"/>
      <c r="AW269" s="51"/>
      <c r="AX269" s="51"/>
      <c r="AY269" s="106"/>
      <c r="AZ269" s="106"/>
      <c r="BA269" s="106"/>
      <c r="BB269" s="106"/>
      <c r="BC269" s="38"/>
      <c r="BD269" s="38"/>
      <c r="BE269" s="34"/>
      <c r="BF269" s="51"/>
      <c r="BG269" s="36"/>
      <c r="BH269" s="51"/>
      <c r="BI269" s="99"/>
      <c r="BJ269" s="99"/>
      <c r="BK269" s="51"/>
      <c r="BL269" s="51"/>
      <c r="BM269" s="51"/>
      <c r="BN269" s="51"/>
      <c r="BO269" s="99"/>
      <c r="BP269" s="99"/>
      <c r="BQ269" s="99"/>
      <c r="BR269" s="99"/>
      <c r="BS269" s="51"/>
      <c r="BT269" s="99"/>
      <c r="BU269" s="99"/>
      <c r="BV269" s="99"/>
      <c r="BW269" s="51"/>
      <c r="BX269" s="51"/>
      <c r="BY269" s="100"/>
      <c r="BZ269" s="100"/>
      <c r="CA269" s="36"/>
      <c r="CB269" s="36"/>
      <c r="CC269" s="51"/>
      <c r="CD269" s="36"/>
      <c r="CE269" s="36"/>
      <c r="CF269" s="36"/>
      <c r="CG269" s="36"/>
      <c r="CH269" s="51"/>
      <c r="CI269" s="36"/>
      <c r="CJ269" s="36"/>
      <c r="CK269" s="36"/>
      <c r="CL269" s="36"/>
      <c r="CM269" s="51"/>
      <c r="CN269" s="36"/>
      <c r="CO269" s="36"/>
      <c r="CP269" s="36"/>
      <c r="CQ269" s="36"/>
      <c r="CR269" s="51"/>
      <c r="CS269" s="36"/>
      <c r="CT269" s="36"/>
      <c r="CU269" s="36"/>
      <c r="CV269" s="36"/>
      <c r="CW269" s="51"/>
      <c r="CX269" s="36"/>
      <c r="CY269" s="36"/>
      <c r="CZ269" s="36"/>
      <c r="DA269" s="36"/>
      <c r="DB269" s="51"/>
      <c r="DC269" s="36"/>
      <c r="DD269" s="36"/>
      <c r="DE269" s="36"/>
      <c r="DF269" s="36"/>
      <c r="DG269" s="51"/>
      <c r="DH269" s="36"/>
      <c r="DI269" s="36"/>
      <c r="DJ269" s="36"/>
      <c r="DK269" s="36"/>
      <c r="DL269" s="51"/>
      <c r="DM269" s="51"/>
      <c r="DN269" s="51"/>
    </row>
    <row r="270" spans="1:118" ht="15.75" customHeight="1">
      <c r="A270" s="171"/>
      <c r="B270" s="51"/>
      <c r="C270" s="99"/>
      <c r="D270" s="101"/>
      <c r="E270" s="102"/>
      <c r="F270" s="51"/>
      <c r="G270" s="103"/>
      <c r="H270" s="103"/>
      <c r="I270" s="104"/>
      <c r="J270" s="101"/>
      <c r="K270" s="101"/>
      <c r="M270" s="51"/>
      <c r="N270" s="51"/>
      <c r="O270" s="51"/>
      <c r="P270" s="51"/>
      <c r="Q270" s="51"/>
      <c r="R270" s="36"/>
      <c r="S270" s="51"/>
      <c r="T270" s="59"/>
      <c r="U270" s="112"/>
      <c r="V270" s="39"/>
      <c r="W270" s="39"/>
      <c r="X270" s="40"/>
      <c r="Y270" s="39"/>
      <c r="Z270" s="41"/>
      <c r="AA270" s="41"/>
      <c r="AB270" s="51"/>
      <c r="AC270" s="51"/>
      <c r="AD270" s="51"/>
      <c r="AE270" s="51"/>
      <c r="AF270" s="51"/>
      <c r="AG270" s="51"/>
      <c r="AH270" s="51"/>
      <c r="AI270" s="106"/>
      <c r="AJ270" s="61"/>
      <c r="AK270" s="106"/>
      <c r="AL270" s="61"/>
      <c r="AM270" s="107"/>
      <c r="AN270" s="99"/>
      <c r="AO270" s="99"/>
      <c r="AP270" s="51"/>
      <c r="AQ270" s="51"/>
      <c r="AR270" s="51"/>
      <c r="AS270" s="101"/>
      <c r="AT270" s="101"/>
      <c r="AU270" s="51"/>
      <c r="AV270" s="51"/>
      <c r="AW270" s="51"/>
      <c r="AX270" s="51"/>
      <c r="AY270" s="106"/>
      <c r="AZ270" s="106"/>
      <c r="BA270" s="106"/>
      <c r="BB270" s="106"/>
      <c r="BC270" s="38"/>
      <c r="BD270" s="38"/>
      <c r="BE270" s="34"/>
      <c r="BF270" s="51"/>
      <c r="BG270" s="36"/>
      <c r="BH270" s="51"/>
      <c r="BI270" s="99"/>
      <c r="BJ270" s="99"/>
      <c r="BK270" s="51"/>
      <c r="BL270" s="51"/>
      <c r="BM270" s="51"/>
      <c r="BN270" s="51"/>
      <c r="BO270" s="99"/>
      <c r="BP270" s="99"/>
      <c r="BQ270" s="99"/>
      <c r="BR270" s="99"/>
      <c r="BS270" s="51"/>
      <c r="BT270" s="99"/>
      <c r="BU270" s="99"/>
      <c r="BV270" s="99"/>
      <c r="BW270" s="51"/>
      <c r="BX270" s="51"/>
      <c r="BY270" s="100"/>
      <c r="BZ270" s="100"/>
      <c r="CA270" s="36"/>
      <c r="CB270" s="36"/>
      <c r="CC270" s="51"/>
      <c r="CD270" s="36"/>
      <c r="CE270" s="36"/>
      <c r="CF270" s="36"/>
      <c r="CG270" s="36"/>
      <c r="CH270" s="51"/>
      <c r="CI270" s="36"/>
      <c r="CJ270" s="36"/>
      <c r="CK270" s="36"/>
      <c r="CL270" s="36"/>
      <c r="CM270" s="51"/>
      <c r="CN270" s="36"/>
      <c r="CO270" s="36"/>
      <c r="CP270" s="36"/>
      <c r="CQ270" s="36"/>
      <c r="CR270" s="51"/>
      <c r="CS270" s="36"/>
      <c r="CT270" s="36"/>
      <c r="CU270" s="36"/>
      <c r="CV270" s="36"/>
      <c r="CW270" s="51"/>
      <c r="CX270" s="36"/>
      <c r="CY270" s="36"/>
      <c r="CZ270" s="36"/>
      <c r="DA270" s="36"/>
      <c r="DB270" s="51"/>
      <c r="DC270" s="36"/>
      <c r="DD270" s="36"/>
      <c r="DE270" s="36"/>
      <c r="DF270" s="36"/>
      <c r="DG270" s="51"/>
      <c r="DH270" s="36"/>
      <c r="DI270" s="36"/>
      <c r="DJ270" s="36"/>
      <c r="DK270" s="36"/>
      <c r="DL270" s="51"/>
      <c r="DM270" s="51"/>
      <c r="DN270" s="51"/>
    </row>
    <row r="271" spans="1:118" ht="15.75" customHeight="1">
      <c r="A271" s="171"/>
      <c r="B271" s="51"/>
      <c r="C271" s="99"/>
      <c r="D271" s="101"/>
      <c r="E271" s="102"/>
      <c r="F271" s="51"/>
      <c r="G271" s="103"/>
      <c r="H271" s="103"/>
      <c r="I271" s="104"/>
      <c r="J271" s="101"/>
      <c r="K271" s="101"/>
      <c r="M271" s="51"/>
      <c r="N271" s="51"/>
      <c r="O271" s="51"/>
      <c r="P271" s="51"/>
      <c r="Q271" s="51"/>
      <c r="R271" s="36"/>
      <c r="S271" s="51"/>
      <c r="T271" s="59"/>
      <c r="U271" s="112"/>
      <c r="V271" s="39"/>
      <c r="W271" s="39"/>
      <c r="X271" s="40"/>
      <c r="Y271" s="39"/>
      <c r="Z271" s="41"/>
      <c r="AA271" s="41"/>
      <c r="AB271" s="51"/>
      <c r="AC271" s="51"/>
      <c r="AD271" s="51"/>
      <c r="AE271" s="51"/>
      <c r="AF271" s="51"/>
      <c r="AG271" s="51"/>
      <c r="AH271" s="51"/>
      <c r="AI271" s="106"/>
      <c r="AJ271" s="61"/>
      <c r="AK271" s="106"/>
      <c r="AL271" s="61"/>
      <c r="AM271" s="107"/>
      <c r="AN271" s="99"/>
      <c r="AO271" s="99"/>
      <c r="AP271" s="51"/>
      <c r="AQ271" s="51"/>
      <c r="AR271" s="51"/>
      <c r="AS271" s="101"/>
      <c r="AT271" s="101"/>
      <c r="AU271" s="51"/>
      <c r="AV271" s="51"/>
      <c r="AW271" s="51"/>
      <c r="AX271" s="51"/>
      <c r="AY271" s="106"/>
      <c r="AZ271" s="106"/>
      <c r="BA271" s="106"/>
      <c r="BB271" s="106"/>
      <c r="BC271" s="38"/>
      <c r="BD271" s="38"/>
      <c r="BE271" s="34"/>
      <c r="BF271" s="51"/>
      <c r="BG271" s="36"/>
      <c r="BH271" s="51"/>
      <c r="BI271" s="99"/>
      <c r="BJ271" s="99"/>
      <c r="BK271" s="51"/>
      <c r="BL271" s="51"/>
      <c r="BM271" s="51"/>
      <c r="BN271" s="51"/>
      <c r="BO271" s="99"/>
      <c r="BP271" s="99"/>
      <c r="BQ271" s="99"/>
      <c r="BR271" s="99"/>
      <c r="BS271" s="51"/>
      <c r="BT271" s="99"/>
      <c r="BU271" s="99"/>
      <c r="BV271" s="99"/>
      <c r="BW271" s="51"/>
      <c r="BX271" s="51"/>
      <c r="BY271" s="100"/>
      <c r="BZ271" s="100"/>
      <c r="CA271" s="36"/>
      <c r="CB271" s="36"/>
      <c r="CC271" s="51"/>
      <c r="CD271" s="36"/>
      <c r="CE271" s="36"/>
      <c r="CF271" s="36"/>
      <c r="CG271" s="36"/>
      <c r="CH271" s="51"/>
      <c r="CI271" s="36"/>
      <c r="CJ271" s="36"/>
      <c r="CK271" s="36"/>
      <c r="CL271" s="36"/>
      <c r="CM271" s="51"/>
      <c r="CN271" s="36"/>
      <c r="CO271" s="36"/>
      <c r="CP271" s="36"/>
      <c r="CQ271" s="36"/>
      <c r="CR271" s="51"/>
      <c r="CS271" s="36"/>
      <c r="CT271" s="36"/>
      <c r="CU271" s="36"/>
      <c r="CV271" s="36"/>
      <c r="CW271" s="51"/>
      <c r="CX271" s="36"/>
      <c r="CY271" s="36"/>
      <c r="CZ271" s="36"/>
      <c r="DA271" s="36"/>
      <c r="DB271" s="51"/>
      <c r="DC271" s="36"/>
      <c r="DD271" s="36"/>
      <c r="DE271" s="36"/>
      <c r="DF271" s="36"/>
      <c r="DG271" s="51"/>
      <c r="DH271" s="36"/>
      <c r="DI271" s="36"/>
      <c r="DJ271" s="36"/>
      <c r="DK271" s="36"/>
      <c r="DL271" s="51"/>
      <c r="DM271" s="51"/>
      <c r="DN271" s="51"/>
    </row>
    <row r="272" spans="1:118" ht="15.75" customHeight="1">
      <c r="A272" s="171"/>
      <c r="B272" s="51"/>
      <c r="C272" s="99"/>
      <c r="D272" s="101"/>
      <c r="E272" s="102"/>
      <c r="F272" s="51"/>
      <c r="G272" s="103"/>
      <c r="H272" s="103"/>
      <c r="I272" s="104"/>
      <c r="J272" s="101"/>
      <c r="K272" s="101"/>
      <c r="M272" s="51"/>
      <c r="N272" s="51"/>
      <c r="O272" s="51"/>
      <c r="P272" s="51"/>
      <c r="Q272" s="51"/>
      <c r="R272" s="36"/>
      <c r="S272" s="51"/>
      <c r="T272" s="59"/>
      <c r="U272" s="112"/>
      <c r="V272" s="39"/>
      <c r="W272" s="39"/>
      <c r="X272" s="40"/>
      <c r="Y272" s="39"/>
      <c r="Z272" s="41"/>
      <c r="AA272" s="41"/>
      <c r="AB272" s="51"/>
      <c r="AC272" s="51"/>
      <c r="AD272" s="51"/>
      <c r="AE272" s="51"/>
      <c r="AF272" s="51"/>
      <c r="AG272" s="51"/>
      <c r="AH272" s="51"/>
      <c r="AI272" s="106"/>
      <c r="AJ272" s="61"/>
      <c r="AK272" s="106"/>
      <c r="AL272" s="61"/>
      <c r="AM272" s="107"/>
      <c r="AN272" s="99"/>
      <c r="AO272" s="99"/>
      <c r="AP272" s="51"/>
      <c r="AQ272" s="51"/>
      <c r="AR272" s="51"/>
      <c r="AS272" s="101"/>
      <c r="AT272" s="101"/>
      <c r="AU272" s="51"/>
      <c r="AV272" s="51"/>
      <c r="AW272" s="51"/>
      <c r="AX272" s="51"/>
      <c r="AY272" s="106"/>
      <c r="AZ272" s="106"/>
      <c r="BA272" s="106"/>
      <c r="BB272" s="106"/>
      <c r="BC272" s="38"/>
      <c r="BD272" s="38"/>
      <c r="BE272" s="34"/>
      <c r="BF272" s="51"/>
      <c r="BG272" s="36"/>
      <c r="BH272" s="51"/>
      <c r="BI272" s="99"/>
      <c r="BJ272" s="99"/>
      <c r="BK272" s="51"/>
      <c r="BL272" s="51"/>
      <c r="BM272" s="51"/>
      <c r="BN272" s="51"/>
      <c r="BO272" s="99"/>
      <c r="BP272" s="99"/>
      <c r="BQ272" s="99"/>
      <c r="BR272" s="99"/>
      <c r="BS272" s="51"/>
      <c r="BT272" s="99"/>
      <c r="BU272" s="99"/>
      <c r="BV272" s="99"/>
      <c r="BW272" s="51"/>
      <c r="BX272" s="51"/>
      <c r="BY272" s="100"/>
      <c r="BZ272" s="100"/>
      <c r="CA272" s="36"/>
      <c r="CB272" s="36"/>
      <c r="CC272" s="51"/>
      <c r="CD272" s="36"/>
      <c r="CE272" s="36"/>
      <c r="CF272" s="36"/>
      <c r="CG272" s="36"/>
      <c r="CH272" s="51"/>
      <c r="CI272" s="36"/>
      <c r="CJ272" s="36"/>
      <c r="CK272" s="36"/>
      <c r="CL272" s="36"/>
      <c r="CM272" s="51"/>
      <c r="CN272" s="36"/>
      <c r="CO272" s="36"/>
      <c r="CP272" s="36"/>
      <c r="CQ272" s="36"/>
      <c r="CR272" s="51"/>
      <c r="CS272" s="36"/>
      <c r="CT272" s="36"/>
      <c r="CU272" s="36"/>
      <c r="CV272" s="36"/>
      <c r="CW272" s="51"/>
      <c r="CX272" s="36"/>
      <c r="CY272" s="36"/>
      <c r="CZ272" s="36"/>
      <c r="DA272" s="36"/>
      <c r="DB272" s="51"/>
      <c r="DC272" s="36"/>
      <c r="DD272" s="36"/>
      <c r="DE272" s="36"/>
      <c r="DF272" s="36"/>
      <c r="DG272" s="51"/>
      <c r="DH272" s="36"/>
      <c r="DI272" s="36"/>
      <c r="DJ272" s="36"/>
      <c r="DK272" s="36"/>
      <c r="DL272" s="51"/>
      <c r="DM272" s="51"/>
      <c r="DN272" s="51"/>
    </row>
    <row r="273" spans="1:118" ht="15.75" customHeight="1">
      <c r="A273" s="171"/>
      <c r="B273" s="51"/>
      <c r="C273" s="99"/>
      <c r="D273" s="101"/>
      <c r="E273" s="102"/>
      <c r="F273" s="51"/>
      <c r="G273" s="103"/>
      <c r="H273" s="103"/>
      <c r="I273" s="104"/>
      <c r="J273" s="101"/>
      <c r="K273" s="101"/>
      <c r="M273" s="51"/>
      <c r="N273" s="51"/>
      <c r="O273" s="51"/>
      <c r="P273" s="51"/>
      <c r="Q273" s="51"/>
      <c r="R273" s="36"/>
      <c r="S273" s="51"/>
      <c r="T273" s="59"/>
      <c r="U273" s="112"/>
      <c r="V273" s="39"/>
      <c r="W273" s="39"/>
      <c r="X273" s="40"/>
      <c r="Y273" s="39"/>
      <c r="Z273" s="41"/>
      <c r="AA273" s="41"/>
      <c r="AB273" s="51"/>
      <c r="AC273" s="51"/>
      <c r="AD273" s="51"/>
      <c r="AE273" s="51"/>
      <c r="AF273" s="51"/>
      <c r="AG273" s="51"/>
      <c r="AH273" s="51"/>
      <c r="AI273" s="106"/>
      <c r="AJ273" s="61"/>
      <c r="AK273" s="106"/>
      <c r="AL273" s="61"/>
      <c r="AM273" s="107"/>
      <c r="AN273" s="99"/>
      <c r="AO273" s="99"/>
      <c r="AP273" s="51"/>
      <c r="AQ273" s="51"/>
      <c r="AR273" s="51"/>
      <c r="AS273" s="101"/>
      <c r="AT273" s="101"/>
      <c r="AU273" s="51"/>
      <c r="AV273" s="51"/>
      <c r="AW273" s="51"/>
      <c r="AX273" s="51"/>
      <c r="AY273" s="106"/>
      <c r="AZ273" s="106"/>
      <c r="BA273" s="106"/>
      <c r="BB273" s="106"/>
      <c r="BC273" s="38"/>
      <c r="BD273" s="38"/>
      <c r="BE273" s="34"/>
      <c r="BF273" s="51"/>
      <c r="BG273" s="36"/>
      <c r="BH273" s="51"/>
      <c r="BI273" s="99"/>
      <c r="BJ273" s="99"/>
      <c r="BK273" s="51"/>
      <c r="BL273" s="51"/>
      <c r="BM273" s="51"/>
      <c r="BN273" s="51"/>
      <c r="BO273" s="99"/>
      <c r="BP273" s="99"/>
      <c r="BQ273" s="99"/>
      <c r="BR273" s="99"/>
      <c r="BS273" s="51"/>
      <c r="BT273" s="99"/>
      <c r="BU273" s="99"/>
      <c r="BV273" s="99"/>
      <c r="BW273" s="51"/>
      <c r="BX273" s="51"/>
      <c r="BY273" s="100"/>
      <c r="BZ273" s="100"/>
      <c r="CA273" s="36"/>
      <c r="CB273" s="36"/>
      <c r="CC273" s="51"/>
      <c r="CD273" s="36"/>
      <c r="CE273" s="36"/>
      <c r="CF273" s="36"/>
      <c r="CG273" s="36"/>
      <c r="CH273" s="51"/>
      <c r="CI273" s="36"/>
      <c r="CJ273" s="36"/>
      <c r="CK273" s="36"/>
      <c r="CL273" s="36"/>
      <c r="CM273" s="51"/>
      <c r="CN273" s="36"/>
      <c r="CO273" s="36"/>
      <c r="CP273" s="36"/>
      <c r="CQ273" s="36"/>
      <c r="CR273" s="51"/>
      <c r="CS273" s="36"/>
      <c r="CT273" s="36"/>
      <c r="CU273" s="36"/>
      <c r="CV273" s="36"/>
      <c r="CW273" s="51"/>
      <c r="CX273" s="36"/>
      <c r="CY273" s="36"/>
      <c r="CZ273" s="36"/>
      <c r="DA273" s="36"/>
      <c r="DB273" s="51"/>
      <c r="DC273" s="36"/>
      <c r="DD273" s="36"/>
      <c r="DE273" s="36"/>
      <c r="DF273" s="36"/>
      <c r="DG273" s="51"/>
      <c r="DH273" s="36"/>
      <c r="DI273" s="36"/>
      <c r="DJ273" s="36"/>
      <c r="DK273" s="36"/>
      <c r="DL273" s="51"/>
      <c r="DM273" s="51"/>
      <c r="DN273" s="51"/>
    </row>
    <row r="274" spans="1:118" ht="15.75" customHeight="1">
      <c r="A274" s="171"/>
      <c r="B274" s="51"/>
      <c r="C274" s="99"/>
      <c r="D274" s="101"/>
      <c r="E274" s="102"/>
      <c r="F274" s="51"/>
      <c r="G274" s="103"/>
      <c r="H274" s="103"/>
      <c r="I274" s="104"/>
      <c r="J274" s="101"/>
      <c r="K274" s="101"/>
      <c r="M274" s="51"/>
      <c r="N274" s="51"/>
      <c r="O274" s="51"/>
      <c r="P274" s="51"/>
      <c r="Q274" s="51"/>
      <c r="R274" s="36"/>
      <c r="S274" s="51"/>
      <c r="T274" s="59"/>
      <c r="U274" s="112"/>
      <c r="V274" s="39"/>
      <c r="W274" s="39"/>
      <c r="X274" s="40"/>
      <c r="Y274" s="39"/>
      <c r="Z274" s="41"/>
      <c r="AA274" s="41"/>
      <c r="AB274" s="51"/>
      <c r="AC274" s="51"/>
      <c r="AD274" s="51"/>
      <c r="AE274" s="51"/>
      <c r="AF274" s="51"/>
      <c r="AG274" s="51"/>
      <c r="AH274" s="51"/>
      <c r="AI274" s="106"/>
      <c r="AJ274" s="61"/>
      <c r="AK274" s="106"/>
      <c r="AL274" s="61"/>
      <c r="AM274" s="107"/>
      <c r="AN274" s="99"/>
      <c r="AO274" s="99"/>
      <c r="AP274" s="51"/>
      <c r="AQ274" s="51"/>
      <c r="AR274" s="51"/>
      <c r="AS274" s="101"/>
      <c r="AT274" s="101"/>
      <c r="AU274" s="51"/>
      <c r="AV274" s="51"/>
      <c r="AW274" s="51"/>
      <c r="AX274" s="51"/>
      <c r="AY274" s="106"/>
      <c r="AZ274" s="106"/>
      <c r="BA274" s="106"/>
      <c r="BB274" s="106"/>
      <c r="BC274" s="38"/>
      <c r="BD274" s="38"/>
      <c r="BE274" s="34"/>
      <c r="BF274" s="51"/>
      <c r="BG274" s="36"/>
      <c r="BH274" s="51"/>
      <c r="BI274" s="99"/>
      <c r="BJ274" s="99"/>
      <c r="BK274" s="51"/>
      <c r="BL274" s="51"/>
      <c r="BM274" s="51"/>
      <c r="BN274" s="51"/>
      <c r="BO274" s="99"/>
      <c r="BP274" s="99"/>
      <c r="BQ274" s="99"/>
      <c r="BR274" s="99"/>
      <c r="BS274" s="51"/>
      <c r="BT274" s="99"/>
      <c r="BU274" s="99"/>
      <c r="BV274" s="99"/>
      <c r="BW274" s="51"/>
      <c r="BX274" s="51"/>
      <c r="BY274" s="100"/>
      <c r="BZ274" s="100"/>
      <c r="CA274" s="36"/>
      <c r="CB274" s="36"/>
      <c r="CC274" s="51"/>
      <c r="CD274" s="36"/>
      <c r="CE274" s="36"/>
      <c r="CF274" s="36"/>
      <c r="CG274" s="36"/>
      <c r="CH274" s="51"/>
      <c r="CI274" s="36"/>
      <c r="CJ274" s="36"/>
      <c r="CK274" s="36"/>
      <c r="CL274" s="36"/>
      <c r="CM274" s="51"/>
      <c r="CN274" s="36"/>
      <c r="CO274" s="36"/>
      <c r="CP274" s="36"/>
      <c r="CQ274" s="36"/>
      <c r="CR274" s="51"/>
      <c r="CS274" s="36"/>
      <c r="CT274" s="36"/>
      <c r="CU274" s="36"/>
      <c r="CV274" s="36"/>
      <c r="CW274" s="51"/>
      <c r="CX274" s="36"/>
      <c r="CY274" s="36"/>
      <c r="CZ274" s="36"/>
      <c r="DA274" s="36"/>
      <c r="DB274" s="51"/>
      <c r="DC274" s="36"/>
      <c r="DD274" s="36"/>
      <c r="DE274" s="36"/>
      <c r="DF274" s="36"/>
      <c r="DG274" s="51"/>
      <c r="DH274" s="36"/>
      <c r="DI274" s="36"/>
      <c r="DJ274" s="36"/>
      <c r="DK274" s="36"/>
      <c r="DL274" s="51"/>
      <c r="DM274" s="51"/>
      <c r="DN274" s="51"/>
    </row>
    <row r="275" spans="1:118" ht="15.75" customHeight="1">
      <c r="A275" s="171"/>
      <c r="B275" s="51"/>
      <c r="C275" s="99"/>
      <c r="D275" s="101"/>
      <c r="E275" s="102"/>
      <c r="F275" s="51"/>
      <c r="G275" s="103"/>
      <c r="H275" s="103"/>
      <c r="I275" s="104"/>
      <c r="J275" s="101"/>
      <c r="K275" s="101"/>
      <c r="M275" s="51"/>
      <c r="N275" s="51"/>
      <c r="O275" s="51"/>
      <c r="P275" s="51"/>
      <c r="Q275" s="51"/>
      <c r="R275" s="36"/>
      <c r="S275" s="51"/>
      <c r="T275" s="59"/>
      <c r="U275" s="112"/>
      <c r="V275" s="39"/>
      <c r="W275" s="39"/>
      <c r="X275" s="40"/>
      <c r="Y275" s="39"/>
      <c r="Z275" s="41"/>
      <c r="AA275" s="41"/>
      <c r="AB275" s="51"/>
      <c r="AC275" s="51"/>
      <c r="AD275" s="51"/>
      <c r="AE275" s="51"/>
      <c r="AF275" s="51"/>
      <c r="AG275" s="51"/>
      <c r="AH275" s="51"/>
      <c r="AI275" s="106"/>
      <c r="AJ275" s="61"/>
      <c r="AK275" s="106"/>
      <c r="AL275" s="61"/>
      <c r="AM275" s="107"/>
      <c r="AN275" s="99"/>
      <c r="AO275" s="99"/>
      <c r="AP275" s="51"/>
      <c r="AQ275" s="51"/>
      <c r="AR275" s="51"/>
      <c r="AS275" s="101"/>
      <c r="AT275" s="101"/>
      <c r="AU275" s="51"/>
      <c r="AV275" s="51"/>
      <c r="AW275" s="51"/>
      <c r="AX275" s="51"/>
      <c r="AY275" s="106"/>
      <c r="AZ275" s="106"/>
      <c r="BA275" s="106"/>
      <c r="BB275" s="106"/>
      <c r="BC275" s="38"/>
      <c r="BD275" s="38"/>
      <c r="BE275" s="34"/>
      <c r="BF275" s="51"/>
      <c r="BG275" s="36"/>
      <c r="BH275" s="51"/>
      <c r="BI275" s="99"/>
      <c r="BJ275" s="99"/>
      <c r="BK275" s="51"/>
      <c r="BL275" s="51"/>
      <c r="BM275" s="51"/>
      <c r="BN275" s="51"/>
      <c r="BO275" s="99"/>
      <c r="BP275" s="99"/>
      <c r="BQ275" s="99"/>
      <c r="BR275" s="99"/>
      <c r="BS275" s="51"/>
      <c r="BT275" s="99"/>
      <c r="BU275" s="99"/>
      <c r="BV275" s="99"/>
      <c r="BW275" s="51"/>
      <c r="BX275" s="51"/>
      <c r="BY275" s="100"/>
      <c r="BZ275" s="100"/>
      <c r="CA275" s="36"/>
      <c r="CB275" s="36"/>
      <c r="CC275" s="51"/>
      <c r="CD275" s="36"/>
      <c r="CE275" s="36"/>
      <c r="CF275" s="36"/>
      <c r="CG275" s="36"/>
      <c r="CH275" s="51"/>
      <c r="CI275" s="36"/>
      <c r="CJ275" s="36"/>
      <c r="CK275" s="36"/>
      <c r="CL275" s="36"/>
      <c r="CM275" s="51"/>
      <c r="CN275" s="36"/>
      <c r="CO275" s="36"/>
      <c r="CP275" s="36"/>
      <c r="CQ275" s="36"/>
      <c r="CR275" s="51"/>
      <c r="CS275" s="36"/>
      <c r="CT275" s="36"/>
      <c r="CU275" s="36"/>
      <c r="CV275" s="36"/>
      <c r="CW275" s="51"/>
      <c r="CX275" s="36"/>
      <c r="CY275" s="36"/>
      <c r="CZ275" s="36"/>
      <c r="DA275" s="36"/>
      <c r="DB275" s="51"/>
      <c r="DC275" s="36"/>
      <c r="DD275" s="36"/>
      <c r="DE275" s="36"/>
      <c r="DF275" s="36"/>
      <c r="DG275" s="51"/>
      <c r="DH275" s="36"/>
      <c r="DI275" s="36"/>
      <c r="DJ275" s="36"/>
      <c r="DK275" s="36"/>
      <c r="DL275" s="51"/>
      <c r="DM275" s="51"/>
      <c r="DN275" s="51"/>
    </row>
    <row r="276" spans="1:118" ht="15.75" customHeight="1">
      <c r="A276" s="171"/>
      <c r="B276" s="51"/>
      <c r="C276" s="99"/>
      <c r="D276" s="101"/>
      <c r="E276" s="102"/>
      <c r="F276" s="51"/>
      <c r="G276" s="103"/>
      <c r="H276" s="103"/>
      <c r="I276" s="104"/>
      <c r="J276" s="101"/>
      <c r="K276" s="101"/>
      <c r="M276" s="51"/>
      <c r="N276" s="51"/>
      <c r="O276" s="51"/>
      <c r="P276" s="51"/>
      <c r="Q276" s="51"/>
      <c r="R276" s="36"/>
      <c r="S276" s="51"/>
      <c r="T276" s="59"/>
      <c r="U276" s="112"/>
      <c r="V276" s="39"/>
      <c r="W276" s="39"/>
      <c r="X276" s="40"/>
      <c r="Y276" s="39"/>
      <c r="Z276" s="41"/>
      <c r="AA276" s="41"/>
      <c r="AB276" s="51"/>
      <c r="AC276" s="51"/>
      <c r="AD276" s="51"/>
      <c r="AE276" s="51"/>
      <c r="AF276" s="51"/>
      <c r="AG276" s="51"/>
      <c r="AH276" s="51"/>
      <c r="AI276" s="106"/>
      <c r="AJ276" s="61"/>
      <c r="AK276" s="106"/>
      <c r="AL276" s="61"/>
      <c r="AM276" s="107"/>
      <c r="AN276" s="99"/>
      <c r="AO276" s="99"/>
      <c r="AP276" s="51"/>
      <c r="AQ276" s="51"/>
      <c r="AR276" s="51"/>
      <c r="AS276" s="101"/>
      <c r="AT276" s="101"/>
      <c r="AU276" s="51"/>
      <c r="AV276" s="51"/>
      <c r="AW276" s="51"/>
      <c r="AX276" s="51"/>
      <c r="AY276" s="106"/>
      <c r="AZ276" s="106"/>
      <c r="BA276" s="106"/>
      <c r="BB276" s="106"/>
      <c r="BC276" s="38"/>
      <c r="BD276" s="38"/>
      <c r="BE276" s="34"/>
      <c r="BF276" s="51"/>
      <c r="BG276" s="36"/>
      <c r="BH276" s="51"/>
      <c r="BI276" s="99"/>
      <c r="BJ276" s="99"/>
      <c r="BK276" s="51"/>
      <c r="BL276" s="51"/>
      <c r="BM276" s="51"/>
      <c r="BN276" s="51"/>
      <c r="BO276" s="99"/>
      <c r="BP276" s="99"/>
      <c r="BQ276" s="99"/>
      <c r="BR276" s="99"/>
      <c r="BS276" s="51"/>
      <c r="BT276" s="99"/>
      <c r="BU276" s="99"/>
      <c r="BV276" s="99"/>
      <c r="BW276" s="51"/>
      <c r="BX276" s="51"/>
      <c r="BY276" s="100"/>
      <c r="BZ276" s="100"/>
      <c r="CA276" s="36"/>
      <c r="CB276" s="36"/>
      <c r="CC276" s="51"/>
      <c r="CD276" s="36"/>
      <c r="CE276" s="36"/>
      <c r="CF276" s="36"/>
      <c r="CG276" s="36"/>
      <c r="CH276" s="51"/>
      <c r="CI276" s="36"/>
      <c r="CJ276" s="36"/>
      <c r="CK276" s="36"/>
      <c r="CL276" s="36"/>
      <c r="CM276" s="51"/>
      <c r="CN276" s="36"/>
      <c r="CO276" s="36"/>
      <c r="CP276" s="36"/>
      <c r="CQ276" s="36"/>
      <c r="CR276" s="51"/>
      <c r="CS276" s="36"/>
      <c r="CT276" s="36"/>
      <c r="CU276" s="36"/>
      <c r="CV276" s="36"/>
      <c r="CW276" s="51"/>
      <c r="CX276" s="36"/>
      <c r="CY276" s="36"/>
      <c r="CZ276" s="36"/>
      <c r="DA276" s="36"/>
      <c r="DB276" s="51"/>
      <c r="DC276" s="36"/>
      <c r="DD276" s="36"/>
      <c r="DE276" s="36"/>
      <c r="DF276" s="36"/>
      <c r="DG276" s="51"/>
      <c r="DH276" s="36"/>
      <c r="DI276" s="36"/>
      <c r="DJ276" s="36"/>
      <c r="DK276" s="36"/>
      <c r="DL276" s="51"/>
      <c r="DM276" s="51"/>
      <c r="DN276" s="51"/>
    </row>
    <row r="277" spans="1:118" ht="15.75" customHeight="1">
      <c r="A277" s="171"/>
      <c r="B277" s="51"/>
      <c r="C277" s="99"/>
      <c r="D277" s="101"/>
      <c r="E277" s="102"/>
      <c r="F277" s="51"/>
      <c r="G277" s="103"/>
      <c r="H277" s="103"/>
      <c r="I277" s="104"/>
      <c r="J277" s="101"/>
      <c r="K277" s="101"/>
      <c r="M277" s="51"/>
      <c r="N277" s="51"/>
      <c r="O277" s="51"/>
      <c r="P277" s="51"/>
      <c r="Q277" s="51"/>
      <c r="R277" s="36"/>
      <c r="S277" s="51"/>
      <c r="T277" s="59"/>
      <c r="U277" s="112"/>
      <c r="V277" s="39"/>
      <c r="W277" s="39"/>
      <c r="X277" s="40"/>
      <c r="Y277" s="39"/>
      <c r="Z277" s="41"/>
      <c r="AA277" s="41"/>
      <c r="AB277" s="51"/>
      <c r="AC277" s="51"/>
      <c r="AD277" s="51"/>
      <c r="AE277" s="51"/>
      <c r="AF277" s="51"/>
      <c r="AG277" s="51"/>
      <c r="AH277" s="51"/>
      <c r="AI277" s="106"/>
      <c r="AJ277" s="61"/>
      <c r="AK277" s="106"/>
      <c r="AL277" s="61"/>
      <c r="AM277" s="107"/>
      <c r="AN277" s="99"/>
      <c r="AO277" s="99"/>
      <c r="AP277" s="51"/>
      <c r="AQ277" s="51"/>
      <c r="AR277" s="51"/>
      <c r="AS277" s="101"/>
      <c r="AT277" s="101"/>
      <c r="AU277" s="51"/>
      <c r="AV277" s="51"/>
      <c r="AW277" s="51"/>
      <c r="AX277" s="51"/>
      <c r="AY277" s="106"/>
      <c r="AZ277" s="106"/>
      <c r="BA277" s="106"/>
      <c r="BB277" s="106"/>
      <c r="BC277" s="38"/>
      <c r="BD277" s="38"/>
      <c r="BE277" s="34"/>
      <c r="BF277" s="51"/>
      <c r="BG277" s="36"/>
      <c r="BH277" s="51"/>
      <c r="BI277" s="99"/>
      <c r="BJ277" s="99"/>
      <c r="BK277" s="51"/>
      <c r="BL277" s="51"/>
      <c r="BM277" s="51"/>
      <c r="BN277" s="51"/>
      <c r="BO277" s="99"/>
      <c r="BP277" s="99"/>
      <c r="BQ277" s="99"/>
      <c r="BR277" s="99"/>
      <c r="BS277" s="51"/>
      <c r="BT277" s="99"/>
      <c r="BU277" s="99"/>
      <c r="BV277" s="99"/>
      <c r="BW277" s="51"/>
      <c r="BX277" s="51"/>
      <c r="BY277" s="100"/>
      <c r="BZ277" s="100"/>
      <c r="CA277" s="36"/>
      <c r="CB277" s="36"/>
      <c r="CC277" s="51"/>
      <c r="CD277" s="36"/>
      <c r="CE277" s="36"/>
      <c r="CF277" s="36"/>
      <c r="CG277" s="36"/>
      <c r="CH277" s="51"/>
      <c r="CI277" s="36"/>
      <c r="CJ277" s="36"/>
      <c r="CK277" s="36"/>
      <c r="CL277" s="36"/>
      <c r="CM277" s="51"/>
      <c r="CN277" s="36"/>
      <c r="CO277" s="36"/>
      <c r="CP277" s="36"/>
      <c r="CQ277" s="36"/>
      <c r="CR277" s="51"/>
      <c r="CS277" s="36"/>
      <c r="CT277" s="36"/>
      <c r="CU277" s="36"/>
      <c r="CV277" s="36"/>
      <c r="CW277" s="51"/>
      <c r="CX277" s="36"/>
      <c r="CY277" s="36"/>
      <c r="CZ277" s="36"/>
      <c r="DA277" s="36"/>
      <c r="DB277" s="51"/>
      <c r="DC277" s="36"/>
      <c r="DD277" s="36"/>
      <c r="DE277" s="36"/>
      <c r="DF277" s="36"/>
      <c r="DG277" s="51"/>
      <c r="DH277" s="36"/>
      <c r="DI277" s="36"/>
      <c r="DJ277" s="36"/>
      <c r="DK277" s="36"/>
      <c r="DL277" s="51"/>
      <c r="DM277" s="51"/>
      <c r="DN277" s="51"/>
    </row>
    <row r="278" spans="1:118" ht="15.75" customHeight="1">
      <c r="A278" s="171"/>
      <c r="B278" s="51"/>
      <c r="C278" s="99"/>
      <c r="D278" s="101"/>
      <c r="E278" s="102"/>
      <c r="F278" s="51"/>
      <c r="G278" s="103"/>
      <c r="H278" s="103"/>
      <c r="I278" s="104"/>
      <c r="J278" s="101"/>
      <c r="K278" s="101"/>
      <c r="M278" s="51"/>
      <c r="N278" s="51"/>
      <c r="O278" s="51"/>
      <c r="P278" s="51"/>
      <c r="Q278" s="51"/>
      <c r="R278" s="36"/>
      <c r="S278" s="51"/>
      <c r="T278" s="59"/>
      <c r="U278" s="112"/>
      <c r="V278" s="39"/>
      <c r="W278" s="39"/>
      <c r="X278" s="40"/>
      <c r="Y278" s="39"/>
      <c r="Z278" s="41"/>
      <c r="AA278" s="41"/>
      <c r="AB278" s="51"/>
      <c r="AC278" s="51"/>
      <c r="AD278" s="51"/>
      <c r="AE278" s="51"/>
      <c r="AF278" s="51"/>
      <c r="AG278" s="51"/>
      <c r="AH278" s="51"/>
      <c r="AI278" s="106"/>
      <c r="AJ278" s="61"/>
      <c r="AK278" s="106"/>
      <c r="AL278" s="61"/>
      <c r="AM278" s="107"/>
      <c r="AN278" s="99"/>
      <c r="AO278" s="99"/>
      <c r="AP278" s="51"/>
      <c r="AQ278" s="51"/>
      <c r="AR278" s="51"/>
      <c r="AS278" s="101"/>
      <c r="AT278" s="101"/>
      <c r="AU278" s="51"/>
      <c r="AV278" s="51"/>
      <c r="AW278" s="51"/>
      <c r="AX278" s="51"/>
      <c r="AY278" s="106"/>
      <c r="AZ278" s="106"/>
      <c r="BA278" s="106"/>
      <c r="BB278" s="106"/>
      <c r="BC278" s="38"/>
      <c r="BD278" s="38"/>
      <c r="BE278" s="34"/>
      <c r="BF278" s="51"/>
      <c r="BG278" s="36"/>
      <c r="BH278" s="51"/>
      <c r="BI278" s="99"/>
      <c r="BJ278" s="99"/>
      <c r="BK278" s="51"/>
      <c r="BL278" s="51"/>
      <c r="BM278" s="51"/>
      <c r="BN278" s="51"/>
      <c r="BO278" s="99"/>
      <c r="BP278" s="99"/>
      <c r="BQ278" s="99"/>
      <c r="BR278" s="99"/>
      <c r="BS278" s="51"/>
      <c r="BT278" s="99"/>
      <c r="BU278" s="99"/>
      <c r="BV278" s="99"/>
      <c r="BW278" s="51"/>
      <c r="BX278" s="51"/>
      <c r="BY278" s="100"/>
      <c r="BZ278" s="100"/>
      <c r="CA278" s="36"/>
      <c r="CB278" s="36"/>
      <c r="CC278" s="51"/>
      <c r="CD278" s="36"/>
      <c r="CE278" s="36"/>
      <c r="CF278" s="36"/>
      <c r="CG278" s="36"/>
      <c r="CH278" s="51"/>
      <c r="CI278" s="36"/>
      <c r="CJ278" s="36"/>
      <c r="CK278" s="36"/>
      <c r="CL278" s="36"/>
      <c r="CM278" s="51"/>
      <c r="CN278" s="36"/>
      <c r="CO278" s="36"/>
      <c r="CP278" s="36"/>
      <c r="CQ278" s="36"/>
      <c r="CR278" s="51"/>
      <c r="CS278" s="36"/>
      <c r="CT278" s="36"/>
      <c r="CU278" s="36"/>
      <c r="CV278" s="36"/>
      <c r="CW278" s="51"/>
      <c r="CX278" s="36"/>
      <c r="CY278" s="36"/>
      <c r="CZ278" s="36"/>
      <c r="DA278" s="36"/>
      <c r="DB278" s="51"/>
      <c r="DC278" s="36"/>
      <c r="DD278" s="36"/>
      <c r="DE278" s="36"/>
      <c r="DF278" s="36"/>
      <c r="DG278" s="51"/>
      <c r="DH278" s="36"/>
      <c r="DI278" s="36"/>
      <c r="DJ278" s="36"/>
      <c r="DK278" s="36"/>
      <c r="DL278" s="51"/>
      <c r="DM278" s="51"/>
      <c r="DN278" s="51"/>
    </row>
    <row r="279" spans="1:118" ht="15.75" customHeight="1">
      <c r="A279" s="171"/>
      <c r="B279" s="51"/>
      <c r="C279" s="99"/>
      <c r="D279" s="101"/>
      <c r="E279" s="102"/>
      <c r="F279" s="51"/>
      <c r="G279" s="103"/>
      <c r="H279" s="103"/>
      <c r="I279" s="104"/>
      <c r="J279" s="101"/>
      <c r="K279" s="101"/>
      <c r="M279" s="51"/>
      <c r="N279" s="51"/>
      <c r="O279" s="51"/>
      <c r="P279" s="51"/>
      <c r="Q279" s="51"/>
      <c r="R279" s="36"/>
      <c r="S279" s="51"/>
      <c r="T279" s="59"/>
      <c r="U279" s="112"/>
      <c r="V279" s="39"/>
      <c r="W279" s="39"/>
      <c r="X279" s="40"/>
      <c r="Y279" s="39"/>
      <c r="Z279" s="41"/>
      <c r="AA279" s="41"/>
      <c r="AB279" s="51"/>
      <c r="AC279" s="51"/>
      <c r="AD279" s="51"/>
      <c r="AE279" s="51"/>
      <c r="AF279" s="51"/>
      <c r="AG279" s="51"/>
      <c r="AH279" s="51"/>
      <c r="AI279" s="106"/>
      <c r="AJ279" s="61"/>
      <c r="AK279" s="106"/>
      <c r="AL279" s="61"/>
      <c r="AM279" s="107"/>
      <c r="AN279" s="99"/>
      <c r="AO279" s="99"/>
      <c r="AP279" s="51"/>
      <c r="AQ279" s="51"/>
      <c r="AR279" s="51"/>
      <c r="AS279" s="101"/>
      <c r="AT279" s="101"/>
      <c r="AU279" s="51"/>
      <c r="AV279" s="51"/>
      <c r="AW279" s="51"/>
      <c r="AX279" s="51"/>
      <c r="AY279" s="106"/>
      <c r="AZ279" s="106"/>
      <c r="BA279" s="106"/>
      <c r="BB279" s="106"/>
      <c r="BC279" s="38"/>
      <c r="BD279" s="38"/>
      <c r="BE279" s="34"/>
      <c r="BF279" s="51"/>
      <c r="BG279" s="36"/>
      <c r="BH279" s="51"/>
      <c r="BI279" s="99"/>
      <c r="BJ279" s="99"/>
      <c r="BK279" s="51"/>
      <c r="BL279" s="51"/>
      <c r="BM279" s="51"/>
      <c r="BN279" s="51"/>
      <c r="BO279" s="99"/>
      <c r="BP279" s="99"/>
      <c r="BQ279" s="99"/>
      <c r="BR279" s="99"/>
      <c r="BS279" s="51"/>
      <c r="BT279" s="99"/>
      <c r="BU279" s="99"/>
      <c r="BV279" s="99"/>
      <c r="BW279" s="51"/>
      <c r="BX279" s="51"/>
      <c r="BY279" s="100"/>
      <c r="BZ279" s="100"/>
      <c r="CA279" s="36"/>
      <c r="CB279" s="36"/>
      <c r="CC279" s="51"/>
      <c r="CD279" s="36"/>
      <c r="CE279" s="36"/>
      <c r="CF279" s="36"/>
      <c r="CG279" s="36"/>
      <c r="CH279" s="51"/>
      <c r="CI279" s="36"/>
      <c r="CJ279" s="36"/>
      <c r="CK279" s="36"/>
      <c r="CL279" s="36"/>
      <c r="CM279" s="51"/>
      <c r="CN279" s="36"/>
      <c r="CO279" s="36"/>
      <c r="CP279" s="36"/>
      <c r="CQ279" s="36"/>
      <c r="CR279" s="51"/>
      <c r="CS279" s="36"/>
      <c r="CT279" s="36"/>
      <c r="CU279" s="36"/>
      <c r="CV279" s="36"/>
      <c r="CW279" s="51"/>
      <c r="CX279" s="36"/>
      <c r="CY279" s="36"/>
      <c r="CZ279" s="36"/>
      <c r="DA279" s="36"/>
      <c r="DB279" s="51"/>
      <c r="DC279" s="36"/>
      <c r="DD279" s="36"/>
      <c r="DE279" s="36"/>
      <c r="DF279" s="36"/>
      <c r="DG279" s="51"/>
      <c r="DH279" s="36"/>
      <c r="DI279" s="36"/>
      <c r="DJ279" s="36"/>
      <c r="DK279" s="36"/>
      <c r="DL279" s="51"/>
      <c r="DM279" s="51"/>
      <c r="DN279" s="51"/>
    </row>
    <row r="280" spans="1:118" ht="15.75" customHeight="1">
      <c r="A280" s="171"/>
      <c r="B280" s="51"/>
      <c r="C280" s="99"/>
      <c r="D280" s="101"/>
      <c r="E280" s="102"/>
      <c r="F280" s="51"/>
      <c r="G280" s="103"/>
      <c r="H280" s="103"/>
      <c r="I280" s="104"/>
      <c r="J280" s="101"/>
      <c r="K280" s="101"/>
      <c r="M280" s="51"/>
      <c r="N280" s="51"/>
      <c r="O280" s="51"/>
      <c r="P280" s="51"/>
      <c r="Q280" s="51"/>
      <c r="R280" s="36"/>
      <c r="S280" s="51"/>
      <c r="T280" s="59"/>
      <c r="U280" s="112"/>
      <c r="V280" s="39"/>
      <c r="W280" s="39"/>
      <c r="X280" s="40"/>
      <c r="Y280" s="39"/>
      <c r="Z280" s="41"/>
      <c r="AA280" s="41"/>
      <c r="AB280" s="51"/>
      <c r="AC280" s="51"/>
      <c r="AD280" s="51"/>
      <c r="AE280" s="51"/>
      <c r="AF280" s="51"/>
      <c r="AG280" s="51"/>
      <c r="AH280" s="51"/>
      <c r="AI280" s="106"/>
      <c r="AJ280" s="61"/>
      <c r="AK280" s="106"/>
      <c r="AL280" s="61"/>
      <c r="AM280" s="107"/>
      <c r="AN280" s="99"/>
      <c r="AO280" s="99"/>
      <c r="AP280" s="51"/>
      <c r="AQ280" s="51"/>
      <c r="AR280" s="51"/>
      <c r="AS280" s="101"/>
      <c r="AT280" s="101"/>
      <c r="AU280" s="51"/>
      <c r="AV280" s="51"/>
      <c r="AW280" s="51"/>
      <c r="AX280" s="51"/>
      <c r="AY280" s="106"/>
      <c r="AZ280" s="106"/>
      <c r="BA280" s="106"/>
      <c r="BB280" s="106"/>
      <c r="BC280" s="38"/>
      <c r="BD280" s="38"/>
      <c r="BE280" s="34"/>
      <c r="BF280" s="51"/>
      <c r="BG280" s="36"/>
      <c r="BH280" s="51"/>
      <c r="BI280" s="99"/>
      <c r="BJ280" s="99"/>
      <c r="BK280" s="51"/>
      <c r="BL280" s="51"/>
      <c r="BM280" s="51"/>
      <c r="BN280" s="51"/>
      <c r="BO280" s="99"/>
      <c r="BP280" s="99"/>
      <c r="BQ280" s="99"/>
      <c r="BR280" s="99"/>
      <c r="BS280" s="51"/>
      <c r="BT280" s="99"/>
      <c r="BU280" s="99"/>
      <c r="BV280" s="99"/>
      <c r="BW280" s="51"/>
      <c r="BX280" s="51"/>
      <c r="BY280" s="100"/>
      <c r="BZ280" s="100"/>
      <c r="CA280" s="36"/>
      <c r="CB280" s="36"/>
      <c r="CC280" s="51"/>
      <c r="CD280" s="36"/>
      <c r="CE280" s="36"/>
      <c r="CF280" s="36"/>
      <c r="CG280" s="36"/>
      <c r="CH280" s="51"/>
      <c r="CI280" s="36"/>
      <c r="CJ280" s="36"/>
      <c r="CK280" s="36"/>
      <c r="CL280" s="36"/>
      <c r="CM280" s="51"/>
      <c r="CN280" s="36"/>
      <c r="CO280" s="36"/>
      <c r="CP280" s="36"/>
      <c r="CQ280" s="36"/>
      <c r="CR280" s="51"/>
      <c r="CS280" s="36"/>
      <c r="CT280" s="36"/>
      <c r="CU280" s="36"/>
      <c r="CV280" s="36"/>
      <c r="CW280" s="51"/>
      <c r="CX280" s="36"/>
      <c r="CY280" s="36"/>
      <c r="CZ280" s="36"/>
      <c r="DA280" s="36"/>
      <c r="DB280" s="51"/>
      <c r="DC280" s="36"/>
      <c r="DD280" s="36"/>
      <c r="DE280" s="36"/>
      <c r="DF280" s="36"/>
      <c r="DG280" s="51"/>
      <c r="DH280" s="36"/>
      <c r="DI280" s="36"/>
      <c r="DJ280" s="36"/>
      <c r="DK280" s="36"/>
      <c r="DL280" s="51"/>
      <c r="DM280" s="51"/>
      <c r="DN280" s="51"/>
    </row>
    <row r="281" spans="1:118" ht="15.75" customHeight="1">
      <c r="A281" s="171"/>
      <c r="B281" s="51"/>
      <c r="C281" s="99"/>
      <c r="D281" s="101"/>
      <c r="E281" s="102"/>
      <c r="F281" s="51"/>
      <c r="G281" s="103"/>
      <c r="H281" s="103"/>
      <c r="I281" s="104"/>
      <c r="J281" s="101"/>
      <c r="K281" s="101"/>
      <c r="M281" s="51"/>
      <c r="N281" s="51"/>
      <c r="O281" s="51"/>
      <c r="P281" s="51"/>
      <c r="Q281" s="51"/>
      <c r="R281" s="36"/>
      <c r="S281" s="51"/>
      <c r="T281" s="59"/>
      <c r="U281" s="112"/>
      <c r="V281" s="39"/>
      <c r="W281" s="39"/>
      <c r="X281" s="40"/>
      <c r="Y281" s="39"/>
      <c r="Z281" s="41"/>
      <c r="AA281" s="41"/>
      <c r="AB281" s="51"/>
      <c r="AC281" s="51"/>
      <c r="AD281" s="51"/>
      <c r="AE281" s="51"/>
      <c r="AF281" s="51"/>
      <c r="AG281" s="51"/>
      <c r="AH281" s="51"/>
      <c r="AI281" s="106"/>
      <c r="AJ281" s="61"/>
      <c r="AK281" s="106"/>
      <c r="AL281" s="61"/>
      <c r="AM281" s="107"/>
      <c r="AN281" s="99"/>
      <c r="AO281" s="99"/>
      <c r="AP281" s="51"/>
      <c r="AQ281" s="51"/>
      <c r="AR281" s="51"/>
      <c r="AS281" s="101"/>
      <c r="AT281" s="101"/>
      <c r="AU281" s="51"/>
      <c r="AV281" s="51"/>
      <c r="AW281" s="51"/>
      <c r="AX281" s="51"/>
      <c r="AY281" s="106"/>
      <c r="AZ281" s="106"/>
      <c r="BA281" s="106"/>
      <c r="BB281" s="106"/>
      <c r="BC281" s="38"/>
      <c r="BD281" s="38"/>
      <c r="BE281" s="34"/>
      <c r="BF281" s="51"/>
      <c r="BG281" s="36"/>
      <c r="BH281" s="51"/>
      <c r="BI281" s="99"/>
      <c r="BJ281" s="99"/>
      <c r="BK281" s="51"/>
      <c r="BL281" s="51"/>
      <c r="BM281" s="51"/>
      <c r="BN281" s="51"/>
      <c r="BO281" s="99"/>
      <c r="BP281" s="99"/>
      <c r="BQ281" s="99"/>
      <c r="BR281" s="99"/>
      <c r="BS281" s="51"/>
      <c r="BT281" s="99"/>
      <c r="BU281" s="99"/>
      <c r="BV281" s="99"/>
      <c r="BW281" s="51"/>
      <c r="BX281" s="51"/>
      <c r="BY281" s="100"/>
      <c r="BZ281" s="100"/>
      <c r="CA281" s="36"/>
      <c r="CB281" s="36"/>
      <c r="CC281" s="51"/>
      <c r="CD281" s="36"/>
      <c r="CE281" s="36"/>
      <c r="CF281" s="36"/>
      <c r="CG281" s="36"/>
      <c r="CH281" s="51"/>
      <c r="CI281" s="36"/>
      <c r="CJ281" s="36"/>
      <c r="CK281" s="36"/>
      <c r="CL281" s="36"/>
      <c r="CM281" s="51"/>
      <c r="CN281" s="36"/>
      <c r="CO281" s="36"/>
      <c r="CP281" s="36"/>
      <c r="CQ281" s="36"/>
      <c r="CR281" s="51"/>
      <c r="CS281" s="36"/>
      <c r="CT281" s="36"/>
      <c r="CU281" s="36"/>
      <c r="CV281" s="36"/>
      <c r="CW281" s="51"/>
      <c r="CX281" s="36"/>
      <c r="CY281" s="36"/>
      <c r="CZ281" s="36"/>
      <c r="DA281" s="36"/>
      <c r="DB281" s="51"/>
      <c r="DC281" s="36"/>
      <c r="DD281" s="36"/>
      <c r="DE281" s="36"/>
      <c r="DF281" s="36"/>
      <c r="DG281" s="51"/>
      <c r="DH281" s="36"/>
      <c r="DI281" s="36"/>
      <c r="DJ281" s="36"/>
      <c r="DK281" s="36"/>
      <c r="DL281" s="51"/>
      <c r="DM281" s="51"/>
      <c r="DN281" s="51"/>
    </row>
    <row r="282" spans="1:118" ht="15.75" customHeight="1">
      <c r="A282" s="171"/>
      <c r="B282" s="51"/>
      <c r="C282" s="99"/>
      <c r="D282" s="101"/>
      <c r="E282" s="102"/>
      <c r="F282" s="51"/>
      <c r="G282" s="103"/>
      <c r="H282" s="103"/>
      <c r="I282" s="104"/>
      <c r="J282" s="101"/>
      <c r="K282" s="101"/>
      <c r="M282" s="51"/>
      <c r="N282" s="51"/>
      <c r="O282" s="51"/>
      <c r="P282" s="51"/>
      <c r="Q282" s="51"/>
      <c r="R282" s="36"/>
      <c r="S282" s="51"/>
      <c r="T282" s="59"/>
      <c r="U282" s="112"/>
      <c r="V282" s="39"/>
      <c r="W282" s="39"/>
      <c r="X282" s="40"/>
      <c r="Y282" s="39"/>
      <c r="Z282" s="41"/>
      <c r="AA282" s="41"/>
      <c r="AB282" s="51"/>
      <c r="AC282" s="51"/>
      <c r="AD282" s="51"/>
      <c r="AE282" s="51"/>
      <c r="AF282" s="51"/>
      <c r="AG282" s="51"/>
      <c r="AH282" s="51"/>
      <c r="AI282" s="106"/>
      <c r="AJ282" s="61"/>
      <c r="AK282" s="106"/>
      <c r="AL282" s="61"/>
      <c r="AM282" s="107"/>
      <c r="AN282" s="99"/>
      <c r="AO282" s="99"/>
      <c r="AP282" s="51"/>
      <c r="AQ282" s="51"/>
      <c r="AR282" s="51"/>
      <c r="AS282" s="101"/>
      <c r="AT282" s="101"/>
      <c r="AU282" s="51"/>
      <c r="AV282" s="51"/>
      <c r="AW282" s="51"/>
      <c r="AX282" s="51"/>
      <c r="AY282" s="106"/>
      <c r="AZ282" s="106"/>
      <c r="BA282" s="106"/>
      <c r="BB282" s="106"/>
      <c r="BC282" s="38"/>
      <c r="BD282" s="38"/>
      <c r="BE282" s="34"/>
      <c r="BF282" s="51"/>
      <c r="BG282" s="36"/>
      <c r="BH282" s="51"/>
      <c r="BI282" s="99"/>
      <c r="BJ282" s="99"/>
      <c r="BK282" s="51"/>
      <c r="BL282" s="51"/>
      <c r="BM282" s="51"/>
      <c r="BN282" s="51"/>
      <c r="BO282" s="99"/>
      <c r="BP282" s="99"/>
      <c r="BQ282" s="99"/>
      <c r="BR282" s="99"/>
      <c r="BS282" s="51"/>
      <c r="BT282" s="99"/>
      <c r="BU282" s="99"/>
      <c r="BV282" s="99"/>
      <c r="BW282" s="51"/>
      <c r="BX282" s="51"/>
      <c r="BY282" s="100"/>
      <c r="BZ282" s="100"/>
      <c r="CA282" s="36"/>
      <c r="CB282" s="36"/>
      <c r="CC282" s="51"/>
      <c r="CD282" s="36"/>
      <c r="CE282" s="36"/>
      <c r="CF282" s="36"/>
      <c r="CG282" s="36"/>
      <c r="CH282" s="51"/>
      <c r="CI282" s="36"/>
      <c r="CJ282" s="36"/>
      <c r="CK282" s="36"/>
      <c r="CL282" s="36"/>
      <c r="CM282" s="51"/>
      <c r="CN282" s="36"/>
      <c r="CO282" s="36"/>
      <c r="CP282" s="36"/>
      <c r="CQ282" s="36"/>
      <c r="CR282" s="51"/>
      <c r="CS282" s="36"/>
      <c r="CT282" s="36"/>
      <c r="CU282" s="36"/>
      <c r="CV282" s="36"/>
      <c r="CW282" s="51"/>
      <c r="CX282" s="36"/>
      <c r="CY282" s="36"/>
      <c r="CZ282" s="36"/>
      <c r="DA282" s="36"/>
      <c r="DB282" s="51"/>
      <c r="DC282" s="36"/>
      <c r="DD282" s="36"/>
      <c r="DE282" s="36"/>
      <c r="DF282" s="36"/>
      <c r="DG282" s="51"/>
      <c r="DH282" s="36"/>
      <c r="DI282" s="36"/>
      <c r="DJ282" s="36"/>
      <c r="DK282" s="36"/>
      <c r="DL282" s="51"/>
      <c r="DM282" s="51"/>
      <c r="DN282" s="51"/>
    </row>
    <row r="283" spans="1:118" ht="15.75" customHeight="1">
      <c r="A283" s="171"/>
      <c r="B283" s="51"/>
      <c r="C283" s="99"/>
      <c r="D283" s="101"/>
      <c r="E283" s="102"/>
      <c r="F283" s="51"/>
      <c r="G283" s="103"/>
      <c r="H283" s="103"/>
      <c r="I283" s="104"/>
      <c r="J283" s="101"/>
      <c r="K283" s="101"/>
      <c r="M283" s="51"/>
      <c r="N283" s="51"/>
      <c r="O283" s="51"/>
      <c r="P283" s="51"/>
      <c r="Q283" s="51"/>
      <c r="R283" s="36"/>
      <c r="S283" s="51"/>
      <c r="T283" s="59"/>
      <c r="U283" s="112"/>
      <c r="V283" s="39"/>
      <c r="W283" s="39"/>
      <c r="X283" s="40"/>
      <c r="Y283" s="39"/>
      <c r="Z283" s="41"/>
      <c r="AA283" s="41"/>
      <c r="AB283" s="51"/>
      <c r="AC283" s="51"/>
      <c r="AD283" s="51"/>
      <c r="AE283" s="51"/>
      <c r="AF283" s="51"/>
      <c r="AG283" s="51"/>
      <c r="AH283" s="51"/>
      <c r="AI283" s="106"/>
      <c r="AJ283" s="61"/>
      <c r="AK283" s="106"/>
      <c r="AL283" s="61"/>
      <c r="AM283" s="107"/>
      <c r="AN283" s="99"/>
      <c r="AO283" s="99"/>
      <c r="AP283" s="51"/>
      <c r="AQ283" s="51"/>
      <c r="AR283" s="51"/>
      <c r="AS283" s="101"/>
      <c r="AT283" s="101"/>
      <c r="AU283" s="51"/>
      <c r="AV283" s="51"/>
      <c r="AW283" s="51"/>
      <c r="AX283" s="51"/>
      <c r="AY283" s="106"/>
      <c r="AZ283" s="106"/>
      <c r="BA283" s="106"/>
      <c r="BB283" s="106"/>
      <c r="BC283" s="38"/>
      <c r="BD283" s="38"/>
      <c r="BE283" s="34"/>
      <c r="BF283" s="51"/>
      <c r="BG283" s="36"/>
      <c r="BH283" s="51"/>
      <c r="BI283" s="99"/>
      <c r="BJ283" s="99"/>
      <c r="BK283" s="51"/>
      <c r="BL283" s="51"/>
      <c r="BM283" s="51"/>
      <c r="BN283" s="51"/>
      <c r="BO283" s="99"/>
      <c r="BP283" s="99"/>
      <c r="BQ283" s="99"/>
      <c r="BR283" s="99"/>
      <c r="BS283" s="51"/>
      <c r="BT283" s="99"/>
      <c r="BU283" s="99"/>
      <c r="BV283" s="99"/>
      <c r="BW283" s="51"/>
      <c r="BX283" s="51"/>
      <c r="BY283" s="100"/>
      <c r="BZ283" s="100"/>
      <c r="CA283" s="36"/>
      <c r="CB283" s="36"/>
      <c r="CC283" s="51"/>
      <c r="CD283" s="36"/>
      <c r="CE283" s="36"/>
      <c r="CF283" s="36"/>
      <c r="CG283" s="36"/>
      <c r="CH283" s="51"/>
      <c r="CI283" s="36"/>
      <c r="CJ283" s="36"/>
      <c r="CK283" s="36"/>
      <c r="CL283" s="36"/>
      <c r="CM283" s="51"/>
      <c r="CN283" s="36"/>
      <c r="CO283" s="36"/>
      <c r="CP283" s="36"/>
      <c r="CQ283" s="36"/>
      <c r="CR283" s="51"/>
      <c r="CS283" s="36"/>
      <c r="CT283" s="36"/>
      <c r="CU283" s="36"/>
      <c r="CV283" s="36"/>
      <c r="CW283" s="51"/>
      <c r="CX283" s="36"/>
      <c r="CY283" s="36"/>
      <c r="CZ283" s="36"/>
      <c r="DA283" s="36"/>
      <c r="DB283" s="51"/>
      <c r="DC283" s="36"/>
      <c r="DD283" s="36"/>
      <c r="DE283" s="36"/>
      <c r="DF283" s="36"/>
      <c r="DG283" s="51"/>
      <c r="DH283" s="36"/>
      <c r="DI283" s="36"/>
      <c r="DJ283" s="36"/>
      <c r="DK283" s="36"/>
      <c r="DL283" s="51"/>
      <c r="DM283" s="51"/>
      <c r="DN283" s="51"/>
    </row>
    <row r="284" spans="1:118" ht="15.75" customHeight="1">
      <c r="A284" s="171"/>
      <c r="B284" s="51"/>
      <c r="C284" s="99"/>
      <c r="D284" s="101"/>
      <c r="E284" s="102"/>
      <c r="F284" s="51"/>
      <c r="G284" s="103"/>
      <c r="H284" s="103"/>
      <c r="I284" s="104"/>
      <c r="J284" s="101"/>
      <c r="K284" s="101"/>
      <c r="M284" s="51"/>
      <c r="N284" s="51"/>
      <c r="O284" s="51"/>
      <c r="P284" s="51"/>
      <c r="Q284" s="51"/>
      <c r="R284" s="36"/>
      <c r="S284" s="51"/>
      <c r="T284" s="59"/>
      <c r="U284" s="112"/>
      <c r="V284" s="39"/>
      <c r="W284" s="39"/>
      <c r="X284" s="40"/>
      <c r="Y284" s="39"/>
      <c r="Z284" s="41"/>
      <c r="AA284" s="41"/>
      <c r="AB284" s="51"/>
      <c r="AC284" s="51"/>
      <c r="AD284" s="51"/>
      <c r="AE284" s="51"/>
      <c r="AF284" s="51"/>
      <c r="AG284" s="51"/>
      <c r="AH284" s="51"/>
      <c r="AI284" s="106"/>
      <c r="AJ284" s="61"/>
      <c r="AK284" s="106"/>
      <c r="AL284" s="61"/>
      <c r="AM284" s="107"/>
      <c r="AN284" s="99"/>
      <c r="AO284" s="99"/>
      <c r="AP284" s="51"/>
      <c r="AQ284" s="51"/>
      <c r="AR284" s="51"/>
      <c r="AS284" s="101"/>
      <c r="AT284" s="101"/>
      <c r="AU284" s="51"/>
      <c r="AV284" s="51"/>
      <c r="AW284" s="51"/>
      <c r="AX284" s="51"/>
      <c r="AY284" s="106"/>
      <c r="AZ284" s="106"/>
      <c r="BA284" s="106"/>
      <c r="BB284" s="106"/>
      <c r="BC284" s="38"/>
      <c r="BD284" s="38"/>
      <c r="BE284" s="34"/>
      <c r="BF284" s="51"/>
      <c r="BG284" s="36"/>
      <c r="BH284" s="51"/>
      <c r="BI284" s="99"/>
      <c r="BJ284" s="99"/>
      <c r="BK284" s="51"/>
      <c r="BL284" s="51"/>
      <c r="BM284" s="51"/>
      <c r="BN284" s="51"/>
      <c r="BO284" s="99"/>
      <c r="BP284" s="99"/>
      <c r="BQ284" s="99"/>
      <c r="BR284" s="99"/>
      <c r="BS284" s="51"/>
      <c r="BT284" s="99"/>
      <c r="BU284" s="99"/>
      <c r="BV284" s="99"/>
      <c r="BW284" s="51"/>
      <c r="BX284" s="51"/>
      <c r="BY284" s="100"/>
      <c r="BZ284" s="100"/>
      <c r="CA284" s="36"/>
      <c r="CB284" s="36"/>
      <c r="CC284" s="51"/>
      <c r="CD284" s="36"/>
      <c r="CE284" s="36"/>
      <c r="CF284" s="36"/>
      <c r="CG284" s="36"/>
      <c r="CH284" s="51"/>
      <c r="CI284" s="36"/>
      <c r="CJ284" s="36"/>
      <c r="CK284" s="36"/>
      <c r="CL284" s="36"/>
      <c r="CM284" s="51"/>
      <c r="CN284" s="36"/>
      <c r="CO284" s="36"/>
      <c r="CP284" s="36"/>
      <c r="CQ284" s="36"/>
      <c r="CR284" s="51"/>
      <c r="CS284" s="36"/>
      <c r="CT284" s="36"/>
      <c r="CU284" s="36"/>
      <c r="CV284" s="36"/>
      <c r="CW284" s="51"/>
      <c r="CX284" s="36"/>
      <c r="CY284" s="36"/>
      <c r="CZ284" s="36"/>
      <c r="DA284" s="36"/>
      <c r="DB284" s="51"/>
      <c r="DC284" s="36"/>
      <c r="DD284" s="36"/>
      <c r="DE284" s="36"/>
      <c r="DF284" s="36"/>
      <c r="DG284" s="51"/>
      <c r="DH284" s="36"/>
      <c r="DI284" s="36"/>
      <c r="DJ284" s="36"/>
      <c r="DK284" s="36"/>
      <c r="DL284" s="51"/>
      <c r="DM284" s="51"/>
      <c r="DN284" s="51"/>
    </row>
    <row r="285" spans="1:118" ht="15.75" customHeight="1">
      <c r="A285" s="171"/>
      <c r="B285" s="51"/>
      <c r="C285" s="99"/>
      <c r="D285" s="101"/>
      <c r="E285" s="102"/>
      <c r="F285" s="51"/>
      <c r="G285" s="103"/>
      <c r="H285" s="103"/>
      <c r="I285" s="104"/>
      <c r="J285" s="101"/>
      <c r="K285" s="101"/>
      <c r="M285" s="51"/>
      <c r="N285" s="51"/>
      <c r="O285" s="51"/>
      <c r="P285" s="51"/>
      <c r="Q285" s="51"/>
      <c r="R285" s="36"/>
      <c r="S285" s="51"/>
      <c r="T285" s="59"/>
      <c r="U285" s="112"/>
      <c r="V285" s="39"/>
      <c r="W285" s="39"/>
      <c r="X285" s="40"/>
      <c r="Y285" s="39"/>
      <c r="Z285" s="41"/>
      <c r="AA285" s="41"/>
      <c r="AB285" s="51"/>
      <c r="AC285" s="51"/>
      <c r="AD285" s="51"/>
      <c r="AE285" s="51"/>
      <c r="AF285" s="51"/>
      <c r="AG285" s="51"/>
      <c r="AH285" s="51"/>
      <c r="AI285" s="106"/>
      <c r="AJ285" s="61"/>
      <c r="AK285" s="106"/>
      <c r="AL285" s="61"/>
      <c r="AM285" s="107"/>
      <c r="AN285" s="99"/>
      <c r="AO285" s="99"/>
      <c r="AP285" s="51"/>
      <c r="AQ285" s="51"/>
      <c r="AR285" s="51"/>
      <c r="AS285" s="101"/>
      <c r="AT285" s="101"/>
      <c r="AU285" s="51"/>
      <c r="AV285" s="51"/>
      <c r="AW285" s="51"/>
      <c r="AX285" s="51"/>
      <c r="AY285" s="106"/>
      <c r="AZ285" s="106"/>
      <c r="BA285" s="106"/>
      <c r="BB285" s="106"/>
      <c r="BC285" s="38"/>
      <c r="BD285" s="38"/>
      <c r="BE285" s="34"/>
      <c r="BF285" s="51"/>
      <c r="BG285" s="36"/>
      <c r="BH285" s="51"/>
      <c r="BI285" s="99"/>
      <c r="BJ285" s="99"/>
      <c r="BK285" s="51"/>
      <c r="BL285" s="51"/>
      <c r="BM285" s="51"/>
      <c r="BN285" s="51"/>
      <c r="BO285" s="99"/>
      <c r="BP285" s="99"/>
      <c r="BQ285" s="99"/>
      <c r="BR285" s="99"/>
      <c r="BS285" s="51"/>
      <c r="BT285" s="99"/>
      <c r="BU285" s="99"/>
      <c r="BV285" s="99"/>
      <c r="BW285" s="51"/>
      <c r="BX285" s="51"/>
      <c r="BY285" s="100"/>
      <c r="BZ285" s="100"/>
      <c r="CA285" s="36"/>
      <c r="CB285" s="36"/>
      <c r="CC285" s="51"/>
      <c r="CD285" s="36"/>
      <c r="CE285" s="36"/>
      <c r="CF285" s="36"/>
      <c r="CG285" s="36"/>
      <c r="CH285" s="51"/>
      <c r="CI285" s="36"/>
      <c r="CJ285" s="36"/>
      <c r="CK285" s="36"/>
      <c r="CL285" s="36"/>
      <c r="CM285" s="51"/>
      <c r="CN285" s="36"/>
      <c r="CO285" s="36"/>
      <c r="CP285" s="36"/>
      <c r="CQ285" s="36"/>
      <c r="CR285" s="51"/>
      <c r="CS285" s="36"/>
      <c r="CT285" s="36"/>
      <c r="CU285" s="36"/>
      <c r="CV285" s="36"/>
      <c r="CW285" s="51"/>
      <c r="CX285" s="36"/>
      <c r="CY285" s="36"/>
      <c r="CZ285" s="36"/>
      <c r="DA285" s="36"/>
      <c r="DB285" s="51"/>
      <c r="DC285" s="36"/>
      <c r="DD285" s="36"/>
      <c r="DE285" s="36"/>
      <c r="DF285" s="36"/>
      <c r="DG285" s="51"/>
      <c r="DH285" s="36"/>
      <c r="DI285" s="36"/>
      <c r="DJ285" s="36"/>
      <c r="DK285" s="36"/>
      <c r="DL285" s="51"/>
      <c r="DM285" s="51"/>
      <c r="DN285" s="51"/>
    </row>
    <row r="286" spans="1:118" ht="15.75" customHeight="1">
      <c r="A286" s="171"/>
      <c r="B286" s="51"/>
      <c r="C286" s="99"/>
      <c r="D286" s="101"/>
      <c r="E286" s="102"/>
      <c r="F286" s="51"/>
      <c r="G286" s="103"/>
      <c r="H286" s="103"/>
      <c r="I286" s="104"/>
      <c r="J286" s="101"/>
      <c r="K286" s="101"/>
      <c r="M286" s="51"/>
      <c r="N286" s="51"/>
      <c r="O286" s="51"/>
      <c r="P286" s="51"/>
      <c r="Q286" s="51"/>
      <c r="R286" s="36"/>
      <c r="S286" s="51"/>
      <c r="T286" s="59"/>
      <c r="U286" s="112"/>
      <c r="V286" s="39"/>
      <c r="W286" s="39"/>
      <c r="X286" s="40"/>
      <c r="Y286" s="39"/>
      <c r="Z286" s="41"/>
      <c r="AA286" s="41"/>
      <c r="AB286" s="51"/>
      <c r="AC286" s="51"/>
      <c r="AD286" s="51"/>
      <c r="AE286" s="51"/>
      <c r="AF286" s="51"/>
      <c r="AG286" s="51"/>
      <c r="AH286" s="51"/>
      <c r="AI286" s="106"/>
      <c r="AJ286" s="61"/>
      <c r="AK286" s="106"/>
      <c r="AL286" s="61"/>
      <c r="AM286" s="107"/>
      <c r="AN286" s="99"/>
      <c r="AO286" s="99"/>
      <c r="AP286" s="51"/>
      <c r="AQ286" s="51"/>
      <c r="AR286" s="51"/>
      <c r="AS286" s="101"/>
      <c r="AT286" s="101"/>
      <c r="AU286" s="51"/>
      <c r="AV286" s="51"/>
      <c r="AW286" s="51"/>
      <c r="AX286" s="51"/>
      <c r="AY286" s="106"/>
      <c r="AZ286" s="106"/>
      <c r="BA286" s="106"/>
      <c r="BB286" s="106"/>
      <c r="BC286" s="38"/>
      <c r="BD286" s="38"/>
      <c r="BE286" s="34"/>
      <c r="BF286" s="51"/>
      <c r="BG286" s="36"/>
      <c r="BH286" s="51"/>
      <c r="BI286" s="99"/>
      <c r="BJ286" s="99"/>
      <c r="BK286" s="51"/>
      <c r="BL286" s="51"/>
      <c r="BM286" s="51"/>
      <c r="BN286" s="51"/>
      <c r="BO286" s="99"/>
      <c r="BP286" s="99"/>
      <c r="BQ286" s="99"/>
      <c r="BR286" s="99"/>
      <c r="BS286" s="51"/>
      <c r="BT286" s="99"/>
      <c r="BU286" s="99"/>
      <c r="BV286" s="99"/>
      <c r="BW286" s="51"/>
      <c r="BX286" s="51"/>
      <c r="BY286" s="100"/>
      <c r="BZ286" s="100"/>
      <c r="CA286" s="36"/>
      <c r="CB286" s="36"/>
      <c r="CC286" s="51"/>
      <c r="CD286" s="36"/>
      <c r="CE286" s="36"/>
      <c r="CF286" s="36"/>
      <c r="CG286" s="36"/>
      <c r="CH286" s="51"/>
      <c r="CI286" s="36"/>
      <c r="CJ286" s="36"/>
      <c r="CK286" s="36"/>
      <c r="CL286" s="36"/>
      <c r="CM286" s="51"/>
      <c r="CN286" s="36"/>
      <c r="CO286" s="36"/>
      <c r="CP286" s="36"/>
      <c r="CQ286" s="36"/>
      <c r="CR286" s="51"/>
      <c r="CS286" s="36"/>
      <c r="CT286" s="36"/>
      <c r="CU286" s="36"/>
      <c r="CV286" s="36"/>
      <c r="CW286" s="51"/>
      <c r="CX286" s="36"/>
      <c r="CY286" s="36"/>
      <c r="CZ286" s="36"/>
      <c r="DA286" s="36"/>
      <c r="DB286" s="51"/>
      <c r="DC286" s="36"/>
      <c r="DD286" s="36"/>
      <c r="DE286" s="36"/>
      <c r="DF286" s="36"/>
      <c r="DG286" s="51"/>
      <c r="DH286" s="36"/>
      <c r="DI286" s="36"/>
      <c r="DJ286" s="36"/>
      <c r="DK286" s="36"/>
      <c r="DL286" s="51"/>
      <c r="DM286" s="51"/>
      <c r="DN286" s="51"/>
    </row>
  </sheetData>
  <autoFilter ref="AN2:AN5" xr:uid="{00000000-0009-0000-0000-000001000000}"/>
  <conditionalFormatting sqref="BC6:BD8">
    <cfRule type="cellIs" dxfId="7" priority="1" operator="equal">
      <formula>0</formula>
    </cfRule>
  </conditionalFormatting>
  <conditionalFormatting sqref="AJ1 AK1:AK8 AL2 AK10:AK286">
    <cfRule type="cellIs" dxfId="6" priority="2" operator="greaterThanOrEqual">
      <formula>10000000000000</formula>
    </cfRule>
  </conditionalFormatting>
  <conditionalFormatting sqref="AY2">
    <cfRule type="cellIs" dxfId="5" priority="3" operator="greaterThanOrEqual">
      <formula>3000000</formula>
    </cfRule>
  </conditionalFormatting>
  <hyperlinks>
    <hyperlink ref="G3" r:id="rId1" xr:uid="{00000000-0004-0000-0100-000000000000}"/>
    <hyperlink ref="H3" r:id="rId2" xr:uid="{00000000-0004-0000-0100-000001000000}"/>
    <hyperlink ref="G4" r:id="rId3" xr:uid="{00000000-0004-0000-0100-000002000000}"/>
    <hyperlink ref="H4" r:id="rId4" xr:uid="{00000000-0004-0000-0100-000003000000}"/>
    <hyperlink ref="G5" r:id="rId5" xr:uid="{00000000-0004-0000-0100-000004000000}"/>
    <hyperlink ref="H5" r:id="rId6" xr:uid="{00000000-0004-0000-0100-000005000000}"/>
    <hyperlink ref="G6" r:id="rId7" xr:uid="{00000000-0004-0000-0100-000006000000}"/>
    <hyperlink ref="H6" r:id="rId8" xr:uid="{00000000-0004-0000-0100-000007000000}"/>
    <hyperlink ref="G7" r:id="rId9" xr:uid="{00000000-0004-0000-0100-000008000000}"/>
    <hyperlink ref="H7" r:id="rId10" xr:uid="{00000000-0004-0000-0100-000009000000}"/>
    <hyperlink ref="G8" r:id="rId11" xr:uid="{00000000-0004-0000-0100-00000A000000}"/>
    <hyperlink ref="H8" r:id="rId12" xr:uid="{00000000-0004-0000-0100-00000B000000}"/>
    <hyperlink ref="G10" r:id="rId13" xr:uid="{00000000-0004-0000-0100-00000C000000}"/>
    <hyperlink ref="H10" r:id="rId14" xr:uid="{00000000-0004-0000-0100-00000D000000}"/>
    <hyperlink ref="G11" r:id="rId15" xr:uid="{00000000-0004-0000-0100-00000E000000}"/>
    <hyperlink ref="H11" r:id="rId16" xr:uid="{00000000-0004-0000-0100-00000F000000}"/>
    <hyperlink ref="G12" r:id="rId17" xr:uid="{00000000-0004-0000-0100-000010000000}"/>
    <hyperlink ref="H12" r:id="rId18" xr:uid="{00000000-0004-0000-0100-000011000000}"/>
    <hyperlink ref="G13" r:id="rId19" xr:uid="{00000000-0004-0000-0100-000012000000}"/>
    <hyperlink ref="H13" r:id="rId20" xr:uid="{00000000-0004-0000-0100-000013000000}"/>
    <hyperlink ref="G14" r:id="rId21" xr:uid="{00000000-0004-0000-0100-000014000000}"/>
    <hyperlink ref="H14" r:id="rId22" xr:uid="{00000000-0004-0000-0100-000015000000}"/>
    <hyperlink ref="G15" r:id="rId23" xr:uid="{00000000-0004-0000-0100-000016000000}"/>
    <hyperlink ref="H15" r:id="rId24" xr:uid="{00000000-0004-0000-0100-000017000000}"/>
    <hyperlink ref="G16" r:id="rId25" xr:uid="{00000000-0004-0000-0100-000018000000}"/>
    <hyperlink ref="H16" r:id="rId26" xr:uid="{00000000-0004-0000-0100-000019000000}"/>
    <hyperlink ref="G17" r:id="rId27" xr:uid="{00000000-0004-0000-0100-00001A000000}"/>
    <hyperlink ref="H17" r:id="rId28" xr:uid="{00000000-0004-0000-0100-00001B000000}"/>
    <hyperlink ref="G18" r:id="rId29" xr:uid="{00000000-0004-0000-0100-00001C000000}"/>
    <hyperlink ref="H18" r:id="rId30" xr:uid="{00000000-0004-0000-0100-00001D000000}"/>
    <hyperlink ref="G19" r:id="rId31" xr:uid="{00000000-0004-0000-0100-00001E000000}"/>
    <hyperlink ref="H19" r:id="rId32" xr:uid="{00000000-0004-0000-0100-00001F000000}"/>
    <hyperlink ref="G20" r:id="rId33" xr:uid="{00000000-0004-0000-0100-000020000000}"/>
    <hyperlink ref="H20" r:id="rId34" xr:uid="{00000000-0004-0000-0100-000021000000}"/>
    <hyperlink ref="G21" r:id="rId35" xr:uid="{00000000-0004-0000-0100-000022000000}"/>
    <hyperlink ref="H21" r:id="rId36" xr:uid="{00000000-0004-0000-0100-000023000000}"/>
    <hyperlink ref="G22" r:id="rId37" xr:uid="{00000000-0004-0000-0100-000024000000}"/>
    <hyperlink ref="H22" r:id="rId38" xr:uid="{00000000-0004-0000-0100-000025000000}"/>
    <hyperlink ref="G23" r:id="rId39" xr:uid="{00000000-0004-0000-0100-000026000000}"/>
    <hyperlink ref="H23" r:id="rId40" xr:uid="{00000000-0004-0000-0100-000027000000}"/>
    <hyperlink ref="G24" r:id="rId41" xr:uid="{00000000-0004-0000-0100-000028000000}"/>
    <hyperlink ref="H24" r:id="rId42" xr:uid="{00000000-0004-0000-0100-000029000000}"/>
    <hyperlink ref="G25" r:id="rId43" xr:uid="{00000000-0004-0000-0100-00002A000000}"/>
    <hyperlink ref="H25" r:id="rId44" xr:uid="{00000000-0004-0000-0100-00002B000000}"/>
    <hyperlink ref="G26" r:id="rId45" xr:uid="{00000000-0004-0000-0100-00002C000000}"/>
    <hyperlink ref="H26" r:id="rId46" xr:uid="{00000000-0004-0000-0100-00002D000000}"/>
    <hyperlink ref="G27" r:id="rId47" xr:uid="{00000000-0004-0000-0100-00002E000000}"/>
    <hyperlink ref="H27" r:id="rId48" xr:uid="{00000000-0004-0000-0100-00002F000000}"/>
    <hyperlink ref="G28" r:id="rId49" xr:uid="{00000000-0004-0000-0100-000030000000}"/>
    <hyperlink ref="H28" r:id="rId50" xr:uid="{00000000-0004-0000-0100-000031000000}"/>
    <hyperlink ref="G29" r:id="rId51" xr:uid="{00000000-0004-0000-0100-000032000000}"/>
    <hyperlink ref="H29" r:id="rId52" xr:uid="{00000000-0004-0000-0100-000033000000}"/>
    <hyperlink ref="G30" r:id="rId53" xr:uid="{00000000-0004-0000-0100-000034000000}"/>
    <hyperlink ref="H30" r:id="rId54" xr:uid="{00000000-0004-0000-0100-000035000000}"/>
    <hyperlink ref="G31" r:id="rId55" xr:uid="{00000000-0004-0000-0100-000036000000}"/>
    <hyperlink ref="H31" r:id="rId56" xr:uid="{00000000-0004-0000-0100-000037000000}"/>
    <hyperlink ref="G32" r:id="rId57" xr:uid="{00000000-0004-0000-0100-000038000000}"/>
    <hyperlink ref="H32" r:id="rId58" xr:uid="{00000000-0004-0000-0100-000039000000}"/>
    <hyperlink ref="G33" r:id="rId59" xr:uid="{00000000-0004-0000-0100-00003A000000}"/>
    <hyperlink ref="H33" r:id="rId60" xr:uid="{00000000-0004-0000-0100-00003B000000}"/>
    <hyperlink ref="G34" r:id="rId61" xr:uid="{00000000-0004-0000-0100-00003C000000}"/>
    <hyperlink ref="H34" r:id="rId62" xr:uid="{00000000-0004-0000-0100-00003D000000}"/>
    <hyperlink ref="G35" r:id="rId63" xr:uid="{00000000-0004-0000-0100-00003E000000}"/>
    <hyperlink ref="H35" r:id="rId64" xr:uid="{00000000-0004-0000-0100-00003F000000}"/>
    <hyperlink ref="G36" r:id="rId65" xr:uid="{00000000-0004-0000-0100-000040000000}"/>
    <hyperlink ref="H36" r:id="rId66" xr:uid="{00000000-0004-0000-0100-000041000000}"/>
    <hyperlink ref="G37" r:id="rId67" xr:uid="{00000000-0004-0000-0100-000042000000}"/>
    <hyperlink ref="H37" r:id="rId68" xr:uid="{00000000-0004-0000-0100-000043000000}"/>
    <hyperlink ref="G38" r:id="rId69" xr:uid="{00000000-0004-0000-0100-000044000000}"/>
    <hyperlink ref="H38" r:id="rId70" xr:uid="{00000000-0004-0000-0100-000045000000}"/>
    <hyperlink ref="G39" r:id="rId71" xr:uid="{00000000-0004-0000-0100-000046000000}"/>
    <hyperlink ref="H39" r:id="rId72" xr:uid="{00000000-0004-0000-0100-000047000000}"/>
    <hyperlink ref="G40" r:id="rId73" xr:uid="{00000000-0004-0000-0100-000048000000}"/>
    <hyperlink ref="H40" r:id="rId74" xr:uid="{00000000-0004-0000-0100-000049000000}"/>
    <hyperlink ref="G41" r:id="rId75" xr:uid="{00000000-0004-0000-0100-00004A000000}"/>
    <hyperlink ref="H41" r:id="rId76" xr:uid="{00000000-0004-0000-0100-00004B000000}"/>
    <hyperlink ref="G42" r:id="rId77" xr:uid="{00000000-0004-0000-0100-00004C000000}"/>
    <hyperlink ref="H42" r:id="rId78" xr:uid="{00000000-0004-0000-0100-00004D000000}"/>
    <hyperlink ref="G43" r:id="rId79" xr:uid="{00000000-0004-0000-0100-00004E000000}"/>
    <hyperlink ref="H43" r:id="rId80" xr:uid="{00000000-0004-0000-0100-00004F000000}"/>
    <hyperlink ref="G44" r:id="rId81" xr:uid="{00000000-0004-0000-0100-000050000000}"/>
    <hyperlink ref="H44" r:id="rId82" xr:uid="{00000000-0004-0000-0100-000051000000}"/>
    <hyperlink ref="G45" r:id="rId83" xr:uid="{00000000-0004-0000-0100-000052000000}"/>
    <hyperlink ref="H45" r:id="rId84" xr:uid="{00000000-0004-0000-0100-000053000000}"/>
    <hyperlink ref="G46" r:id="rId85" xr:uid="{00000000-0004-0000-0100-000054000000}"/>
    <hyperlink ref="H46" r:id="rId86" xr:uid="{00000000-0004-0000-0100-000055000000}"/>
    <hyperlink ref="G47" r:id="rId87" xr:uid="{00000000-0004-0000-0100-000056000000}"/>
    <hyperlink ref="H47" r:id="rId88" xr:uid="{00000000-0004-0000-0100-000057000000}"/>
    <hyperlink ref="G48" r:id="rId89" xr:uid="{00000000-0004-0000-0100-000058000000}"/>
    <hyperlink ref="H48" r:id="rId90" xr:uid="{00000000-0004-0000-0100-000059000000}"/>
    <hyperlink ref="G49" r:id="rId91" xr:uid="{00000000-0004-0000-0100-00005A000000}"/>
    <hyperlink ref="H49" r:id="rId92" xr:uid="{00000000-0004-0000-0100-00005B000000}"/>
    <hyperlink ref="G50" r:id="rId93" xr:uid="{00000000-0004-0000-0100-00005C000000}"/>
    <hyperlink ref="H50" r:id="rId94" xr:uid="{00000000-0004-0000-0100-00005D000000}"/>
    <hyperlink ref="G51" r:id="rId95" xr:uid="{00000000-0004-0000-0100-00005E000000}"/>
    <hyperlink ref="H51" r:id="rId96" xr:uid="{00000000-0004-0000-0100-00005F000000}"/>
    <hyperlink ref="G52" r:id="rId97" xr:uid="{00000000-0004-0000-0100-000060000000}"/>
    <hyperlink ref="H52" r:id="rId98" xr:uid="{00000000-0004-0000-0100-00006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xr:uid="{00000000-0002-0000-0100-000000000000}">
          <x14:formula1>
            <xm:f>Dropdowns!$V$2:$V$16</xm:f>
          </x14:formula1>
          <xm:sqref>AJ3:AJ8 AL3:AL8 AJ10:AJ286 AL10:AL286</xm:sqref>
        </x14:dataValidation>
        <x14:dataValidation type="list" allowBlank="1" xr:uid="{00000000-0002-0000-0100-000001000000}">
          <x14:formula1>
            <xm:f>Dropdowns!$B$2:$B$159</xm:f>
          </x14:formula1>
          <xm:sqref>N3:N8 N10:N286</xm:sqref>
        </x14:dataValidation>
        <x14:dataValidation type="list" allowBlank="1" xr:uid="{00000000-0002-0000-0100-000002000000}">
          <x14:formula1>
            <xm:f>Dropdowns!$U$2:$U$159</xm:f>
          </x14:formula1>
          <xm:sqref>AT3:AT8 AT10:AT286</xm:sqref>
        </x14:dataValidation>
        <x14:dataValidation type="list" allowBlank="1" xr:uid="{00000000-0002-0000-0100-000003000000}">
          <x14:formula1>
            <xm:f>Dropdowns!$A$24:$A$173</xm:f>
          </x14:formula1>
          <xm:sqref>M3:M8 M10:M286</xm:sqref>
        </x14:dataValidation>
        <x14:dataValidation type="list" allowBlank="1" xr:uid="{00000000-0002-0000-0100-000004000000}">
          <x14:formula1>
            <xm:f>Dropdowns!$D$2:$D$159</xm:f>
          </x14:formula1>
          <xm:sqref>P3:P8 P10:P286</xm:sqref>
        </x14:dataValidation>
        <x14:dataValidation type="list" allowBlank="1" xr:uid="{00000000-0002-0000-0100-000005000000}">
          <x14:formula1>
            <xm:f>Dropdowns!$R$2:$R$159</xm:f>
          </x14:formula1>
          <xm:sqref>BG3:BG8 BG10:BG286</xm:sqref>
        </x14:dataValidation>
        <x14:dataValidation type="list" allowBlank="1" xr:uid="{00000000-0002-0000-0100-000006000000}">
          <x14:formula1>
            <xm:f>Dropdowns!$N$2:$N$159</xm:f>
          </x14:formula1>
          <xm:sqref>AP3:AP8 AP10:AP286</xm:sqref>
        </x14:dataValidation>
        <x14:dataValidation type="list" allowBlank="1" xr:uid="{00000000-0002-0000-0100-000007000000}">
          <x14:formula1>
            <xm:f>Dropdowns!$O$2:$O$159</xm:f>
          </x14:formula1>
          <xm:sqref>AQ3:AQ8 AQ10:AQ286</xm:sqref>
        </x14:dataValidation>
        <x14:dataValidation type="list" allowBlank="1" xr:uid="{00000000-0002-0000-0100-000008000000}">
          <x14:formula1>
            <xm:f>Dropdowns!$G$2:$G$159</xm:f>
          </x14:formula1>
          <xm:sqref>Q3:R8 Q10:R286</xm:sqref>
        </x14:dataValidation>
        <x14:dataValidation type="list" allowBlank="1" xr:uid="{00000000-0002-0000-0100-000009000000}">
          <x14:formula1>
            <xm:f>Dropdowns!$P$2:$P$159</xm:f>
          </x14:formula1>
          <xm:sqref>AR3:AR8 AR10:AR286</xm:sqref>
        </x14:dataValidation>
        <x14:dataValidation type="list" allowBlank="1" xr:uid="{00000000-0002-0000-0100-00000A000000}">
          <x14:formula1>
            <xm:f>Dropdowns!$Q$2:$Q$159</xm:f>
          </x14:formula1>
          <xm:sqref>BF3:BF8 BF10:BF286</xm:sqref>
        </x14:dataValidation>
        <x14:dataValidation type="list" allowBlank="1" xr:uid="{00000000-0002-0000-0100-00000B000000}">
          <x14:formula1>
            <xm:f>Dropdowns!$S$2:$S$159</xm:f>
          </x14:formula1>
          <xm:sqref>F3:F8 F10:F286</xm:sqref>
        </x14:dataValidation>
        <x14:dataValidation type="list" allowBlank="1" xr:uid="{00000000-0002-0000-0100-00000C000000}">
          <x14:formula1>
            <xm:f>Dropdowns!$J$2:$J$159</xm:f>
          </x14:formula1>
          <xm:sqref>AD3:AD8 AD10:AD286</xm:sqref>
        </x14:dataValidation>
        <x14:dataValidation type="list" allowBlank="1" xr:uid="{00000000-0002-0000-0100-00000D000000}">
          <x14:formula1>
            <xm:f>Dropdowns!$L$2:$L$159</xm:f>
          </x14:formula1>
          <xm:sqref>AG3:AG8 AG10:AG286</xm:sqref>
        </x14:dataValidation>
        <x14:dataValidation type="list" allowBlank="1" xr:uid="{00000000-0002-0000-0100-00000E000000}">
          <x14:formula1>
            <xm:f>Dropdowns!$C$2:$C$149</xm:f>
          </x14:formula1>
          <xm:sqref>O3:O8 O10:O286</xm:sqref>
        </x14:dataValidation>
        <x14:dataValidation type="list" allowBlank="1" xr:uid="{00000000-0002-0000-0100-00000F000000}">
          <x14:formula1>
            <xm:f>Dropdowns!$F$2:$F$159</xm:f>
          </x14:formula1>
          <xm:sqref>S3:S8 S10:S286</xm:sqref>
        </x14:dataValidation>
        <x14:dataValidation type="list" allowBlank="1" xr:uid="{00000000-0002-0000-0100-000010000000}">
          <x14:formula1>
            <xm:f>Dropdowns!$K$2:$K$159</xm:f>
          </x14:formula1>
          <xm:sqref>AF3:AF8 AF10:AF286</xm:sqref>
        </x14:dataValidation>
        <x14:dataValidation type="list" allowBlank="1" xr:uid="{00000000-0002-0000-0100-000011000000}">
          <x14:formula1>
            <xm:f>Dropdowns!$I$2:$I$159</xm:f>
          </x14:formula1>
          <xm:sqref>AC3:AC8 AC10:AC286</xm:sqref>
        </x14:dataValidation>
        <x14:dataValidation type="list" allowBlank="1" xr:uid="{00000000-0002-0000-0100-000012000000}">
          <x14:formula1>
            <xm:f>Dropdowns!$T$2:$T$159</xm:f>
          </x14:formula1>
          <xm:sqref>AS3:AS8 AS10:AS286</xm:sqref>
        </x14:dataValidation>
        <x14:dataValidation type="list" allowBlank="1" xr:uid="{00000000-0002-0000-0100-000013000000}">
          <x14:formula1>
            <xm:f>Dropdowns!$H$2:$H$159</xm:f>
          </x14:formula1>
          <xm:sqref>Y3:Y8 AB3:AB8 Y10:Y286 AB10:AB286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72"/>
  <sheetViews>
    <sheetView workbookViewId="0"/>
  </sheetViews>
  <sheetFormatPr defaultColWidth="14.44140625" defaultRowHeight="15.75" customHeight="1"/>
  <cols>
    <col min="1" max="1" width="42.5546875" customWidth="1"/>
    <col min="2" max="2" width="19.109375" customWidth="1"/>
    <col min="3" max="3" width="20.44140625" customWidth="1"/>
    <col min="4" max="5" width="20.88671875" customWidth="1"/>
    <col min="6" max="6" width="26.88671875" customWidth="1"/>
    <col min="7" max="7" width="31.44140625" customWidth="1"/>
    <col min="8" max="8" width="36.6640625" customWidth="1"/>
    <col min="9" max="9" width="39.6640625" customWidth="1"/>
    <col min="10" max="10" width="35.88671875" customWidth="1"/>
    <col min="11" max="11" width="34.44140625" customWidth="1"/>
    <col min="12" max="12" width="42" customWidth="1"/>
    <col min="13" max="13" width="43.6640625" customWidth="1"/>
    <col min="14" max="15" width="46.33203125" customWidth="1"/>
    <col min="16" max="16" width="41.5546875" customWidth="1"/>
    <col min="17" max="17" width="45.6640625" customWidth="1"/>
    <col min="18" max="18" width="49.33203125" customWidth="1"/>
    <col min="19" max="19" width="19.109375" customWidth="1"/>
    <col min="20" max="20" width="15.109375" customWidth="1"/>
    <col min="21" max="21" width="25.5546875" customWidth="1"/>
    <col min="22" max="22" width="28.88671875" customWidth="1"/>
    <col min="23" max="24" width="7.6640625" customWidth="1"/>
    <col min="25" max="25" width="27.88671875" customWidth="1"/>
    <col min="26" max="27" width="9.44140625" customWidth="1"/>
    <col min="28" max="28" width="27.88671875" customWidth="1"/>
    <col min="29" max="30" width="9.33203125" customWidth="1"/>
    <col min="31" max="31" width="27.88671875" customWidth="1"/>
    <col min="32" max="32" width="9.109375" customWidth="1"/>
    <col min="33" max="33" width="9.6640625" customWidth="1"/>
    <col min="34" max="34" width="27.88671875" customWidth="1"/>
    <col min="35" max="36" width="9.88671875" customWidth="1"/>
    <col min="37" max="37" width="27.88671875" customWidth="1"/>
    <col min="38" max="39" width="8.6640625" customWidth="1"/>
    <col min="40" max="40" width="27.88671875" customWidth="1"/>
    <col min="41" max="42" width="9" customWidth="1"/>
    <col min="43" max="45" width="27.88671875" customWidth="1"/>
  </cols>
  <sheetData>
    <row r="1" spans="1:4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9" t="s">
        <v>21</v>
      </c>
      <c r="X1" s="11"/>
      <c r="Y1" s="9" t="s">
        <v>22</v>
      </c>
      <c r="Z1" s="11"/>
      <c r="AA1" s="11"/>
      <c r="AB1" s="9" t="s">
        <v>23</v>
      </c>
      <c r="AC1" s="11"/>
      <c r="AD1" s="11"/>
      <c r="AE1" s="9" t="s">
        <v>24</v>
      </c>
      <c r="AF1" s="11"/>
      <c r="AG1" s="11"/>
      <c r="AH1" s="9" t="s">
        <v>25</v>
      </c>
      <c r="AI1" s="11"/>
      <c r="AJ1" s="11"/>
      <c r="AK1" s="9" t="s">
        <v>26</v>
      </c>
      <c r="AL1" s="11"/>
      <c r="AM1" s="11"/>
      <c r="AN1" s="9" t="s">
        <v>27</v>
      </c>
      <c r="AO1" s="11"/>
      <c r="AP1" s="11"/>
      <c r="AQ1" s="11"/>
      <c r="AR1" s="11"/>
      <c r="AS1" s="11"/>
    </row>
    <row r="2" spans="1:45" ht="15.75" customHeight="1">
      <c r="A2" s="16" t="s">
        <v>28</v>
      </c>
      <c r="B2" s="17" t="s">
        <v>29</v>
      </c>
      <c r="C2" s="17" t="s">
        <v>30</v>
      </c>
      <c r="D2" s="17" t="s">
        <v>31</v>
      </c>
      <c r="E2" s="17" t="s">
        <v>32</v>
      </c>
      <c r="F2" s="17" t="s">
        <v>34</v>
      </c>
      <c r="G2" s="17" t="s">
        <v>35</v>
      </c>
      <c r="H2" s="17" t="s">
        <v>36</v>
      </c>
      <c r="I2" s="17" t="s">
        <v>37</v>
      </c>
      <c r="J2" s="17" t="s">
        <v>38</v>
      </c>
      <c r="K2" s="19" t="s">
        <v>39</v>
      </c>
      <c r="L2" s="19" t="s">
        <v>39</v>
      </c>
      <c r="M2" s="19" t="s">
        <v>39</v>
      </c>
      <c r="N2" s="19" t="s">
        <v>39</v>
      </c>
      <c r="O2" s="19" t="s">
        <v>39</v>
      </c>
      <c r="P2" s="17" t="s">
        <v>42</v>
      </c>
      <c r="Q2" s="17" t="s">
        <v>43</v>
      </c>
      <c r="R2" s="17" t="s">
        <v>44</v>
      </c>
      <c r="S2" s="17" t="s">
        <v>46</v>
      </c>
      <c r="T2" s="19" t="s">
        <v>39</v>
      </c>
      <c r="U2" s="19" t="s">
        <v>39</v>
      </c>
      <c r="V2" s="21" t="s">
        <v>50</v>
      </c>
      <c r="W2" s="16">
        <v>15</v>
      </c>
      <c r="X2" s="11">
        <f t="shared" ref="X2:X16" si="0">ROUND(1+((W2-MIN($W$2:$W$16))*(4)/(MAX($W$2:$W$16) - MIN($W$2:$W$16))),1)</f>
        <v>5</v>
      </c>
      <c r="Y2" s="27" t="s">
        <v>140</v>
      </c>
      <c r="Z2" s="28">
        <v>1</v>
      </c>
      <c r="AA2" s="11">
        <f t="shared" ref="AA2:AA7" si="1">ROUND(1+((Z2-MIN($Z$2:$Z$8))*(4)/(MAX($Z$2:$Z$8) - MIN($Z$2:$Z$8))),1)</f>
        <v>1</v>
      </c>
      <c r="AB2" s="16" t="s">
        <v>158</v>
      </c>
      <c r="AC2" s="16">
        <v>22</v>
      </c>
      <c r="AD2">
        <f t="shared" ref="AD2:AD23" si="2">ROUND(1+((AC2-MIN($AC$2:$AC$23))*(4)/(MAX($AC$2:$AC$23) - MIN($AC$2:$AC$23))),1)</f>
        <v>5</v>
      </c>
      <c r="AE2" s="28" t="s">
        <v>162</v>
      </c>
      <c r="AF2" s="28">
        <v>1</v>
      </c>
      <c r="AG2">
        <f t="shared" ref="AG2:AG11" si="3">ROUND(1+((AF2-MIN($AF$2:$AF$11))*(4)/(MAX($AF$2:$AF$11) - MIN($AF$2:$AF$11))),1)</f>
        <v>1</v>
      </c>
      <c r="AH2" s="28" t="s">
        <v>163</v>
      </c>
      <c r="AI2" s="28">
        <v>10</v>
      </c>
      <c r="AJ2">
        <f t="shared" ref="AJ2:AJ11" si="4">ROUND(1+((AI2-MIN($AI$2:$AI$11))*(4)/(MAX($AI$2:$AI$11) - MIN($AI$2:$AI$11))),1)</f>
        <v>5</v>
      </c>
      <c r="AK2" s="28" t="s">
        <v>162</v>
      </c>
      <c r="AL2" s="28">
        <v>1</v>
      </c>
      <c r="AM2">
        <f t="shared" ref="AM2:AM11" si="5">ROUND(1+((AL2-MIN($AL$2:$AL$11))*(4)/(MAX($AL$2:$AL$11) - MIN($AL$2:$AL$11))),1)</f>
        <v>1</v>
      </c>
      <c r="AN2" s="21" t="s">
        <v>169</v>
      </c>
      <c r="AO2" s="16">
        <v>7</v>
      </c>
      <c r="AP2">
        <f t="shared" ref="AP2:AP8" si="6">ROUND(1+((AO2-MIN($AO$2:$AO$8))*(4)/(MAX($AO$2:$AO$8) - MIN($AO$2:$AO$8))),1)</f>
        <v>5</v>
      </c>
    </row>
    <row r="3" spans="1:45" ht="15.75" customHeight="1">
      <c r="A3" s="16" t="s">
        <v>171</v>
      </c>
      <c r="B3" s="17" t="s">
        <v>172</v>
      </c>
      <c r="C3" s="17" t="s">
        <v>173</v>
      </c>
      <c r="D3" s="17" t="s">
        <v>174</v>
      </c>
      <c r="E3" s="17" t="s">
        <v>175</v>
      </c>
      <c r="F3" s="17" t="s">
        <v>176</v>
      </c>
      <c r="G3" s="17" t="s">
        <v>177</v>
      </c>
      <c r="H3" s="17" t="s">
        <v>178</v>
      </c>
      <c r="I3" s="17" t="s">
        <v>179</v>
      </c>
      <c r="J3" s="19" t="s">
        <v>180</v>
      </c>
      <c r="K3" s="17" t="s">
        <v>181</v>
      </c>
      <c r="L3" s="17" t="s">
        <v>181</v>
      </c>
      <c r="M3" s="17" t="s">
        <v>181</v>
      </c>
      <c r="N3" s="17" t="s">
        <v>181</v>
      </c>
      <c r="O3" s="17" t="s">
        <v>181</v>
      </c>
      <c r="P3" s="17" t="s">
        <v>182</v>
      </c>
      <c r="Q3" s="17" t="s">
        <v>183</v>
      </c>
      <c r="R3" s="17" t="s">
        <v>184</v>
      </c>
      <c r="S3" s="17" t="s">
        <v>185</v>
      </c>
      <c r="T3" s="17" t="s">
        <v>181</v>
      </c>
      <c r="U3" s="17" t="s">
        <v>181</v>
      </c>
      <c r="V3" s="21" t="s">
        <v>186</v>
      </c>
      <c r="W3" s="16">
        <v>14</v>
      </c>
      <c r="X3" s="11">
        <f t="shared" si="0"/>
        <v>4.7</v>
      </c>
      <c r="Y3" s="27" t="s">
        <v>187</v>
      </c>
      <c r="Z3" s="28">
        <v>2</v>
      </c>
      <c r="AA3" s="11">
        <f t="shared" si="1"/>
        <v>1.8</v>
      </c>
      <c r="AB3" s="16" t="s">
        <v>188</v>
      </c>
      <c r="AC3" s="16">
        <v>21</v>
      </c>
      <c r="AD3">
        <f t="shared" si="2"/>
        <v>4.8</v>
      </c>
      <c r="AE3" s="28" t="s">
        <v>189</v>
      </c>
      <c r="AF3" s="28">
        <v>2</v>
      </c>
      <c r="AG3">
        <f t="shared" si="3"/>
        <v>1.4</v>
      </c>
      <c r="AH3" s="28" t="s">
        <v>191</v>
      </c>
      <c r="AI3" s="28">
        <v>9</v>
      </c>
      <c r="AJ3">
        <f t="shared" si="4"/>
        <v>4.5999999999999996</v>
      </c>
      <c r="AK3" s="28" t="s">
        <v>189</v>
      </c>
      <c r="AL3" s="28">
        <v>2</v>
      </c>
      <c r="AM3">
        <f t="shared" si="5"/>
        <v>1.4</v>
      </c>
      <c r="AN3" s="21" t="s">
        <v>192</v>
      </c>
      <c r="AO3" s="16">
        <v>6</v>
      </c>
      <c r="AP3">
        <f t="shared" si="6"/>
        <v>4.3</v>
      </c>
    </row>
    <row r="4" spans="1:45" ht="15.75" customHeight="1">
      <c r="A4" s="16" t="s">
        <v>193</v>
      </c>
      <c r="B4" s="43" t="s">
        <v>194</v>
      </c>
      <c r="C4" s="17" t="s">
        <v>196</v>
      </c>
      <c r="D4" s="17" t="s">
        <v>197</v>
      </c>
      <c r="E4" s="17" t="s">
        <v>198</v>
      </c>
      <c r="F4" s="19" t="s">
        <v>170</v>
      </c>
      <c r="G4" s="17" t="s">
        <v>199</v>
      </c>
      <c r="H4" s="17"/>
      <c r="I4" s="17" t="s">
        <v>200</v>
      </c>
      <c r="J4" s="17"/>
      <c r="K4" s="17"/>
      <c r="L4" s="17"/>
      <c r="M4" s="17"/>
      <c r="N4" s="17"/>
      <c r="O4" s="17"/>
      <c r="P4" s="17" t="s">
        <v>201</v>
      </c>
      <c r="Q4" s="17" t="s">
        <v>202</v>
      </c>
      <c r="R4" s="17" t="s">
        <v>203</v>
      </c>
      <c r="S4" s="17" t="s">
        <v>204</v>
      </c>
      <c r="V4" s="21" t="s">
        <v>205</v>
      </c>
      <c r="W4" s="16">
        <v>13</v>
      </c>
      <c r="X4" s="11">
        <f t="shared" si="0"/>
        <v>4.4000000000000004</v>
      </c>
      <c r="Y4" s="27" t="s">
        <v>206</v>
      </c>
      <c r="Z4" s="28">
        <v>3</v>
      </c>
      <c r="AA4" s="11">
        <f t="shared" si="1"/>
        <v>2.6</v>
      </c>
      <c r="AB4" s="16" t="s">
        <v>208</v>
      </c>
      <c r="AC4" s="16">
        <v>20</v>
      </c>
      <c r="AD4">
        <f t="shared" si="2"/>
        <v>4.5999999999999996</v>
      </c>
      <c r="AE4" s="28" t="s">
        <v>209</v>
      </c>
      <c r="AF4" s="28">
        <v>3</v>
      </c>
      <c r="AG4">
        <f t="shared" si="3"/>
        <v>1.9</v>
      </c>
      <c r="AH4" s="28" t="s">
        <v>210</v>
      </c>
      <c r="AI4" s="28">
        <v>8</v>
      </c>
      <c r="AJ4">
        <f t="shared" si="4"/>
        <v>4.0999999999999996</v>
      </c>
      <c r="AK4" s="28" t="s">
        <v>209</v>
      </c>
      <c r="AL4" s="28">
        <v>3</v>
      </c>
      <c r="AM4">
        <f t="shared" si="5"/>
        <v>1.9</v>
      </c>
      <c r="AN4" s="21" t="s">
        <v>211</v>
      </c>
      <c r="AO4" s="16">
        <v>5</v>
      </c>
      <c r="AP4">
        <f t="shared" si="6"/>
        <v>3.7</v>
      </c>
    </row>
    <row r="5" spans="1:45" ht="15.75" customHeight="1">
      <c r="A5" s="16" t="s">
        <v>212</v>
      </c>
      <c r="B5" s="47" t="s">
        <v>213</v>
      </c>
      <c r="C5" s="17"/>
      <c r="D5" s="17" t="s">
        <v>214</v>
      </c>
      <c r="E5" s="17" t="s">
        <v>215</v>
      </c>
      <c r="F5" s="17" t="s">
        <v>216</v>
      </c>
      <c r="G5" s="17" t="s">
        <v>217</v>
      </c>
      <c r="H5" s="17"/>
      <c r="I5" s="17" t="s">
        <v>218</v>
      </c>
      <c r="J5" s="17"/>
      <c r="K5" s="17"/>
      <c r="L5" s="17"/>
      <c r="M5" s="17"/>
      <c r="N5" s="17"/>
      <c r="O5" s="17"/>
      <c r="P5" s="17"/>
      <c r="Q5" s="17" t="s">
        <v>219</v>
      </c>
      <c r="R5" s="17" t="s">
        <v>220</v>
      </c>
      <c r="S5" s="17" t="s">
        <v>221</v>
      </c>
      <c r="V5" s="21" t="s">
        <v>222</v>
      </c>
      <c r="W5" s="16">
        <v>12</v>
      </c>
      <c r="X5" s="11">
        <f t="shared" si="0"/>
        <v>4.0999999999999996</v>
      </c>
      <c r="Y5" s="27" t="s">
        <v>223</v>
      </c>
      <c r="Z5" s="28">
        <v>4</v>
      </c>
      <c r="AA5" s="11">
        <f t="shared" si="1"/>
        <v>3.4</v>
      </c>
      <c r="AB5" s="16" t="s">
        <v>224</v>
      </c>
      <c r="AC5" s="16">
        <v>19</v>
      </c>
      <c r="AD5">
        <f t="shared" si="2"/>
        <v>4.4000000000000004</v>
      </c>
      <c r="AE5" s="28" t="s">
        <v>225</v>
      </c>
      <c r="AF5" s="28">
        <v>4</v>
      </c>
      <c r="AG5">
        <f t="shared" si="3"/>
        <v>2.2999999999999998</v>
      </c>
      <c r="AH5" s="28" t="s">
        <v>226</v>
      </c>
      <c r="AI5" s="28">
        <v>7</v>
      </c>
      <c r="AJ5">
        <f t="shared" si="4"/>
        <v>3.7</v>
      </c>
      <c r="AK5" s="28" t="s">
        <v>225</v>
      </c>
      <c r="AL5" s="28">
        <v>4</v>
      </c>
      <c r="AM5">
        <f t="shared" si="5"/>
        <v>2.2999999999999998</v>
      </c>
      <c r="AN5" s="21" t="s">
        <v>228</v>
      </c>
      <c r="AO5" s="16">
        <v>4</v>
      </c>
      <c r="AP5">
        <f t="shared" si="6"/>
        <v>3</v>
      </c>
    </row>
    <row r="6" spans="1:45" ht="15.75" customHeight="1">
      <c r="A6" s="16" t="s">
        <v>229</v>
      </c>
      <c r="B6" s="17" t="s">
        <v>230</v>
      </c>
      <c r="C6" s="17"/>
      <c r="D6" s="17" t="s">
        <v>231</v>
      </c>
      <c r="E6" s="17"/>
      <c r="F6" s="17" t="s">
        <v>232</v>
      </c>
      <c r="G6" s="17"/>
      <c r="H6" s="17"/>
      <c r="I6" s="17" t="s">
        <v>233</v>
      </c>
      <c r="J6" s="17"/>
      <c r="K6" s="17"/>
      <c r="L6" s="17"/>
      <c r="M6" s="17"/>
      <c r="N6" s="17"/>
      <c r="O6" s="17"/>
      <c r="P6" s="17"/>
      <c r="Q6" s="17"/>
      <c r="R6" s="17" t="s">
        <v>234</v>
      </c>
      <c r="S6" s="17" t="s">
        <v>235</v>
      </c>
      <c r="V6" s="21" t="s">
        <v>236</v>
      </c>
      <c r="W6" s="16">
        <v>11</v>
      </c>
      <c r="X6" s="11">
        <f t="shared" si="0"/>
        <v>3.9</v>
      </c>
      <c r="Y6" s="27" t="s">
        <v>237</v>
      </c>
      <c r="Z6" s="28">
        <v>5</v>
      </c>
      <c r="AA6" s="11">
        <f t="shared" si="1"/>
        <v>4.2</v>
      </c>
      <c r="AB6" s="16" t="s">
        <v>238</v>
      </c>
      <c r="AC6" s="16">
        <v>18</v>
      </c>
      <c r="AD6">
        <f t="shared" si="2"/>
        <v>4.2</v>
      </c>
      <c r="AE6" s="28" t="s">
        <v>239</v>
      </c>
      <c r="AF6" s="28">
        <v>5</v>
      </c>
      <c r="AG6">
        <f t="shared" si="3"/>
        <v>2.8</v>
      </c>
      <c r="AH6" s="28" t="s">
        <v>241</v>
      </c>
      <c r="AI6" s="28">
        <v>6</v>
      </c>
      <c r="AJ6">
        <f t="shared" si="4"/>
        <v>3.2</v>
      </c>
      <c r="AK6" s="28" t="s">
        <v>239</v>
      </c>
      <c r="AL6" s="28">
        <v>5</v>
      </c>
      <c r="AM6">
        <f t="shared" si="5"/>
        <v>2.8</v>
      </c>
      <c r="AN6" s="21" t="s">
        <v>242</v>
      </c>
      <c r="AO6" s="16">
        <v>3</v>
      </c>
      <c r="AP6">
        <f t="shared" si="6"/>
        <v>2.2999999999999998</v>
      </c>
    </row>
    <row r="7" spans="1:45" ht="15.75" customHeight="1">
      <c r="A7" s="16" t="s">
        <v>243</v>
      </c>
      <c r="B7" s="17" t="s">
        <v>244</v>
      </c>
      <c r="C7" s="17"/>
      <c r="D7" s="17" t="s">
        <v>245</v>
      </c>
      <c r="E7" s="17"/>
      <c r="F7" s="19" t="s">
        <v>246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247</v>
      </c>
      <c r="S7" s="17" t="s">
        <v>248</v>
      </c>
      <c r="V7" s="21" t="s">
        <v>195</v>
      </c>
      <c r="W7" s="16">
        <v>10</v>
      </c>
      <c r="X7" s="11">
        <f t="shared" si="0"/>
        <v>3.6</v>
      </c>
      <c r="Y7" s="27" t="s">
        <v>249</v>
      </c>
      <c r="Z7" s="28">
        <v>6</v>
      </c>
      <c r="AA7" s="11">
        <f t="shared" si="1"/>
        <v>5</v>
      </c>
      <c r="AB7" s="16" t="s">
        <v>250</v>
      </c>
      <c r="AC7" s="16">
        <v>17</v>
      </c>
      <c r="AD7">
        <f t="shared" si="2"/>
        <v>4</v>
      </c>
      <c r="AE7" s="28" t="s">
        <v>188</v>
      </c>
      <c r="AF7" s="28">
        <v>6</v>
      </c>
      <c r="AG7">
        <f t="shared" si="3"/>
        <v>3.2</v>
      </c>
      <c r="AH7" s="28" t="s">
        <v>251</v>
      </c>
      <c r="AI7" s="28">
        <v>5</v>
      </c>
      <c r="AJ7">
        <f t="shared" si="4"/>
        <v>2.8</v>
      </c>
      <c r="AK7" s="28" t="s">
        <v>188</v>
      </c>
      <c r="AL7" s="28">
        <v>6</v>
      </c>
      <c r="AM7">
        <f t="shared" si="5"/>
        <v>3.2</v>
      </c>
      <c r="AN7" s="21" t="s">
        <v>252</v>
      </c>
      <c r="AO7" s="16">
        <v>2</v>
      </c>
      <c r="AP7">
        <f t="shared" si="6"/>
        <v>1.7</v>
      </c>
    </row>
    <row r="8" spans="1:45" ht="15.75" customHeight="1">
      <c r="A8" s="16" t="s">
        <v>253</v>
      </c>
      <c r="B8" s="17" t="s">
        <v>254</v>
      </c>
      <c r="C8" s="17"/>
      <c r="D8" s="17" t="s">
        <v>256</v>
      </c>
      <c r="E8" s="17"/>
      <c r="F8" s="17" t="s">
        <v>257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 t="s">
        <v>258</v>
      </c>
      <c r="V8" s="21" t="s">
        <v>259</v>
      </c>
      <c r="W8" s="16">
        <v>9</v>
      </c>
      <c r="X8" s="11">
        <f t="shared" si="0"/>
        <v>3.3</v>
      </c>
      <c r="Y8" s="27"/>
      <c r="Z8" s="28"/>
      <c r="AA8" s="11"/>
      <c r="AB8" s="16" t="s">
        <v>261</v>
      </c>
      <c r="AC8" s="16">
        <v>16</v>
      </c>
      <c r="AD8">
        <f t="shared" si="2"/>
        <v>3.9</v>
      </c>
      <c r="AE8" s="28" t="s">
        <v>262</v>
      </c>
      <c r="AF8" s="28">
        <v>7</v>
      </c>
      <c r="AG8">
        <f t="shared" si="3"/>
        <v>3.7</v>
      </c>
      <c r="AH8" s="28" t="s">
        <v>263</v>
      </c>
      <c r="AI8" s="28">
        <v>4</v>
      </c>
      <c r="AJ8">
        <f t="shared" si="4"/>
        <v>2.2999999999999998</v>
      </c>
      <c r="AK8" s="28" t="s">
        <v>262</v>
      </c>
      <c r="AL8" s="28">
        <v>7</v>
      </c>
      <c r="AM8">
        <f t="shared" si="5"/>
        <v>3.7</v>
      </c>
      <c r="AN8" s="21" t="s">
        <v>264</v>
      </c>
      <c r="AO8" s="16">
        <v>1</v>
      </c>
      <c r="AP8">
        <f t="shared" si="6"/>
        <v>1</v>
      </c>
    </row>
    <row r="9" spans="1:45" ht="15.75" customHeight="1">
      <c r="A9" s="16" t="s">
        <v>266</v>
      </c>
      <c r="B9" s="17" t="s">
        <v>267</v>
      </c>
      <c r="C9" s="17"/>
      <c r="D9" s="17" t="s">
        <v>268</v>
      </c>
      <c r="E9" s="17"/>
      <c r="F9" s="17" t="s">
        <v>269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 t="s">
        <v>270</v>
      </c>
      <c r="V9" s="21" t="s">
        <v>271</v>
      </c>
      <c r="W9" s="16">
        <v>8</v>
      </c>
      <c r="X9" s="11">
        <f t="shared" si="0"/>
        <v>3</v>
      </c>
      <c r="Y9" s="27"/>
      <c r="Z9" s="28"/>
      <c r="AA9" s="11"/>
      <c r="AB9" s="16" t="s">
        <v>272</v>
      </c>
      <c r="AC9" s="16">
        <v>15</v>
      </c>
      <c r="AD9">
        <f t="shared" si="2"/>
        <v>3.7</v>
      </c>
      <c r="AE9" s="28" t="s">
        <v>273</v>
      </c>
      <c r="AF9" s="28">
        <v>8</v>
      </c>
      <c r="AG9">
        <f t="shared" si="3"/>
        <v>4.0999999999999996</v>
      </c>
      <c r="AH9" s="28" t="s">
        <v>275</v>
      </c>
      <c r="AI9" s="28">
        <v>3</v>
      </c>
      <c r="AJ9">
        <f t="shared" si="4"/>
        <v>1.9</v>
      </c>
      <c r="AK9" s="28" t="s">
        <v>273</v>
      </c>
      <c r="AL9" s="28">
        <v>8</v>
      </c>
      <c r="AM9">
        <f t="shared" si="5"/>
        <v>4.0999999999999996</v>
      </c>
      <c r="AN9" s="52"/>
    </row>
    <row r="10" spans="1:45" ht="15.75" customHeight="1">
      <c r="A10" s="16" t="s">
        <v>277</v>
      </c>
      <c r="B10" s="17" t="s">
        <v>278</v>
      </c>
      <c r="C10" s="17"/>
      <c r="D10" s="17" t="s">
        <v>279</v>
      </c>
      <c r="E10" s="17"/>
      <c r="F10" s="19" t="s">
        <v>280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9" t="s">
        <v>281</v>
      </c>
      <c r="V10" s="21" t="s">
        <v>282</v>
      </c>
      <c r="W10" s="16">
        <v>7</v>
      </c>
      <c r="X10" s="11">
        <f t="shared" si="0"/>
        <v>2.7</v>
      </c>
      <c r="Y10" s="27"/>
      <c r="Z10" s="28"/>
      <c r="AA10" s="11"/>
      <c r="AB10" s="16" t="s">
        <v>283</v>
      </c>
      <c r="AC10" s="16">
        <v>14</v>
      </c>
      <c r="AD10">
        <f t="shared" si="2"/>
        <v>3.5</v>
      </c>
      <c r="AE10" s="28" t="s">
        <v>284</v>
      </c>
      <c r="AF10" s="28">
        <v>9</v>
      </c>
      <c r="AG10">
        <f t="shared" si="3"/>
        <v>4.5999999999999996</v>
      </c>
      <c r="AH10" s="28" t="s">
        <v>285</v>
      </c>
      <c r="AI10" s="28">
        <v>2</v>
      </c>
      <c r="AJ10">
        <f t="shared" si="4"/>
        <v>1.4</v>
      </c>
      <c r="AK10" s="28" t="s">
        <v>284</v>
      </c>
      <c r="AL10" s="28">
        <v>9</v>
      </c>
      <c r="AM10">
        <f t="shared" si="5"/>
        <v>4.5999999999999996</v>
      </c>
      <c r="AN10" s="52"/>
    </row>
    <row r="11" spans="1:45" ht="15.75" customHeight="1">
      <c r="A11" s="16" t="s">
        <v>286</v>
      </c>
      <c r="B11" s="47" t="s">
        <v>287</v>
      </c>
      <c r="C11" s="17"/>
      <c r="D11" s="17" t="s">
        <v>288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 t="s">
        <v>289</v>
      </c>
      <c r="V11" s="21" t="s">
        <v>290</v>
      </c>
      <c r="W11" s="16">
        <v>6</v>
      </c>
      <c r="X11" s="11">
        <f t="shared" si="0"/>
        <v>2.4</v>
      </c>
      <c r="Y11" s="27"/>
      <c r="Z11" s="28"/>
      <c r="AA11" s="11"/>
      <c r="AB11" s="16" t="s">
        <v>291</v>
      </c>
      <c r="AC11" s="16">
        <v>13</v>
      </c>
      <c r="AD11">
        <f t="shared" si="2"/>
        <v>3.3</v>
      </c>
      <c r="AE11" s="28" t="s">
        <v>292</v>
      </c>
      <c r="AF11" s="28">
        <v>10</v>
      </c>
      <c r="AG11">
        <f t="shared" si="3"/>
        <v>5</v>
      </c>
      <c r="AH11" s="28" t="s">
        <v>240</v>
      </c>
      <c r="AI11" s="28">
        <v>1</v>
      </c>
      <c r="AJ11">
        <f t="shared" si="4"/>
        <v>1</v>
      </c>
      <c r="AK11" s="28" t="s">
        <v>292</v>
      </c>
      <c r="AL11" s="28">
        <v>10</v>
      </c>
      <c r="AM11">
        <f t="shared" si="5"/>
        <v>5</v>
      </c>
      <c r="AN11" s="52"/>
    </row>
    <row r="12" spans="1:45" ht="15.75" customHeight="1">
      <c r="A12" s="16" t="s">
        <v>293</v>
      </c>
      <c r="B12" s="47" t="s">
        <v>294</v>
      </c>
      <c r="C12" s="17"/>
      <c r="D12" s="17" t="s">
        <v>295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 t="s">
        <v>296</v>
      </c>
      <c r="V12" s="21" t="s">
        <v>297</v>
      </c>
      <c r="W12" s="16">
        <v>5</v>
      </c>
      <c r="X12" s="11">
        <f t="shared" si="0"/>
        <v>2.1</v>
      </c>
      <c r="Y12" s="27"/>
      <c r="Z12" s="28"/>
      <c r="AA12" s="11"/>
      <c r="AB12" s="16" t="s">
        <v>298</v>
      </c>
      <c r="AC12" s="16">
        <v>12</v>
      </c>
      <c r="AD12">
        <f t="shared" si="2"/>
        <v>3.1</v>
      </c>
      <c r="AE12" s="28"/>
      <c r="AF12" s="28"/>
      <c r="AH12" s="11"/>
      <c r="AI12" s="11"/>
      <c r="AJ12" s="11"/>
      <c r="AK12" s="11"/>
      <c r="AL12" s="11"/>
      <c r="AM12" s="11"/>
      <c r="AN12" s="52"/>
      <c r="AO12" s="11"/>
      <c r="AP12" s="11"/>
      <c r="AQ12" s="11"/>
      <c r="AR12" s="11"/>
      <c r="AS12" s="11"/>
    </row>
    <row r="13" spans="1:45" ht="15.75" customHeight="1">
      <c r="A13" s="16" t="s">
        <v>299</v>
      </c>
      <c r="B13" s="47" t="s">
        <v>300</v>
      </c>
      <c r="C13" s="17"/>
      <c r="D13" s="17" t="s">
        <v>301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 t="s">
        <v>160</v>
      </c>
      <c r="V13" s="21" t="s">
        <v>302</v>
      </c>
      <c r="W13" s="16">
        <v>4</v>
      </c>
      <c r="X13" s="11">
        <f t="shared" si="0"/>
        <v>1.9</v>
      </c>
      <c r="Y13" s="27"/>
      <c r="Z13" s="28"/>
      <c r="AA13" s="11"/>
      <c r="AB13" s="16" t="s">
        <v>303</v>
      </c>
      <c r="AC13" s="16">
        <v>11</v>
      </c>
      <c r="AD13">
        <f t="shared" si="2"/>
        <v>2.9</v>
      </c>
      <c r="AE13" s="28"/>
      <c r="AF13" s="28"/>
      <c r="AH13" s="11"/>
      <c r="AI13" s="11"/>
      <c r="AJ13" s="11"/>
      <c r="AK13" s="11"/>
      <c r="AL13" s="11"/>
      <c r="AM13" s="11"/>
      <c r="AN13" s="52"/>
      <c r="AO13" s="11"/>
      <c r="AP13" s="11"/>
      <c r="AQ13" s="11"/>
      <c r="AR13" s="11"/>
      <c r="AS13" s="11"/>
    </row>
    <row r="14" spans="1:45" ht="15.75" customHeight="1">
      <c r="A14" s="16" t="s">
        <v>304</v>
      </c>
      <c r="B14" s="47" t="s">
        <v>305</v>
      </c>
      <c r="C14" s="17"/>
      <c r="D14" s="17" t="s">
        <v>306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 t="s">
        <v>307</v>
      </c>
      <c r="V14" s="21" t="s">
        <v>308</v>
      </c>
      <c r="W14" s="16">
        <v>3</v>
      </c>
      <c r="X14" s="11">
        <f t="shared" si="0"/>
        <v>1.6</v>
      </c>
      <c r="Y14" s="52"/>
      <c r="Z14" s="11"/>
      <c r="AA14" s="11"/>
      <c r="AB14" s="16" t="s">
        <v>309</v>
      </c>
      <c r="AC14" s="16">
        <v>10</v>
      </c>
      <c r="AD14">
        <f t="shared" si="2"/>
        <v>2.7</v>
      </c>
      <c r="AE14" s="28"/>
      <c r="AF14" s="28"/>
      <c r="AH14" s="11"/>
      <c r="AI14" s="11"/>
      <c r="AJ14" s="11"/>
      <c r="AK14" s="11"/>
      <c r="AL14" s="11"/>
      <c r="AM14" s="11"/>
      <c r="AN14" s="52"/>
      <c r="AO14" s="11"/>
      <c r="AP14" s="11"/>
      <c r="AQ14" s="11"/>
      <c r="AR14" s="11"/>
      <c r="AS14" s="11"/>
    </row>
    <row r="15" spans="1:45" ht="15.75" customHeight="1">
      <c r="A15" s="16" t="s">
        <v>310</v>
      </c>
      <c r="B15" s="17" t="s">
        <v>311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 t="s">
        <v>312</v>
      </c>
      <c r="V15" s="21" t="s">
        <v>207</v>
      </c>
      <c r="W15" s="16">
        <v>2</v>
      </c>
      <c r="X15" s="11">
        <f t="shared" si="0"/>
        <v>1.3</v>
      </c>
      <c r="Y15" s="52"/>
      <c r="Z15" s="11"/>
      <c r="AA15" s="11"/>
      <c r="AB15" s="16" t="s">
        <v>313</v>
      </c>
      <c r="AC15" s="16">
        <v>9</v>
      </c>
      <c r="AD15">
        <f t="shared" si="2"/>
        <v>2.5</v>
      </c>
      <c r="AE15" s="28"/>
      <c r="AF15" s="28"/>
      <c r="AH15" s="11"/>
      <c r="AI15" s="11"/>
      <c r="AJ15" s="11"/>
      <c r="AK15" s="11"/>
      <c r="AL15" s="11"/>
      <c r="AM15" s="11"/>
      <c r="AN15" s="52"/>
      <c r="AO15" s="11"/>
      <c r="AP15" s="11"/>
      <c r="AQ15" s="11"/>
      <c r="AR15" s="11"/>
      <c r="AS15" s="11"/>
    </row>
    <row r="16" spans="1:45" ht="15.75" customHeight="1">
      <c r="A16" s="16" t="s">
        <v>314</v>
      </c>
      <c r="B16" s="17" t="s">
        <v>315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 t="s">
        <v>316</v>
      </c>
      <c r="V16" s="21" t="s">
        <v>317</v>
      </c>
      <c r="W16" s="16">
        <v>1</v>
      </c>
      <c r="X16" s="11">
        <f t="shared" si="0"/>
        <v>1</v>
      </c>
      <c r="Y16" s="52"/>
      <c r="Z16" s="11"/>
      <c r="AA16" s="11"/>
      <c r="AB16" s="16" t="s">
        <v>318</v>
      </c>
      <c r="AC16" s="16">
        <v>8</v>
      </c>
      <c r="AD16">
        <f t="shared" si="2"/>
        <v>2.2999999999999998</v>
      </c>
      <c r="AE16" s="28"/>
      <c r="AF16" s="28"/>
      <c r="AH16" s="11"/>
      <c r="AI16" s="11"/>
      <c r="AJ16" s="11"/>
      <c r="AK16" s="11"/>
      <c r="AL16" s="11"/>
      <c r="AM16" s="11"/>
      <c r="AN16" s="52"/>
      <c r="AO16" s="11"/>
      <c r="AP16" s="11"/>
      <c r="AQ16" s="11"/>
      <c r="AR16" s="11"/>
      <c r="AS16" s="11"/>
    </row>
    <row r="17" spans="1:45" ht="13.2">
      <c r="A17" s="16" t="s">
        <v>319</v>
      </c>
      <c r="B17" s="17" t="s">
        <v>320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 t="s">
        <v>321</v>
      </c>
      <c r="V17" s="53"/>
      <c r="X17" s="11"/>
      <c r="Y17" s="52"/>
      <c r="Z17" s="11"/>
      <c r="AA17" s="11"/>
      <c r="AB17" s="16" t="s">
        <v>322</v>
      </c>
      <c r="AC17" s="16">
        <v>7</v>
      </c>
      <c r="AD17">
        <f t="shared" si="2"/>
        <v>2.1</v>
      </c>
      <c r="AE17" s="11"/>
      <c r="AF17" s="11"/>
      <c r="AG17" s="11"/>
      <c r="AH17" s="11"/>
      <c r="AI17" s="11"/>
      <c r="AJ17" s="11"/>
      <c r="AK17" s="11"/>
      <c r="AL17" s="11"/>
      <c r="AM17" s="11"/>
      <c r="AN17" s="52"/>
      <c r="AO17" s="11"/>
      <c r="AP17" s="11"/>
      <c r="AQ17" s="11"/>
      <c r="AR17" s="11"/>
      <c r="AS17" s="11"/>
    </row>
    <row r="18" spans="1:45" ht="13.2">
      <c r="A18" s="16" t="s">
        <v>323</v>
      </c>
      <c r="B18" s="47" t="s">
        <v>324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325</v>
      </c>
      <c r="V18" s="53"/>
      <c r="X18" s="11"/>
      <c r="Y18" s="52"/>
      <c r="Z18" s="11"/>
      <c r="AA18" s="11"/>
      <c r="AB18" s="16" t="s">
        <v>326</v>
      </c>
      <c r="AC18" s="16">
        <v>6</v>
      </c>
      <c r="AD18">
        <f t="shared" si="2"/>
        <v>2</v>
      </c>
      <c r="AE18" s="11"/>
      <c r="AF18" s="11"/>
      <c r="AG18" s="11"/>
      <c r="AH18" s="11"/>
      <c r="AI18" s="11"/>
      <c r="AJ18" s="11"/>
      <c r="AK18" s="11"/>
      <c r="AL18" s="11"/>
      <c r="AM18" s="11"/>
      <c r="AN18" s="52"/>
      <c r="AO18" s="11"/>
      <c r="AP18" s="11"/>
      <c r="AQ18" s="11"/>
      <c r="AR18" s="11"/>
      <c r="AS18" s="11"/>
    </row>
    <row r="19" spans="1:45" ht="13.2">
      <c r="A19" s="16" t="s">
        <v>327</v>
      </c>
      <c r="B19" s="47" t="s">
        <v>328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 t="s">
        <v>329</v>
      </c>
      <c r="V19" s="54"/>
      <c r="X19" s="21"/>
      <c r="Y19" s="52"/>
      <c r="Z19" s="11"/>
      <c r="AA19" s="11"/>
      <c r="AB19" s="16" t="s">
        <v>330</v>
      </c>
      <c r="AC19" s="16">
        <v>5</v>
      </c>
      <c r="AD19">
        <f t="shared" si="2"/>
        <v>1.8</v>
      </c>
      <c r="AE19" s="11"/>
      <c r="AF19" s="11"/>
      <c r="AG19" s="11"/>
      <c r="AH19" s="11"/>
      <c r="AI19" s="11"/>
      <c r="AJ19" s="11"/>
      <c r="AK19" s="11"/>
      <c r="AL19" s="11"/>
      <c r="AM19" s="11"/>
      <c r="AN19" s="52"/>
      <c r="AO19" s="11"/>
      <c r="AP19" s="11"/>
      <c r="AQ19" s="11"/>
      <c r="AR19" s="11"/>
      <c r="AS19" s="11"/>
    </row>
    <row r="20" spans="1:45" ht="13.2">
      <c r="A20" s="16" t="s">
        <v>331</v>
      </c>
      <c r="B20" s="47" t="s">
        <v>332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 t="s">
        <v>333</v>
      </c>
      <c r="V20" s="54"/>
      <c r="X20" s="21"/>
      <c r="Y20" s="52"/>
      <c r="Z20" s="11"/>
      <c r="AA20" s="11"/>
      <c r="AB20" s="16" t="s">
        <v>334</v>
      </c>
      <c r="AC20" s="16">
        <v>4</v>
      </c>
      <c r="AD20">
        <f t="shared" si="2"/>
        <v>1.6</v>
      </c>
      <c r="AE20" s="11"/>
      <c r="AF20" s="11"/>
      <c r="AG20" s="11"/>
      <c r="AH20" s="11"/>
      <c r="AI20" s="11"/>
      <c r="AJ20" s="11"/>
      <c r="AK20" s="11"/>
      <c r="AL20" s="11"/>
      <c r="AM20" s="11"/>
      <c r="AN20" s="52"/>
      <c r="AO20" s="11"/>
      <c r="AP20" s="11"/>
      <c r="AQ20" s="11"/>
      <c r="AR20" s="11"/>
      <c r="AS20" s="11"/>
    </row>
    <row r="21" spans="1:45" ht="13.2">
      <c r="A21" s="19" t="s">
        <v>335</v>
      </c>
      <c r="B21" s="47" t="s">
        <v>336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 t="s">
        <v>337</v>
      </c>
      <c r="V21" s="54"/>
      <c r="X21" s="21"/>
      <c r="Y21" s="52"/>
      <c r="Z21" s="11"/>
      <c r="AA21" s="11"/>
      <c r="AB21" s="16" t="s">
        <v>338</v>
      </c>
      <c r="AC21" s="16">
        <v>3</v>
      </c>
      <c r="AD21">
        <f t="shared" si="2"/>
        <v>1.4</v>
      </c>
      <c r="AE21" s="11"/>
      <c r="AF21" s="11"/>
      <c r="AG21" s="11"/>
      <c r="AH21" s="11"/>
      <c r="AI21" s="11"/>
      <c r="AJ21" s="11"/>
      <c r="AK21" s="11"/>
      <c r="AL21" s="11"/>
      <c r="AM21" s="11"/>
      <c r="AN21" s="52"/>
      <c r="AO21" s="11"/>
      <c r="AP21" s="11"/>
      <c r="AQ21" s="11"/>
      <c r="AR21" s="11"/>
      <c r="AS21" s="11"/>
    </row>
    <row r="22" spans="1:45" ht="13.2">
      <c r="A22" s="16" t="s">
        <v>339</v>
      </c>
      <c r="B22" s="47" t="s">
        <v>340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 t="s">
        <v>341</v>
      </c>
      <c r="V22" s="54"/>
      <c r="X22" s="21"/>
      <c r="Y22" s="52"/>
      <c r="Z22" s="11"/>
      <c r="AA22" s="11"/>
      <c r="AB22" s="16" t="s">
        <v>342</v>
      </c>
      <c r="AC22" s="16">
        <v>2</v>
      </c>
      <c r="AD22">
        <f t="shared" si="2"/>
        <v>1.2</v>
      </c>
      <c r="AE22" s="11"/>
      <c r="AF22" s="11"/>
      <c r="AG22" s="11"/>
      <c r="AH22" s="11"/>
      <c r="AI22" s="11"/>
      <c r="AJ22" s="11"/>
      <c r="AK22" s="11"/>
      <c r="AL22" s="11"/>
      <c r="AM22" s="11"/>
      <c r="AN22" s="52"/>
      <c r="AO22" s="11"/>
      <c r="AP22" s="11"/>
      <c r="AQ22" s="11"/>
      <c r="AR22" s="11"/>
      <c r="AS22" s="11"/>
    </row>
    <row r="23" spans="1:45" ht="13.2">
      <c r="A23" s="16" t="s">
        <v>343</v>
      </c>
      <c r="B23" s="19" t="s">
        <v>168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 t="s">
        <v>344</v>
      </c>
      <c r="V23" s="54"/>
      <c r="X23" s="21"/>
      <c r="Y23" s="52"/>
      <c r="Z23" s="11"/>
      <c r="AA23" s="11"/>
      <c r="AB23" s="16" t="s">
        <v>345</v>
      </c>
      <c r="AC23" s="16">
        <v>1</v>
      </c>
      <c r="AD23">
        <f t="shared" si="2"/>
        <v>1</v>
      </c>
      <c r="AE23" s="11"/>
      <c r="AF23" s="11"/>
      <c r="AG23" s="11"/>
      <c r="AH23" s="11"/>
      <c r="AI23" s="11"/>
      <c r="AJ23" s="11"/>
      <c r="AK23" s="11"/>
      <c r="AL23" s="11"/>
      <c r="AM23" s="11"/>
      <c r="AN23" s="52"/>
      <c r="AO23" s="11"/>
      <c r="AP23" s="11"/>
      <c r="AQ23" s="11"/>
      <c r="AR23" s="11"/>
      <c r="AS23" s="11"/>
    </row>
    <row r="24" spans="1:45" ht="13.2">
      <c r="A24" s="16" t="s">
        <v>346</v>
      </c>
      <c r="B24" s="19" t="s">
        <v>347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 t="s">
        <v>348</v>
      </c>
      <c r="V24" s="54"/>
      <c r="X24" s="21"/>
      <c r="Y24" s="52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52"/>
      <c r="AO24" s="11"/>
      <c r="AP24" s="11"/>
      <c r="AQ24" s="11"/>
      <c r="AR24" s="11"/>
      <c r="AS24" s="11"/>
    </row>
    <row r="25" spans="1:45" ht="13.2">
      <c r="A25" s="56" t="s">
        <v>349</v>
      </c>
      <c r="B25" s="19" t="s">
        <v>350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V25" s="54"/>
      <c r="X25" s="21"/>
      <c r="Y25" s="52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52"/>
      <c r="AO25" s="11"/>
      <c r="AP25" s="11"/>
      <c r="AQ25" s="11"/>
      <c r="AR25" s="11"/>
      <c r="AS25" s="11"/>
    </row>
    <row r="26" spans="1:45" ht="13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V26" s="54"/>
      <c r="X26" s="21"/>
      <c r="Y26" s="52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52"/>
      <c r="AO26" s="11"/>
      <c r="AP26" s="11"/>
      <c r="AQ26" s="11"/>
      <c r="AR26" s="11"/>
      <c r="AS26" s="11"/>
    </row>
    <row r="27" spans="1:45" ht="13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V27" s="54"/>
      <c r="X27" s="21"/>
      <c r="Y27" s="52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52"/>
      <c r="AO27" s="11"/>
      <c r="AP27" s="11"/>
      <c r="AQ27" s="11"/>
      <c r="AR27" s="11"/>
      <c r="AS27" s="11"/>
    </row>
    <row r="28" spans="1:45" ht="13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V28" s="54"/>
      <c r="X28" s="21"/>
      <c r="Y28" s="52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52"/>
      <c r="AO28" s="11"/>
      <c r="AP28" s="11"/>
      <c r="AQ28" s="11"/>
      <c r="AR28" s="11"/>
      <c r="AS28" s="11"/>
    </row>
    <row r="29" spans="1:45" ht="13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V29" s="54"/>
      <c r="X29" s="21"/>
      <c r="Y29" s="52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52"/>
      <c r="AO29" s="11"/>
      <c r="AP29" s="11"/>
      <c r="AQ29" s="11"/>
      <c r="AR29" s="11"/>
      <c r="AS29" s="11"/>
    </row>
    <row r="30" spans="1:45" ht="13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V30" s="54"/>
      <c r="X30" s="21"/>
      <c r="Y30" s="52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52"/>
      <c r="AO30" s="11"/>
      <c r="AP30" s="11"/>
      <c r="AQ30" s="11"/>
      <c r="AR30" s="11"/>
      <c r="AS30" s="11"/>
    </row>
    <row r="31" spans="1:45" ht="13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V31" s="54"/>
      <c r="X31" s="21"/>
      <c r="Y31" s="52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52"/>
      <c r="AO31" s="11"/>
      <c r="AP31" s="11"/>
      <c r="AQ31" s="11"/>
      <c r="AR31" s="11"/>
      <c r="AS31" s="11"/>
    </row>
    <row r="32" spans="1:45" ht="13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V32" s="54"/>
      <c r="X32" s="21"/>
      <c r="Y32" s="52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52"/>
      <c r="AO32" s="11"/>
      <c r="AP32" s="11"/>
      <c r="AQ32" s="11"/>
      <c r="AR32" s="11"/>
      <c r="AS32" s="11"/>
    </row>
    <row r="33" spans="1:45" ht="13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V33" s="54"/>
      <c r="X33" s="21"/>
      <c r="Y33" s="52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52"/>
      <c r="AO33" s="11"/>
      <c r="AP33" s="11"/>
      <c r="AQ33" s="11"/>
      <c r="AR33" s="11"/>
      <c r="AS33" s="11"/>
    </row>
    <row r="34" spans="1:45" ht="13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V34" s="53"/>
      <c r="Y34" s="52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52"/>
      <c r="AO34" s="11"/>
      <c r="AP34" s="11"/>
      <c r="AQ34" s="11"/>
      <c r="AR34" s="11"/>
      <c r="AS34" s="11"/>
    </row>
    <row r="35" spans="1:45" ht="13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V35" s="53"/>
      <c r="Y35" s="52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52"/>
      <c r="AO35" s="11"/>
      <c r="AP35" s="11"/>
      <c r="AQ35" s="11"/>
      <c r="AR35" s="11"/>
      <c r="AS35" s="11"/>
    </row>
    <row r="36" spans="1:45" ht="13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V36" s="53"/>
      <c r="X36" s="11"/>
      <c r="Y36" s="52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52"/>
      <c r="AO36" s="11"/>
      <c r="AP36" s="11"/>
      <c r="AQ36" s="11"/>
      <c r="AR36" s="11"/>
      <c r="AS36" s="11"/>
    </row>
    <row r="37" spans="1:45" ht="13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V37" s="53"/>
      <c r="X37" s="11"/>
      <c r="Y37" s="52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52"/>
      <c r="AO37" s="11"/>
      <c r="AP37" s="11"/>
      <c r="AQ37" s="11"/>
      <c r="AR37" s="11"/>
      <c r="AS37" s="11"/>
    </row>
    <row r="38" spans="1:45" ht="13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V38" s="53"/>
      <c r="X38" s="11"/>
      <c r="Y38" s="52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52"/>
      <c r="AO38" s="11"/>
      <c r="AP38" s="11"/>
      <c r="AQ38" s="11"/>
      <c r="AR38" s="11"/>
      <c r="AS38" s="11"/>
    </row>
    <row r="39" spans="1:45" ht="13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V39" s="53"/>
      <c r="X39" s="11"/>
      <c r="Y39" s="52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52"/>
      <c r="AO39" s="11"/>
      <c r="AP39" s="11"/>
      <c r="AQ39" s="11"/>
      <c r="AR39" s="11"/>
      <c r="AS39" s="11"/>
    </row>
    <row r="40" spans="1:45" ht="13.2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V40" s="53"/>
      <c r="X40" s="11"/>
      <c r="Y40" s="52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52"/>
      <c r="AO40" s="11"/>
      <c r="AP40" s="11"/>
      <c r="AQ40" s="11"/>
      <c r="AR40" s="11"/>
      <c r="AS40" s="11"/>
    </row>
    <row r="41" spans="1:45" ht="13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V41" s="53"/>
      <c r="X41" s="11"/>
      <c r="Y41" s="52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52"/>
      <c r="AO41" s="11"/>
      <c r="AP41" s="11"/>
      <c r="AQ41" s="11"/>
      <c r="AR41" s="11"/>
      <c r="AS41" s="11"/>
    </row>
    <row r="42" spans="1:45" ht="13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V42" s="53"/>
      <c r="X42" s="11"/>
      <c r="Y42" s="52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52"/>
      <c r="AO42" s="11"/>
      <c r="AP42" s="11"/>
      <c r="AQ42" s="11"/>
      <c r="AR42" s="11"/>
      <c r="AS42" s="11"/>
    </row>
    <row r="43" spans="1:45" ht="13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V43" s="53"/>
      <c r="X43" s="11"/>
      <c r="Y43" s="52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52"/>
      <c r="AO43" s="11"/>
      <c r="AP43" s="11"/>
      <c r="AQ43" s="11"/>
      <c r="AR43" s="11"/>
      <c r="AS43" s="11"/>
    </row>
    <row r="44" spans="1:45" ht="13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V44" s="53"/>
      <c r="X44" s="11"/>
      <c r="Y44" s="52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52"/>
      <c r="AO44" s="11"/>
      <c r="AP44" s="11"/>
      <c r="AQ44" s="11"/>
      <c r="AR44" s="11"/>
      <c r="AS44" s="11"/>
    </row>
    <row r="45" spans="1:45" ht="13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V45" s="53"/>
      <c r="X45" s="11"/>
      <c r="Y45" s="52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52"/>
      <c r="AO45" s="11"/>
      <c r="AP45" s="11"/>
      <c r="AQ45" s="11"/>
      <c r="AR45" s="11"/>
      <c r="AS45" s="11"/>
    </row>
    <row r="46" spans="1:45" ht="13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V46" s="53"/>
      <c r="X46" s="11"/>
      <c r="Y46" s="52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52"/>
      <c r="AO46" s="11"/>
      <c r="AP46" s="11"/>
      <c r="AQ46" s="11"/>
      <c r="AR46" s="11"/>
      <c r="AS46" s="11"/>
    </row>
    <row r="47" spans="1:45" ht="13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V47" s="53"/>
      <c r="X47" s="11"/>
      <c r="Y47" s="52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52"/>
      <c r="AO47" s="11"/>
      <c r="AP47" s="11"/>
      <c r="AQ47" s="11"/>
      <c r="AR47" s="11"/>
      <c r="AS47" s="11"/>
    </row>
    <row r="48" spans="1:45" ht="13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V48" s="53"/>
      <c r="X48" s="11"/>
      <c r="Y48" s="52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52"/>
      <c r="AO48" s="11"/>
      <c r="AP48" s="11"/>
      <c r="AQ48" s="11"/>
      <c r="AR48" s="11"/>
      <c r="AS48" s="11"/>
    </row>
    <row r="49" spans="1:45" ht="13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V49" s="53"/>
      <c r="X49" s="11"/>
      <c r="Y49" s="52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52"/>
      <c r="AO49" s="11"/>
      <c r="AP49" s="11"/>
      <c r="AQ49" s="11"/>
      <c r="AR49" s="11"/>
      <c r="AS49" s="11"/>
    </row>
    <row r="50" spans="1:45" ht="13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V50" s="53"/>
      <c r="X50" s="11"/>
      <c r="Y50" s="52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52"/>
      <c r="AO50" s="11"/>
      <c r="AP50" s="11"/>
      <c r="AQ50" s="11"/>
      <c r="AR50" s="11"/>
      <c r="AS50" s="11"/>
    </row>
    <row r="51" spans="1:45" ht="13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V51" s="53"/>
      <c r="X51" s="11"/>
      <c r="Y51" s="52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52"/>
      <c r="AO51" s="11"/>
      <c r="AP51" s="11"/>
      <c r="AQ51" s="11"/>
      <c r="AR51" s="11"/>
      <c r="AS51" s="11"/>
    </row>
    <row r="52" spans="1:45" ht="13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V52" s="53"/>
      <c r="X52" s="11"/>
      <c r="Y52" s="52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52"/>
      <c r="AO52" s="11"/>
      <c r="AP52" s="11"/>
      <c r="AQ52" s="11"/>
      <c r="AR52" s="11"/>
      <c r="AS52" s="11"/>
    </row>
    <row r="53" spans="1:45" ht="13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V53" s="53"/>
      <c r="X53" s="11"/>
      <c r="Y53" s="52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52"/>
      <c r="AO53" s="11"/>
      <c r="AP53" s="11"/>
      <c r="AQ53" s="11"/>
      <c r="AR53" s="11"/>
      <c r="AS53" s="11"/>
    </row>
    <row r="54" spans="1:45" ht="13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V54" s="53"/>
      <c r="X54" s="11"/>
      <c r="Y54" s="52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52"/>
      <c r="AO54" s="11"/>
      <c r="AP54" s="11"/>
      <c r="AQ54" s="11"/>
      <c r="AR54" s="11"/>
      <c r="AS54" s="11"/>
    </row>
    <row r="55" spans="1:45" ht="13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V55" s="53"/>
      <c r="X55" s="11"/>
      <c r="Y55" s="52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52"/>
      <c r="AO55" s="11"/>
      <c r="AP55" s="11"/>
      <c r="AQ55" s="11"/>
      <c r="AR55" s="11"/>
      <c r="AS55" s="11"/>
    </row>
    <row r="56" spans="1:45" ht="13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V56" s="53"/>
      <c r="X56" s="11"/>
      <c r="Y56" s="52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52"/>
      <c r="AO56" s="11"/>
      <c r="AP56" s="11"/>
      <c r="AQ56" s="11"/>
      <c r="AR56" s="11"/>
      <c r="AS56" s="11"/>
    </row>
    <row r="57" spans="1:45" ht="13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V57" s="53"/>
      <c r="X57" s="11"/>
      <c r="Y57" s="52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52"/>
      <c r="AO57" s="11"/>
      <c r="AP57" s="11"/>
      <c r="AQ57" s="11"/>
      <c r="AR57" s="11"/>
      <c r="AS57" s="11"/>
    </row>
    <row r="58" spans="1:45" ht="13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V58" s="53"/>
      <c r="X58" s="11"/>
      <c r="Y58" s="52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52"/>
      <c r="AO58" s="11"/>
      <c r="AP58" s="11"/>
      <c r="AQ58" s="11"/>
      <c r="AR58" s="11"/>
      <c r="AS58" s="11"/>
    </row>
    <row r="59" spans="1:45" ht="13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V59" s="53"/>
      <c r="X59" s="11"/>
      <c r="Y59" s="52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52"/>
      <c r="AO59" s="11"/>
      <c r="AP59" s="11"/>
      <c r="AQ59" s="11"/>
      <c r="AR59" s="11"/>
      <c r="AS59" s="11"/>
    </row>
    <row r="60" spans="1:45" ht="13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V60" s="53"/>
      <c r="X60" s="11"/>
      <c r="Y60" s="52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52"/>
      <c r="AO60" s="11"/>
      <c r="AP60" s="11"/>
      <c r="AQ60" s="11"/>
      <c r="AR60" s="11"/>
      <c r="AS60" s="11"/>
    </row>
    <row r="61" spans="1:45" ht="13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V61" s="53"/>
      <c r="X61" s="11"/>
      <c r="Y61" s="52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52"/>
      <c r="AO61" s="11"/>
      <c r="AP61" s="11"/>
      <c r="AQ61" s="11"/>
      <c r="AR61" s="11"/>
      <c r="AS61" s="11"/>
    </row>
    <row r="62" spans="1:45" ht="13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V62" s="53"/>
      <c r="X62" s="11"/>
      <c r="Y62" s="52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52"/>
      <c r="AO62" s="11"/>
      <c r="AP62" s="11"/>
      <c r="AQ62" s="11"/>
      <c r="AR62" s="11"/>
      <c r="AS62" s="11"/>
    </row>
    <row r="63" spans="1:45" ht="13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V63" s="53"/>
      <c r="X63" s="11"/>
      <c r="Y63" s="52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52"/>
      <c r="AO63" s="11"/>
      <c r="AP63" s="11"/>
      <c r="AQ63" s="11"/>
      <c r="AR63" s="11"/>
      <c r="AS63" s="11"/>
    </row>
    <row r="64" spans="1:45" ht="13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V64" s="53"/>
      <c r="X64" s="11"/>
      <c r="Y64" s="52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52"/>
      <c r="AO64" s="11"/>
      <c r="AP64" s="11"/>
      <c r="AQ64" s="11"/>
      <c r="AR64" s="11"/>
      <c r="AS64" s="11"/>
    </row>
    <row r="65" spans="1:45" ht="13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V65" s="53"/>
      <c r="X65" s="11"/>
      <c r="Y65" s="52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52"/>
      <c r="AO65" s="11"/>
      <c r="AP65" s="11"/>
      <c r="AQ65" s="11"/>
      <c r="AR65" s="11"/>
      <c r="AS65" s="11"/>
    </row>
    <row r="66" spans="1:45" ht="13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V66" s="53"/>
      <c r="X66" s="11"/>
      <c r="Y66" s="52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52"/>
      <c r="AO66" s="11"/>
      <c r="AP66" s="11"/>
      <c r="AQ66" s="11"/>
      <c r="AR66" s="11"/>
      <c r="AS66" s="11"/>
    </row>
    <row r="67" spans="1:45" ht="13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V67" s="53"/>
      <c r="X67" s="11"/>
      <c r="Y67" s="52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52"/>
      <c r="AO67" s="11"/>
      <c r="AP67" s="11"/>
      <c r="AQ67" s="11"/>
      <c r="AR67" s="11"/>
      <c r="AS67" s="11"/>
    </row>
    <row r="68" spans="1:45" ht="13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V68" s="53"/>
      <c r="X68" s="11"/>
      <c r="Y68" s="52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52"/>
      <c r="AO68" s="11"/>
      <c r="AP68" s="11"/>
      <c r="AQ68" s="11"/>
      <c r="AR68" s="11"/>
      <c r="AS68" s="11"/>
    </row>
    <row r="69" spans="1:45" ht="13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V69" s="53"/>
      <c r="X69" s="11"/>
      <c r="Y69" s="52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52"/>
      <c r="AO69" s="11"/>
      <c r="AP69" s="11"/>
      <c r="AQ69" s="11"/>
      <c r="AR69" s="11"/>
      <c r="AS69" s="11"/>
    </row>
    <row r="70" spans="1:45" ht="13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V70" s="53"/>
      <c r="X70" s="11"/>
      <c r="Y70" s="52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52"/>
      <c r="AO70" s="11"/>
      <c r="AP70" s="11"/>
      <c r="AQ70" s="11"/>
      <c r="AR70" s="11"/>
      <c r="AS70" s="11"/>
    </row>
    <row r="71" spans="1:45" ht="13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V71" s="53"/>
      <c r="X71" s="11"/>
      <c r="Y71" s="52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52"/>
      <c r="AO71" s="11"/>
      <c r="AP71" s="11"/>
      <c r="AQ71" s="11"/>
      <c r="AR71" s="11"/>
      <c r="AS71" s="11"/>
    </row>
    <row r="72" spans="1:45" ht="13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V72" s="53"/>
      <c r="X72" s="11"/>
      <c r="Y72" s="52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52"/>
      <c r="AO72" s="11"/>
      <c r="AP72" s="11"/>
      <c r="AQ72" s="11"/>
      <c r="AR72" s="11"/>
      <c r="AS72" s="11"/>
    </row>
    <row r="73" spans="1:45" ht="13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V73" s="53"/>
      <c r="X73" s="11"/>
      <c r="Y73" s="52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52"/>
      <c r="AO73" s="11"/>
      <c r="AP73" s="11"/>
      <c r="AQ73" s="11"/>
      <c r="AR73" s="11"/>
      <c r="AS73" s="11"/>
    </row>
    <row r="74" spans="1:45" ht="13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V74" s="53"/>
      <c r="X74" s="11"/>
      <c r="Y74" s="52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52"/>
      <c r="AO74" s="11"/>
      <c r="AP74" s="11"/>
      <c r="AQ74" s="11"/>
      <c r="AR74" s="11"/>
      <c r="AS74" s="11"/>
    </row>
    <row r="75" spans="1:45" ht="13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V75" s="53"/>
      <c r="X75" s="11"/>
      <c r="Y75" s="52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52"/>
      <c r="AO75" s="11"/>
      <c r="AP75" s="11"/>
      <c r="AQ75" s="11"/>
      <c r="AR75" s="11"/>
      <c r="AS75" s="11"/>
    </row>
    <row r="76" spans="1:45" ht="13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V76" s="53"/>
      <c r="X76" s="11"/>
      <c r="Y76" s="52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52"/>
      <c r="AO76" s="11"/>
      <c r="AP76" s="11"/>
      <c r="AQ76" s="11"/>
      <c r="AR76" s="11"/>
      <c r="AS76" s="11"/>
    </row>
    <row r="77" spans="1:45" ht="13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V77" s="53"/>
      <c r="X77" s="11"/>
      <c r="Y77" s="52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52"/>
      <c r="AO77" s="11"/>
      <c r="AP77" s="11"/>
      <c r="AQ77" s="11"/>
      <c r="AR77" s="11"/>
      <c r="AS77" s="11"/>
    </row>
    <row r="78" spans="1:45" ht="13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V78" s="53"/>
      <c r="X78" s="11"/>
      <c r="Y78" s="52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52"/>
      <c r="AO78" s="11"/>
      <c r="AP78" s="11"/>
      <c r="AQ78" s="11"/>
      <c r="AR78" s="11"/>
      <c r="AS78" s="11"/>
    </row>
    <row r="79" spans="1:45" ht="13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V79" s="53"/>
      <c r="X79" s="11"/>
      <c r="Y79" s="52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52"/>
      <c r="AO79" s="11"/>
      <c r="AP79" s="11"/>
      <c r="AQ79" s="11"/>
      <c r="AR79" s="11"/>
      <c r="AS79" s="11"/>
    </row>
    <row r="80" spans="1:45" ht="13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V80" s="53"/>
      <c r="X80" s="11"/>
      <c r="Y80" s="52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52"/>
      <c r="AO80" s="11"/>
      <c r="AP80" s="11"/>
      <c r="AQ80" s="11"/>
      <c r="AR80" s="11"/>
      <c r="AS80" s="11"/>
    </row>
    <row r="81" spans="1:45" ht="13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V81" s="53"/>
      <c r="X81" s="11"/>
      <c r="Y81" s="52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52"/>
      <c r="AO81" s="11"/>
      <c r="AP81" s="11"/>
      <c r="AQ81" s="11"/>
      <c r="AR81" s="11"/>
      <c r="AS81" s="11"/>
    </row>
    <row r="82" spans="1:45" ht="13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V82" s="53"/>
      <c r="X82" s="11"/>
      <c r="Y82" s="52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52"/>
      <c r="AO82" s="11"/>
      <c r="AP82" s="11"/>
      <c r="AQ82" s="11"/>
      <c r="AR82" s="11"/>
      <c r="AS82" s="11"/>
    </row>
    <row r="83" spans="1:45" ht="13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V83" s="53"/>
      <c r="X83" s="11"/>
      <c r="Y83" s="52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52"/>
      <c r="AO83" s="11"/>
      <c r="AP83" s="11"/>
      <c r="AQ83" s="11"/>
      <c r="AR83" s="11"/>
      <c r="AS83" s="11"/>
    </row>
    <row r="84" spans="1:45" ht="13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V84" s="53"/>
      <c r="X84" s="11"/>
      <c r="Y84" s="52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52"/>
      <c r="AO84" s="11"/>
      <c r="AP84" s="11"/>
      <c r="AQ84" s="11"/>
      <c r="AR84" s="11"/>
      <c r="AS84" s="11"/>
    </row>
    <row r="85" spans="1:45" ht="13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V85" s="53"/>
      <c r="X85" s="11"/>
      <c r="Y85" s="52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52"/>
      <c r="AO85" s="11"/>
      <c r="AP85" s="11"/>
      <c r="AQ85" s="11"/>
      <c r="AR85" s="11"/>
      <c r="AS85" s="11"/>
    </row>
    <row r="86" spans="1:45" ht="13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V86" s="53"/>
      <c r="X86" s="11"/>
      <c r="Y86" s="52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52"/>
      <c r="AO86" s="11"/>
      <c r="AP86" s="11"/>
      <c r="AQ86" s="11"/>
      <c r="AR86" s="11"/>
      <c r="AS86" s="11"/>
    </row>
    <row r="87" spans="1:45" ht="13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V87" s="53"/>
      <c r="X87" s="11"/>
      <c r="Y87" s="52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52"/>
      <c r="AO87" s="11"/>
      <c r="AP87" s="11"/>
      <c r="AQ87" s="11"/>
      <c r="AR87" s="11"/>
      <c r="AS87" s="11"/>
    </row>
    <row r="88" spans="1:45" ht="13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V88" s="53"/>
      <c r="X88" s="11"/>
      <c r="Y88" s="52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52"/>
      <c r="AO88" s="11"/>
      <c r="AP88" s="11"/>
      <c r="AQ88" s="11"/>
      <c r="AR88" s="11"/>
      <c r="AS88" s="11"/>
    </row>
    <row r="89" spans="1:45" ht="13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V89" s="53"/>
      <c r="X89" s="11"/>
      <c r="Y89" s="52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52"/>
      <c r="AO89" s="11"/>
      <c r="AP89" s="11"/>
      <c r="AQ89" s="11"/>
      <c r="AR89" s="11"/>
      <c r="AS89" s="11"/>
    </row>
    <row r="90" spans="1:45" ht="13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V90" s="53"/>
      <c r="X90" s="11"/>
      <c r="Y90" s="52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52"/>
      <c r="AO90" s="11"/>
      <c r="AP90" s="11"/>
      <c r="AQ90" s="11"/>
      <c r="AR90" s="11"/>
      <c r="AS90" s="11"/>
    </row>
    <row r="91" spans="1:45" ht="13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V91" s="53"/>
      <c r="X91" s="11"/>
      <c r="Y91" s="52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52"/>
      <c r="AO91" s="11"/>
      <c r="AP91" s="11"/>
      <c r="AQ91" s="11"/>
      <c r="AR91" s="11"/>
      <c r="AS91" s="11"/>
    </row>
    <row r="92" spans="1:45" ht="13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V92" s="53"/>
      <c r="X92" s="11"/>
      <c r="Y92" s="52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52"/>
      <c r="AO92" s="11"/>
      <c r="AP92" s="11"/>
      <c r="AQ92" s="11"/>
      <c r="AR92" s="11"/>
      <c r="AS92" s="11"/>
    </row>
    <row r="93" spans="1:45" ht="13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V93" s="53"/>
      <c r="X93" s="11"/>
      <c r="Y93" s="52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52"/>
      <c r="AO93" s="11"/>
      <c r="AP93" s="11"/>
      <c r="AQ93" s="11"/>
      <c r="AR93" s="11"/>
      <c r="AS93" s="11"/>
    </row>
    <row r="94" spans="1:45" ht="13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V94" s="53"/>
      <c r="X94" s="11"/>
      <c r="Y94" s="52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52"/>
      <c r="AO94" s="11"/>
      <c r="AP94" s="11"/>
      <c r="AQ94" s="11"/>
      <c r="AR94" s="11"/>
      <c r="AS94" s="11"/>
    </row>
    <row r="95" spans="1:45" ht="13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V95" s="53"/>
      <c r="X95" s="11"/>
      <c r="Y95" s="52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52"/>
      <c r="AO95" s="11"/>
      <c r="AP95" s="11"/>
      <c r="AQ95" s="11"/>
      <c r="AR95" s="11"/>
      <c r="AS95" s="11"/>
    </row>
    <row r="96" spans="1:45" ht="13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V96" s="53"/>
      <c r="X96" s="11"/>
      <c r="Y96" s="52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52"/>
      <c r="AO96" s="11"/>
      <c r="AP96" s="11"/>
      <c r="AQ96" s="11"/>
      <c r="AR96" s="11"/>
      <c r="AS96" s="11"/>
    </row>
    <row r="97" spans="1:45" ht="13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V97" s="53"/>
      <c r="X97" s="11"/>
      <c r="Y97" s="52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52"/>
      <c r="AO97" s="11"/>
      <c r="AP97" s="11"/>
      <c r="AQ97" s="11"/>
      <c r="AR97" s="11"/>
      <c r="AS97" s="11"/>
    </row>
    <row r="98" spans="1:45" ht="13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V98" s="53"/>
      <c r="X98" s="11"/>
      <c r="Y98" s="52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52"/>
      <c r="AO98" s="11"/>
      <c r="AP98" s="11"/>
      <c r="AQ98" s="11"/>
      <c r="AR98" s="11"/>
      <c r="AS98" s="11"/>
    </row>
    <row r="99" spans="1:45" ht="13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V99" s="53"/>
      <c r="X99" s="11"/>
      <c r="Y99" s="52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52"/>
      <c r="AO99" s="11"/>
      <c r="AP99" s="11"/>
      <c r="AQ99" s="11"/>
      <c r="AR99" s="11"/>
      <c r="AS99" s="11"/>
    </row>
    <row r="100" spans="1:45" ht="13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V100" s="53"/>
      <c r="X100" s="11"/>
      <c r="Y100" s="52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52"/>
      <c r="AO100" s="11"/>
      <c r="AP100" s="11"/>
      <c r="AQ100" s="11"/>
      <c r="AR100" s="11"/>
      <c r="AS100" s="11"/>
    </row>
    <row r="101" spans="1:45" ht="13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V101" s="53"/>
      <c r="X101" s="11"/>
      <c r="Y101" s="52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52"/>
      <c r="AO101" s="11"/>
      <c r="AP101" s="11"/>
      <c r="AQ101" s="11"/>
      <c r="AR101" s="11"/>
      <c r="AS101" s="11"/>
    </row>
    <row r="102" spans="1:45" ht="13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V102" s="53"/>
      <c r="X102" s="11"/>
      <c r="Y102" s="52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52"/>
      <c r="AO102" s="11"/>
      <c r="AP102" s="11"/>
      <c r="AQ102" s="11"/>
      <c r="AR102" s="11"/>
      <c r="AS102" s="11"/>
    </row>
    <row r="103" spans="1:45" ht="13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V103" s="53"/>
      <c r="X103" s="11"/>
      <c r="Y103" s="52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52"/>
      <c r="AO103" s="11"/>
      <c r="AP103" s="11"/>
      <c r="AQ103" s="11"/>
      <c r="AR103" s="11"/>
      <c r="AS103" s="11"/>
    </row>
    <row r="104" spans="1:45" ht="13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V104" s="53"/>
      <c r="X104" s="11"/>
      <c r="Y104" s="52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52"/>
      <c r="AO104" s="11"/>
      <c r="AP104" s="11"/>
      <c r="AQ104" s="11"/>
      <c r="AR104" s="11"/>
      <c r="AS104" s="11"/>
    </row>
    <row r="105" spans="1:45" ht="13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V105" s="53"/>
      <c r="X105" s="11"/>
      <c r="Y105" s="52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52"/>
      <c r="AO105" s="11"/>
      <c r="AP105" s="11"/>
      <c r="AQ105" s="11"/>
      <c r="AR105" s="11"/>
      <c r="AS105" s="11"/>
    </row>
    <row r="106" spans="1:45" ht="13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V106" s="53"/>
      <c r="X106" s="11"/>
      <c r="Y106" s="52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52"/>
      <c r="AO106" s="11"/>
      <c r="AP106" s="11"/>
      <c r="AQ106" s="11"/>
      <c r="AR106" s="11"/>
      <c r="AS106" s="11"/>
    </row>
    <row r="107" spans="1:45" ht="13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V107" s="53"/>
      <c r="X107" s="11"/>
      <c r="Y107" s="52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52"/>
      <c r="AO107" s="11"/>
      <c r="AP107" s="11"/>
      <c r="AQ107" s="11"/>
      <c r="AR107" s="11"/>
      <c r="AS107" s="11"/>
    </row>
    <row r="108" spans="1:45" ht="13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V108" s="53"/>
      <c r="X108" s="11"/>
      <c r="Y108" s="52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52"/>
      <c r="AO108" s="11"/>
      <c r="AP108" s="11"/>
      <c r="AQ108" s="11"/>
      <c r="AR108" s="11"/>
      <c r="AS108" s="11"/>
    </row>
    <row r="109" spans="1:45" ht="13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V109" s="53"/>
      <c r="X109" s="11"/>
      <c r="Y109" s="52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52"/>
      <c r="AO109" s="11"/>
      <c r="AP109" s="11"/>
      <c r="AQ109" s="11"/>
      <c r="AR109" s="11"/>
      <c r="AS109" s="11"/>
    </row>
    <row r="110" spans="1:45" ht="13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V110" s="53"/>
      <c r="X110" s="11"/>
      <c r="Y110" s="52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52"/>
      <c r="AO110" s="11"/>
      <c r="AP110" s="11"/>
      <c r="AQ110" s="11"/>
      <c r="AR110" s="11"/>
      <c r="AS110" s="11"/>
    </row>
    <row r="111" spans="1:45" ht="13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V111" s="53"/>
      <c r="X111" s="11"/>
      <c r="Y111" s="52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52"/>
      <c r="AO111" s="11"/>
      <c r="AP111" s="11"/>
      <c r="AQ111" s="11"/>
      <c r="AR111" s="11"/>
      <c r="AS111" s="11"/>
    </row>
    <row r="112" spans="1:45" ht="13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V112" s="53"/>
      <c r="X112" s="11"/>
      <c r="Y112" s="52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52"/>
      <c r="AO112" s="11"/>
      <c r="AP112" s="11"/>
      <c r="AQ112" s="11"/>
      <c r="AR112" s="11"/>
      <c r="AS112" s="11"/>
    </row>
    <row r="113" spans="1:45" ht="13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V113" s="53"/>
      <c r="X113" s="11"/>
      <c r="Y113" s="52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52"/>
      <c r="AO113" s="11"/>
      <c r="AP113" s="11"/>
      <c r="AQ113" s="11"/>
      <c r="AR113" s="11"/>
      <c r="AS113" s="11"/>
    </row>
    <row r="114" spans="1:45" ht="13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V114" s="53"/>
      <c r="X114" s="11"/>
      <c r="Y114" s="52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52"/>
      <c r="AO114" s="11"/>
      <c r="AP114" s="11"/>
      <c r="AQ114" s="11"/>
      <c r="AR114" s="11"/>
      <c r="AS114" s="11"/>
    </row>
    <row r="115" spans="1:45" ht="13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V115" s="53"/>
      <c r="X115" s="11"/>
      <c r="Y115" s="52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52"/>
      <c r="AO115" s="11"/>
      <c r="AP115" s="11"/>
      <c r="AQ115" s="11"/>
      <c r="AR115" s="11"/>
      <c r="AS115" s="11"/>
    </row>
    <row r="116" spans="1:45" ht="13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V116" s="53"/>
      <c r="X116" s="11"/>
      <c r="Y116" s="52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52"/>
      <c r="AO116" s="11"/>
      <c r="AP116" s="11"/>
      <c r="AQ116" s="11"/>
      <c r="AR116" s="11"/>
      <c r="AS116" s="11"/>
    </row>
    <row r="117" spans="1:45" ht="13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V117" s="53"/>
      <c r="X117" s="11"/>
      <c r="Y117" s="52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52"/>
      <c r="AO117" s="11"/>
      <c r="AP117" s="11"/>
      <c r="AQ117" s="11"/>
      <c r="AR117" s="11"/>
      <c r="AS117" s="11"/>
    </row>
    <row r="118" spans="1:45" ht="13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V118" s="53"/>
      <c r="X118" s="11"/>
      <c r="Y118" s="52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52"/>
      <c r="AO118" s="11"/>
      <c r="AP118" s="11"/>
      <c r="AQ118" s="11"/>
      <c r="AR118" s="11"/>
      <c r="AS118" s="11"/>
    </row>
    <row r="119" spans="1:45" ht="13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V119" s="53"/>
      <c r="X119" s="11"/>
      <c r="Y119" s="52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52"/>
      <c r="AO119" s="11"/>
      <c r="AP119" s="11"/>
      <c r="AQ119" s="11"/>
      <c r="AR119" s="11"/>
      <c r="AS119" s="11"/>
    </row>
    <row r="120" spans="1:45" ht="13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V120" s="53"/>
      <c r="X120" s="11"/>
      <c r="Y120" s="52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52"/>
      <c r="AO120" s="11"/>
      <c r="AP120" s="11"/>
      <c r="AQ120" s="11"/>
      <c r="AR120" s="11"/>
      <c r="AS120" s="11"/>
    </row>
    <row r="121" spans="1:45" ht="13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V121" s="53"/>
      <c r="X121" s="11"/>
      <c r="Y121" s="52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52"/>
      <c r="AO121" s="11"/>
      <c r="AP121" s="11"/>
      <c r="AQ121" s="11"/>
      <c r="AR121" s="11"/>
      <c r="AS121" s="11"/>
    </row>
    <row r="122" spans="1:45" ht="13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V122" s="53"/>
      <c r="X122" s="11"/>
      <c r="Y122" s="52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52"/>
      <c r="AO122" s="11"/>
      <c r="AP122" s="11"/>
      <c r="AQ122" s="11"/>
      <c r="AR122" s="11"/>
      <c r="AS122" s="11"/>
    </row>
    <row r="123" spans="1:45" ht="13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V123" s="53"/>
      <c r="X123" s="11"/>
      <c r="Y123" s="52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52"/>
      <c r="AO123" s="11"/>
      <c r="AP123" s="11"/>
      <c r="AQ123" s="11"/>
      <c r="AR123" s="11"/>
      <c r="AS123" s="11"/>
    </row>
    <row r="124" spans="1:45" ht="13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V124" s="53"/>
      <c r="X124" s="11"/>
      <c r="Y124" s="52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52"/>
      <c r="AO124" s="11"/>
      <c r="AP124" s="11"/>
      <c r="AQ124" s="11"/>
      <c r="AR124" s="11"/>
      <c r="AS124" s="11"/>
    </row>
    <row r="125" spans="1:45" ht="13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V125" s="53"/>
      <c r="X125" s="11"/>
      <c r="Y125" s="52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52"/>
      <c r="AO125" s="11"/>
      <c r="AP125" s="11"/>
      <c r="AQ125" s="11"/>
      <c r="AR125" s="11"/>
      <c r="AS125" s="11"/>
    </row>
    <row r="126" spans="1:45" ht="13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V126" s="53"/>
      <c r="X126" s="11"/>
      <c r="Y126" s="52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52"/>
      <c r="AO126" s="11"/>
      <c r="AP126" s="11"/>
      <c r="AQ126" s="11"/>
      <c r="AR126" s="11"/>
      <c r="AS126" s="11"/>
    </row>
    <row r="127" spans="1:45" ht="13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V127" s="53"/>
      <c r="X127" s="11"/>
      <c r="Y127" s="52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52"/>
      <c r="AO127" s="11"/>
      <c r="AP127" s="11"/>
      <c r="AQ127" s="11"/>
      <c r="AR127" s="11"/>
      <c r="AS127" s="11"/>
    </row>
    <row r="128" spans="1:45" ht="13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V128" s="53"/>
      <c r="X128" s="11"/>
      <c r="Y128" s="52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52"/>
      <c r="AO128" s="11"/>
      <c r="AP128" s="11"/>
      <c r="AQ128" s="11"/>
      <c r="AR128" s="11"/>
      <c r="AS128" s="11"/>
    </row>
    <row r="129" spans="1:45" ht="13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V129" s="53"/>
      <c r="X129" s="11"/>
      <c r="Y129" s="52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52"/>
      <c r="AO129" s="11"/>
      <c r="AP129" s="11"/>
      <c r="AQ129" s="11"/>
      <c r="AR129" s="11"/>
      <c r="AS129" s="11"/>
    </row>
    <row r="130" spans="1:45" ht="13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V130" s="53"/>
      <c r="X130" s="11"/>
      <c r="Y130" s="52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52"/>
      <c r="AO130" s="11"/>
      <c r="AP130" s="11"/>
      <c r="AQ130" s="11"/>
      <c r="AR130" s="11"/>
      <c r="AS130" s="11"/>
    </row>
    <row r="131" spans="1:45" ht="13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V131" s="53"/>
      <c r="X131" s="11"/>
      <c r="Y131" s="52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52"/>
      <c r="AO131" s="11"/>
      <c r="AP131" s="11"/>
      <c r="AQ131" s="11"/>
      <c r="AR131" s="11"/>
      <c r="AS131" s="11"/>
    </row>
    <row r="132" spans="1:45" ht="13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V132" s="53"/>
      <c r="X132" s="11"/>
      <c r="Y132" s="52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52"/>
      <c r="AO132" s="11"/>
      <c r="AP132" s="11"/>
      <c r="AQ132" s="11"/>
      <c r="AR132" s="11"/>
      <c r="AS132" s="11"/>
    </row>
    <row r="133" spans="1:45" ht="13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V133" s="53"/>
      <c r="X133" s="11"/>
      <c r="Y133" s="52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52"/>
      <c r="AO133" s="11"/>
      <c r="AP133" s="11"/>
      <c r="AQ133" s="11"/>
      <c r="AR133" s="11"/>
      <c r="AS133" s="11"/>
    </row>
    <row r="134" spans="1:45" ht="13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V134" s="53"/>
      <c r="X134" s="11"/>
      <c r="Y134" s="52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52"/>
      <c r="AO134" s="11"/>
      <c r="AP134" s="11"/>
      <c r="AQ134" s="11"/>
      <c r="AR134" s="11"/>
      <c r="AS134" s="11"/>
    </row>
    <row r="135" spans="1:45" ht="13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V135" s="53"/>
      <c r="X135" s="11"/>
      <c r="Y135" s="52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52"/>
      <c r="AO135" s="11"/>
      <c r="AP135" s="11"/>
      <c r="AQ135" s="11"/>
      <c r="AR135" s="11"/>
      <c r="AS135" s="11"/>
    </row>
    <row r="136" spans="1:45" ht="13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V136" s="53"/>
      <c r="X136" s="11"/>
      <c r="Y136" s="52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52"/>
      <c r="AO136" s="11"/>
      <c r="AP136" s="11"/>
      <c r="AQ136" s="11"/>
      <c r="AR136" s="11"/>
      <c r="AS136" s="11"/>
    </row>
    <row r="137" spans="1:45" ht="13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V137" s="53"/>
      <c r="X137" s="11"/>
      <c r="Y137" s="52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52"/>
      <c r="AO137" s="11"/>
      <c r="AP137" s="11"/>
      <c r="AQ137" s="11"/>
      <c r="AR137" s="11"/>
      <c r="AS137" s="11"/>
    </row>
    <row r="138" spans="1:45" ht="13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V138" s="53"/>
      <c r="X138" s="11"/>
      <c r="Y138" s="52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52"/>
      <c r="AO138" s="11"/>
      <c r="AP138" s="11"/>
      <c r="AQ138" s="11"/>
      <c r="AR138" s="11"/>
      <c r="AS138" s="11"/>
    </row>
    <row r="139" spans="1:45" ht="13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V139" s="53"/>
      <c r="X139" s="11"/>
      <c r="Y139" s="52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52"/>
      <c r="AO139" s="11"/>
      <c r="AP139" s="11"/>
      <c r="AQ139" s="11"/>
      <c r="AR139" s="11"/>
      <c r="AS139" s="11"/>
    </row>
    <row r="140" spans="1:45" ht="13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V140" s="53"/>
      <c r="X140" s="11"/>
      <c r="Y140" s="52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52"/>
      <c r="AO140" s="11"/>
      <c r="AP140" s="11"/>
      <c r="AQ140" s="11"/>
      <c r="AR140" s="11"/>
      <c r="AS140" s="11"/>
    </row>
    <row r="141" spans="1:45" ht="13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V141" s="53"/>
      <c r="X141" s="11"/>
      <c r="Y141" s="52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52"/>
      <c r="AO141" s="11"/>
      <c r="AP141" s="11"/>
      <c r="AQ141" s="11"/>
      <c r="AR141" s="11"/>
      <c r="AS141" s="11"/>
    </row>
    <row r="142" spans="1:45" ht="13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V142" s="53"/>
      <c r="X142" s="11"/>
      <c r="Y142" s="52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52"/>
      <c r="AO142" s="11"/>
      <c r="AP142" s="11"/>
      <c r="AQ142" s="11"/>
      <c r="AR142" s="11"/>
      <c r="AS142" s="11"/>
    </row>
    <row r="143" spans="1:45" ht="13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V143" s="53"/>
      <c r="X143" s="11"/>
      <c r="Y143" s="52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52"/>
      <c r="AO143" s="11"/>
      <c r="AP143" s="11"/>
      <c r="AQ143" s="11"/>
      <c r="AR143" s="11"/>
      <c r="AS143" s="11"/>
    </row>
    <row r="144" spans="1:45" ht="13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V144" s="53"/>
      <c r="X144" s="11"/>
      <c r="Y144" s="52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52"/>
      <c r="AO144" s="11"/>
      <c r="AP144" s="11"/>
      <c r="AQ144" s="11"/>
      <c r="AR144" s="11"/>
      <c r="AS144" s="11"/>
    </row>
    <row r="145" spans="1:45" ht="13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V145" s="53"/>
      <c r="X145" s="11"/>
      <c r="Y145" s="52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52"/>
      <c r="AO145" s="11"/>
      <c r="AP145" s="11"/>
      <c r="AQ145" s="11"/>
      <c r="AR145" s="11"/>
      <c r="AS145" s="11"/>
    </row>
    <row r="146" spans="1:45" ht="13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V146" s="53"/>
      <c r="X146" s="11"/>
      <c r="Y146" s="52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52"/>
      <c r="AO146" s="11"/>
      <c r="AP146" s="11"/>
      <c r="AQ146" s="11"/>
      <c r="AR146" s="11"/>
      <c r="AS146" s="11"/>
    </row>
    <row r="147" spans="1:45" ht="13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V147" s="53"/>
      <c r="X147" s="11"/>
      <c r="Y147" s="52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52"/>
      <c r="AO147" s="11"/>
      <c r="AP147" s="11"/>
      <c r="AQ147" s="11"/>
      <c r="AR147" s="11"/>
      <c r="AS147" s="11"/>
    </row>
    <row r="148" spans="1:45" ht="13.2">
      <c r="A148" s="17"/>
      <c r="V148" s="53"/>
      <c r="X148" s="11"/>
      <c r="Y148" s="52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52"/>
      <c r="AO148" s="11"/>
      <c r="AP148" s="11"/>
      <c r="AQ148" s="11"/>
      <c r="AR148" s="11"/>
      <c r="AS148" s="11"/>
    </row>
    <row r="149" spans="1:45" ht="13.2">
      <c r="A149" s="17"/>
      <c r="V149" s="53"/>
      <c r="X149" s="11"/>
      <c r="Y149" s="52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52"/>
      <c r="AO149" s="11"/>
      <c r="AP149" s="11"/>
      <c r="AQ149" s="11"/>
      <c r="AR149" s="11"/>
      <c r="AS149" s="11"/>
    </row>
    <row r="150" spans="1:45" ht="13.2">
      <c r="A150" s="17"/>
      <c r="V150" s="53"/>
      <c r="X150" s="11"/>
      <c r="Y150" s="52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52"/>
      <c r="AO150" s="11"/>
      <c r="AP150" s="11"/>
      <c r="AQ150" s="11"/>
      <c r="AR150" s="11"/>
      <c r="AS150" s="11"/>
    </row>
    <row r="151" spans="1:45" ht="13.2">
      <c r="A151" s="17"/>
      <c r="V151" s="53"/>
      <c r="X151" s="11"/>
      <c r="Y151" s="52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52"/>
      <c r="AO151" s="11"/>
      <c r="AP151" s="11"/>
      <c r="AQ151" s="11"/>
      <c r="AR151" s="11"/>
      <c r="AS151" s="11"/>
    </row>
    <row r="152" spans="1:45" ht="13.2">
      <c r="A152" s="17"/>
      <c r="V152" s="53"/>
      <c r="X152" s="11"/>
      <c r="Y152" s="52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52"/>
      <c r="AO152" s="11"/>
      <c r="AP152" s="11"/>
      <c r="AQ152" s="11"/>
      <c r="AR152" s="11"/>
      <c r="AS152" s="11"/>
    </row>
    <row r="153" spans="1:45" ht="13.2">
      <c r="A153" s="17"/>
      <c r="V153" s="53"/>
      <c r="X153" s="11"/>
      <c r="Y153" s="52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52"/>
      <c r="AO153" s="11"/>
      <c r="AP153" s="11"/>
      <c r="AQ153" s="11"/>
      <c r="AR153" s="11"/>
      <c r="AS153" s="11"/>
    </row>
    <row r="154" spans="1:45" ht="13.2">
      <c r="A154" s="17"/>
      <c r="V154" s="53"/>
      <c r="X154" s="11"/>
      <c r="Y154" s="52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52"/>
      <c r="AO154" s="11"/>
      <c r="AP154" s="11"/>
      <c r="AQ154" s="11"/>
      <c r="AR154" s="11"/>
      <c r="AS154" s="11"/>
    </row>
    <row r="155" spans="1:45" ht="13.2">
      <c r="A155" s="17"/>
      <c r="V155" s="53"/>
      <c r="X155" s="11"/>
      <c r="Y155" s="52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52"/>
      <c r="AO155" s="11"/>
      <c r="AP155" s="11"/>
      <c r="AQ155" s="11"/>
      <c r="AR155" s="11"/>
      <c r="AS155" s="11"/>
    </row>
    <row r="156" spans="1:45" ht="13.2">
      <c r="A156" s="17"/>
      <c r="V156" s="53"/>
      <c r="X156" s="11"/>
      <c r="Y156" s="52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52"/>
      <c r="AO156" s="11"/>
      <c r="AP156" s="11"/>
      <c r="AQ156" s="11"/>
      <c r="AR156" s="11"/>
      <c r="AS156" s="11"/>
    </row>
    <row r="157" spans="1:45" ht="13.2">
      <c r="A157" s="17"/>
      <c r="V157" s="53"/>
      <c r="X157" s="11"/>
      <c r="Y157" s="52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52"/>
      <c r="AO157" s="11"/>
      <c r="AP157" s="11"/>
      <c r="AQ157" s="11"/>
      <c r="AR157" s="11"/>
      <c r="AS157" s="11"/>
    </row>
    <row r="158" spans="1:45" ht="13.2">
      <c r="A158" s="17"/>
      <c r="V158" s="53"/>
      <c r="X158" s="11"/>
      <c r="Y158" s="52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52"/>
      <c r="AO158" s="11"/>
      <c r="AP158" s="11"/>
      <c r="AQ158" s="11"/>
      <c r="AR158" s="11"/>
      <c r="AS158" s="11"/>
    </row>
    <row r="159" spans="1:45" ht="13.2">
      <c r="A159" s="17"/>
      <c r="V159" s="53"/>
      <c r="X159" s="11"/>
      <c r="Y159" s="52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52"/>
      <c r="AO159" s="11"/>
      <c r="AP159" s="11"/>
      <c r="AQ159" s="11"/>
      <c r="AR159" s="11"/>
      <c r="AS159" s="11"/>
    </row>
    <row r="160" spans="1:45" ht="13.2">
      <c r="A160" s="17"/>
      <c r="V160" s="53"/>
      <c r="X160" s="11"/>
      <c r="Y160" s="52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52"/>
      <c r="AO160" s="11"/>
      <c r="AP160" s="11"/>
      <c r="AQ160" s="11"/>
      <c r="AR160" s="11"/>
      <c r="AS160" s="11"/>
    </row>
    <row r="161" spans="1:45" ht="13.2">
      <c r="A161" s="17"/>
      <c r="V161" s="53"/>
      <c r="X161" s="11"/>
      <c r="Y161" s="52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52"/>
      <c r="AO161" s="11"/>
      <c r="AP161" s="11"/>
      <c r="AQ161" s="11"/>
      <c r="AR161" s="11"/>
      <c r="AS161" s="11"/>
    </row>
    <row r="162" spans="1:45" ht="13.2">
      <c r="A162" s="17"/>
      <c r="V162" s="53"/>
      <c r="X162" s="11"/>
      <c r="Y162" s="52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52"/>
      <c r="AO162" s="11"/>
      <c r="AP162" s="11"/>
      <c r="AQ162" s="11"/>
      <c r="AR162" s="11"/>
      <c r="AS162" s="11"/>
    </row>
    <row r="163" spans="1:45" ht="13.2">
      <c r="A163" s="17"/>
      <c r="V163" s="53"/>
      <c r="X163" s="11"/>
      <c r="Y163" s="52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52"/>
      <c r="AO163" s="11"/>
      <c r="AP163" s="11"/>
      <c r="AQ163" s="11"/>
      <c r="AR163" s="11"/>
      <c r="AS163" s="11"/>
    </row>
    <row r="164" spans="1:45" ht="13.2">
      <c r="A164" s="17"/>
      <c r="V164" s="53"/>
      <c r="X164" s="11"/>
      <c r="Y164" s="52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52"/>
      <c r="AO164" s="11"/>
      <c r="AP164" s="11"/>
      <c r="AQ164" s="11"/>
      <c r="AR164" s="11"/>
      <c r="AS164" s="11"/>
    </row>
    <row r="165" spans="1:45" ht="13.2">
      <c r="A165" s="17"/>
      <c r="V165" s="53"/>
      <c r="X165" s="11"/>
      <c r="Y165" s="52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52"/>
      <c r="AO165" s="11"/>
      <c r="AP165" s="11"/>
      <c r="AQ165" s="11"/>
      <c r="AR165" s="11"/>
      <c r="AS165" s="11"/>
    </row>
    <row r="166" spans="1:45" ht="13.2">
      <c r="A166" s="17"/>
      <c r="V166" s="53"/>
      <c r="X166" s="11"/>
      <c r="Y166" s="52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52"/>
      <c r="AO166" s="11"/>
      <c r="AP166" s="11"/>
      <c r="AQ166" s="11"/>
      <c r="AR166" s="11"/>
      <c r="AS166" s="11"/>
    </row>
    <row r="167" spans="1:45" ht="13.2">
      <c r="A167" s="17"/>
      <c r="V167" s="53"/>
      <c r="X167" s="11"/>
      <c r="Y167" s="52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52"/>
      <c r="AO167" s="11"/>
      <c r="AP167" s="11"/>
      <c r="AQ167" s="11"/>
      <c r="AR167" s="11"/>
      <c r="AS167" s="11"/>
    </row>
    <row r="168" spans="1:45" ht="13.2">
      <c r="A168" s="17"/>
      <c r="V168" s="53"/>
      <c r="X168" s="11"/>
      <c r="Y168" s="52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52"/>
      <c r="AO168" s="11"/>
      <c r="AP168" s="11"/>
      <c r="AQ168" s="11"/>
      <c r="AR168" s="11"/>
      <c r="AS168" s="11"/>
    </row>
    <row r="169" spans="1:45" ht="13.2">
      <c r="A169" s="17"/>
      <c r="V169" s="53"/>
      <c r="X169" s="11"/>
      <c r="Y169" s="52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52"/>
      <c r="AO169" s="11"/>
      <c r="AP169" s="11"/>
      <c r="AQ169" s="11"/>
      <c r="AR169" s="11"/>
      <c r="AS169" s="11"/>
    </row>
    <row r="170" spans="1:45" ht="13.2">
      <c r="A170" s="17"/>
      <c r="V170" s="53"/>
      <c r="X170" s="11"/>
      <c r="Y170" s="52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52"/>
      <c r="AO170" s="11"/>
      <c r="AP170" s="11"/>
      <c r="AQ170" s="11"/>
      <c r="AR170" s="11"/>
      <c r="AS170" s="11"/>
    </row>
    <row r="171" spans="1:45" ht="13.2">
      <c r="A171" s="17"/>
      <c r="V171" s="53"/>
      <c r="X171" s="11"/>
      <c r="Y171" s="52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52"/>
      <c r="AO171" s="11"/>
      <c r="AP171" s="11"/>
      <c r="AQ171" s="11"/>
      <c r="AR171" s="11"/>
      <c r="AS171" s="11"/>
    </row>
    <row r="172" spans="1:45" ht="13.2">
      <c r="C172" s="16"/>
      <c r="V172" s="53"/>
      <c r="X172" s="11"/>
      <c r="Y172" s="52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52"/>
      <c r="AO172" s="11"/>
      <c r="AP172" s="11"/>
      <c r="AQ172" s="11"/>
      <c r="AR172" s="11"/>
      <c r="AS17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36"/>
  <sheetViews>
    <sheetView workbookViewId="0"/>
  </sheetViews>
  <sheetFormatPr defaultColWidth="14.44140625" defaultRowHeight="15.75" customHeight="1"/>
  <cols>
    <col min="1" max="1" width="30" customWidth="1"/>
  </cols>
  <sheetData>
    <row r="1" spans="1:13" ht="15.75" customHeight="1">
      <c r="A1" s="63" t="s">
        <v>361</v>
      </c>
    </row>
    <row r="2" spans="1:13" ht="15.75" customHeight="1">
      <c r="A2" s="16" t="s">
        <v>362</v>
      </c>
      <c r="C2" s="16" t="s">
        <v>363</v>
      </c>
    </row>
    <row r="3" spans="1:13" ht="15.75" customHeight="1">
      <c r="A3" s="16" t="s">
        <v>364</v>
      </c>
      <c r="C3" s="16" t="s">
        <v>365</v>
      </c>
    </row>
    <row r="4" spans="1:13" ht="15.75" customHeight="1">
      <c r="A4" s="16" t="s">
        <v>366</v>
      </c>
      <c r="C4" s="16" t="s">
        <v>367</v>
      </c>
    </row>
    <row r="5" spans="1:13" ht="15.75" customHeight="1">
      <c r="A5" s="16" t="s">
        <v>368</v>
      </c>
      <c r="C5" s="16" t="s">
        <v>367</v>
      </c>
    </row>
    <row r="6" spans="1:13" ht="15.75" customHeight="1">
      <c r="A6" s="16" t="s">
        <v>369</v>
      </c>
      <c r="C6" s="16" t="s">
        <v>370</v>
      </c>
    </row>
    <row r="7" spans="1:13" ht="15.75" customHeight="1">
      <c r="A7" s="16" t="s">
        <v>371</v>
      </c>
      <c r="C7" s="16" t="s">
        <v>372</v>
      </c>
      <c r="E7" s="16"/>
      <c r="F7" s="16" t="s">
        <v>373</v>
      </c>
      <c r="G7" s="64"/>
    </row>
    <row r="8" spans="1:13" ht="15.75" customHeight="1">
      <c r="A8" s="16" t="s">
        <v>374</v>
      </c>
      <c r="C8" s="16" t="s">
        <v>375</v>
      </c>
      <c r="G8" s="64"/>
    </row>
    <row r="9" spans="1:13" ht="15.75" customHeight="1">
      <c r="G9" s="65"/>
      <c r="H9" s="66"/>
      <c r="I9" s="67"/>
    </row>
    <row r="10" spans="1:13" ht="15.75" customHeight="1">
      <c r="G10" s="65"/>
    </row>
    <row r="11" spans="1:13" ht="15.75" customHeight="1">
      <c r="G11" s="68"/>
    </row>
    <row r="12" spans="1:13" ht="15.75" customHeight="1">
      <c r="G12" s="68"/>
    </row>
    <row r="13" spans="1:13" ht="15.75" customHeight="1">
      <c r="G13" s="69"/>
    </row>
    <row r="14" spans="1:13" ht="15.75" customHeight="1">
      <c r="C14" s="16" t="s">
        <v>376</v>
      </c>
      <c r="D14" s="16" t="s">
        <v>377</v>
      </c>
      <c r="E14" s="70" t="s">
        <v>378</v>
      </c>
      <c r="F14" s="71">
        <v>10000</v>
      </c>
      <c r="G14" s="16" t="s">
        <v>379</v>
      </c>
      <c r="H14" s="28" t="s">
        <v>162</v>
      </c>
      <c r="I14" s="16" t="s">
        <v>380</v>
      </c>
      <c r="J14" s="11">
        <v>5</v>
      </c>
      <c r="K14" s="16" t="s">
        <v>381</v>
      </c>
      <c r="M14" s="11" t="str">
        <f t="shared" ref="M14:M23" si="0">C14&amp;E14&amp;H14&amp;I14&amp;J14&amp;K14</f>
        <v>AY3= "&lt; $10K",5,</v>
      </c>
    </row>
    <row r="15" spans="1:13" ht="15.75" customHeight="1">
      <c r="C15" s="16" t="s">
        <v>376</v>
      </c>
      <c r="D15" s="16" t="s">
        <v>382</v>
      </c>
      <c r="E15" s="70" t="s">
        <v>378</v>
      </c>
      <c r="F15" s="71">
        <v>50000</v>
      </c>
      <c r="G15" s="16" t="s">
        <v>379</v>
      </c>
      <c r="H15" s="28" t="s">
        <v>189</v>
      </c>
      <c r="I15" s="16" t="s">
        <v>380</v>
      </c>
      <c r="J15" s="11">
        <v>4.5999999999999996</v>
      </c>
      <c r="K15" s="16" t="s">
        <v>381</v>
      </c>
      <c r="M15" s="11" t="str">
        <f t="shared" si="0"/>
        <v>AY3= "$10K - $50K",4.6,</v>
      </c>
    </row>
    <row r="16" spans="1:13" ht="15.75" customHeight="1">
      <c r="C16" s="16" t="s">
        <v>376</v>
      </c>
      <c r="D16" s="16" t="s">
        <v>382</v>
      </c>
      <c r="E16" s="70" t="s">
        <v>378</v>
      </c>
      <c r="F16" s="71">
        <v>100000</v>
      </c>
      <c r="G16" s="16" t="s">
        <v>379</v>
      </c>
      <c r="H16" s="28" t="s">
        <v>209</v>
      </c>
      <c r="I16" s="16" t="s">
        <v>380</v>
      </c>
      <c r="J16" s="11">
        <v>4.0999999999999996</v>
      </c>
      <c r="K16" s="16" t="s">
        <v>381</v>
      </c>
      <c r="M16" s="11" t="str">
        <f t="shared" si="0"/>
        <v>AY3= "$50K - $100K",4.1,</v>
      </c>
    </row>
    <row r="17" spans="3:13" ht="13.2">
      <c r="C17" s="16" t="s">
        <v>376</v>
      </c>
      <c r="D17" s="16" t="s">
        <v>382</v>
      </c>
      <c r="E17" s="70" t="s">
        <v>378</v>
      </c>
      <c r="F17" s="71">
        <v>500000</v>
      </c>
      <c r="G17" s="16" t="s">
        <v>379</v>
      </c>
      <c r="H17" s="28" t="s">
        <v>225</v>
      </c>
      <c r="I17" s="16" t="s">
        <v>380</v>
      </c>
      <c r="J17" s="11">
        <v>3.7</v>
      </c>
      <c r="K17" s="16" t="s">
        <v>381</v>
      </c>
      <c r="M17" s="11" t="str">
        <f t="shared" si="0"/>
        <v>AY3= "$100K - $500K",3.7,</v>
      </c>
    </row>
    <row r="18" spans="3:13" ht="13.2">
      <c r="C18" s="16" t="s">
        <v>376</v>
      </c>
      <c r="D18" s="16" t="s">
        <v>382</v>
      </c>
      <c r="E18" s="70" t="s">
        <v>378</v>
      </c>
      <c r="F18" s="71">
        <v>1000000</v>
      </c>
      <c r="G18" s="16" t="s">
        <v>379</v>
      </c>
      <c r="H18" s="28" t="s">
        <v>239</v>
      </c>
      <c r="I18" s="16" t="s">
        <v>380</v>
      </c>
      <c r="J18" s="11">
        <v>3.2</v>
      </c>
      <c r="K18" s="16" t="s">
        <v>381</v>
      </c>
      <c r="M18" s="11" t="str">
        <f t="shared" si="0"/>
        <v>AY3= "$500K - $1M",3.2,</v>
      </c>
    </row>
    <row r="19" spans="3:13" ht="13.2">
      <c r="C19" s="16" t="s">
        <v>376</v>
      </c>
      <c r="D19" s="16" t="s">
        <v>382</v>
      </c>
      <c r="E19" s="70" t="s">
        <v>378</v>
      </c>
      <c r="F19" s="71">
        <v>2000000</v>
      </c>
      <c r="G19" s="16" t="s">
        <v>379</v>
      </c>
      <c r="H19" s="28" t="s">
        <v>188</v>
      </c>
      <c r="I19" s="16" t="s">
        <v>380</v>
      </c>
      <c r="J19" s="11">
        <v>2.8</v>
      </c>
      <c r="K19" s="16" t="s">
        <v>381</v>
      </c>
      <c r="M19" s="11" t="str">
        <f t="shared" si="0"/>
        <v>AY3= "$1M - $2M",2.8,</v>
      </c>
    </row>
    <row r="20" spans="3:13" ht="13.2">
      <c r="C20" s="16" t="s">
        <v>376</v>
      </c>
      <c r="D20" s="16" t="s">
        <v>382</v>
      </c>
      <c r="E20" s="70" t="s">
        <v>378</v>
      </c>
      <c r="F20" s="71">
        <v>3000000</v>
      </c>
      <c r="G20" s="16" t="s">
        <v>379</v>
      </c>
      <c r="H20" s="28" t="s">
        <v>262</v>
      </c>
      <c r="I20" s="16" t="s">
        <v>380</v>
      </c>
      <c r="J20" s="11">
        <v>2.2999999999999998</v>
      </c>
      <c r="K20" s="16" t="s">
        <v>381</v>
      </c>
      <c r="M20" s="11" t="str">
        <f t="shared" si="0"/>
        <v>AY3= "$2M - $3M",2.3,</v>
      </c>
    </row>
    <row r="21" spans="3:13" ht="13.2">
      <c r="C21" s="16" t="s">
        <v>376</v>
      </c>
      <c r="D21" s="16" t="s">
        <v>382</v>
      </c>
      <c r="E21" s="70" t="s">
        <v>378</v>
      </c>
      <c r="F21" s="71">
        <v>4000000</v>
      </c>
      <c r="G21" s="16" t="s">
        <v>379</v>
      </c>
      <c r="H21" s="28" t="s">
        <v>273</v>
      </c>
      <c r="I21" s="16" t="s">
        <v>380</v>
      </c>
      <c r="J21" s="11">
        <v>1.9</v>
      </c>
      <c r="K21" s="16" t="s">
        <v>381</v>
      </c>
      <c r="M21" s="11" t="str">
        <f t="shared" si="0"/>
        <v>AY3= "$3M - $4M",1.9,</v>
      </c>
    </row>
    <row r="22" spans="3:13" ht="13.2">
      <c r="C22" s="16" t="s">
        <v>376</v>
      </c>
      <c r="D22" s="16" t="s">
        <v>382</v>
      </c>
      <c r="E22" s="70" t="s">
        <v>378</v>
      </c>
      <c r="F22" s="71">
        <v>5000000</v>
      </c>
      <c r="G22" s="16" t="s">
        <v>379</v>
      </c>
      <c r="H22" s="28" t="s">
        <v>284</v>
      </c>
      <c r="I22" s="16" t="s">
        <v>380</v>
      </c>
      <c r="J22" s="11">
        <v>1.4</v>
      </c>
      <c r="K22" s="16" t="s">
        <v>381</v>
      </c>
      <c r="M22" s="11" t="str">
        <f t="shared" si="0"/>
        <v>AY3= "$4M - $5M",1.4,</v>
      </c>
    </row>
    <row r="23" spans="3:13" ht="13.2">
      <c r="C23" s="16" t="s">
        <v>376</v>
      </c>
      <c r="D23" s="16" t="s">
        <v>386</v>
      </c>
      <c r="E23" s="70" t="s">
        <v>378</v>
      </c>
      <c r="F23" s="71">
        <v>5000000</v>
      </c>
      <c r="G23" s="16" t="s">
        <v>379</v>
      </c>
      <c r="H23" s="72" t="s">
        <v>292</v>
      </c>
      <c r="I23" s="16" t="s">
        <v>380</v>
      </c>
      <c r="J23" s="11">
        <v>1</v>
      </c>
      <c r="M23" s="11" t="str">
        <f t="shared" si="0"/>
        <v>AY3= "&gt; $5M",1</v>
      </c>
    </row>
    <row r="24" spans="3:13" ht="13.2">
      <c r="F24" s="73"/>
      <c r="H24" s="28"/>
      <c r="J24" s="11"/>
      <c r="M24" s="11"/>
    </row>
    <row r="25" spans="3:13" ht="13.2">
      <c r="F25" s="73"/>
      <c r="H25" s="28"/>
      <c r="J25" s="11"/>
      <c r="M25" s="11"/>
    </row>
    <row r="26" spans="3:13" ht="13.2">
      <c r="F26" s="73"/>
      <c r="H26" s="28"/>
      <c r="J26" s="11"/>
      <c r="M26" s="11"/>
    </row>
    <row r="27" spans="3:13" ht="13.2">
      <c r="F27" s="73"/>
      <c r="H27" s="72"/>
      <c r="J27" s="11"/>
      <c r="M27" s="11"/>
    </row>
    <row r="28" spans="3:13" ht="13.2">
      <c r="F28" s="73"/>
      <c r="H28" s="72"/>
      <c r="J28" s="11"/>
      <c r="M28" s="11"/>
    </row>
    <row r="29" spans="3:13" ht="13.2">
      <c r="H29" s="72"/>
      <c r="J29" s="11"/>
      <c r="M29" s="11"/>
    </row>
    <row r="30" spans="3:13" ht="13.2">
      <c r="F30" s="73"/>
      <c r="H30" s="74"/>
      <c r="M30" s="11"/>
    </row>
    <row r="31" spans="3:13" ht="13.2">
      <c r="F31" s="73"/>
      <c r="H31" s="74"/>
      <c r="M31" s="11"/>
    </row>
    <row r="32" spans="3:13" ht="13.2">
      <c r="F32" s="73"/>
      <c r="H32" s="74"/>
      <c r="M32" s="11"/>
    </row>
    <row r="33" spans="6:13" ht="13.2">
      <c r="F33" s="73"/>
      <c r="H33" s="74"/>
      <c r="M33" s="11"/>
    </row>
    <row r="34" spans="6:13" ht="13.2">
      <c r="F34" s="73"/>
      <c r="H34" s="74"/>
      <c r="M34" s="11"/>
    </row>
    <row r="35" spans="6:13" ht="13.2">
      <c r="F35" s="73"/>
      <c r="H35" s="74"/>
      <c r="M35" s="11"/>
    </row>
    <row r="36" spans="6:13" ht="13.2">
      <c r="F36" s="73"/>
      <c r="H36" s="74"/>
      <c r="M3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000"/>
  <sheetViews>
    <sheetView workbookViewId="0"/>
  </sheetViews>
  <sheetFormatPr defaultColWidth="14.44140625" defaultRowHeight="15.75" customHeight="1"/>
  <cols>
    <col min="1" max="1" width="9" customWidth="1"/>
  </cols>
  <sheetData>
    <row r="1" spans="1:2" ht="15.75" customHeight="1">
      <c r="A1" s="79"/>
    </row>
    <row r="2" spans="1:2" ht="15.75" customHeight="1">
      <c r="A2" s="80"/>
    </row>
    <row r="3" spans="1:2" ht="15.75" customHeight="1">
      <c r="A3" s="79">
        <v>1</v>
      </c>
      <c r="B3" s="56" t="s">
        <v>400</v>
      </c>
    </row>
    <row r="4" spans="1:2" ht="15.75" customHeight="1">
      <c r="A4" s="79">
        <v>2</v>
      </c>
      <c r="B4" s="16" t="s">
        <v>401</v>
      </c>
    </row>
    <row r="5" spans="1:2" ht="15.75" customHeight="1">
      <c r="A5" s="79">
        <v>3</v>
      </c>
      <c r="B5" s="16" t="s">
        <v>402</v>
      </c>
    </row>
    <row r="6" spans="1:2" ht="15.75" customHeight="1">
      <c r="A6" s="79">
        <v>4</v>
      </c>
      <c r="B6" s="16" t="s">
        <v>403</v>
      </c>
    </row>
    <row r="7" spans="1:2" ht="15.75" customHeight="1">
      <c r="A7" s="79">
        <v>5</v>
      </c>
      <c r="B7" s="16" t="s">
        <v>404</v>
      </c>
    </row>
    <row r="8" spans="1:2" ht="15.75" customHeight="1">
      <c r="A8" s="79">
        <v>6</v>
      </c>
      <c r="B8" s="16" t="s">
        <v>405</v>
      </c>
    </row>
    <row r="9" spans="1:2" ht="15.75" customHeight="1">
      <c r="A9" s="79">
        <v>7</v>
      </c>
      <c r="B9" s="16" t="s">
        <v>406</v>
      </c>
    </row>
    <row r="10" spans="1:2" ht="15.75" customHeight="1">
      <c r="A10" s="79">
        <v>8</v>
      </c>
      <c r="B10" s="16" t="s">
        <v>407</v>
      </c>
    </row>
    <row r="11" spans="1:2" ht="15.75" customHeight="1">
      <c r="A11" s="80"/>
    </row>
    <row r="12" spans="1:2" ht="15.75" customHeight="1">
      <c r="A12" s="80"/>
    </row>
    <row r="13" spans="1:2" ht="15.75" customHeight="1">
      <c r="A13" s="80"/>
    </row>
    <row r="14" spans="1:2" ht="15.75" customHeight="1">
      <c r="A14" s="80"/>
    </row>
    <row r="15" spans="1:2" ht="15.75" customHeight="1">
      <c r="A15" s="80"/>
    </row>
    <row r="16" spans="1:2" ht="15.75" customHeight="1">
      <c r="A16" s="80"/>
    </row>
    <row r="17" spans="1:2" ht="13.2">
      <c r="A17" s="80"/>
      <c r="B17" s="16" t="s">
        <v>408</v>
      </c>
    </row>
    <row r="18" spans="1:2" ht="13.2">
      <c r="A18" s="80"/>
    </row>
    <row r="19" spans="1:2" ht="13.2">
      <c r="A19" s="80"/>
    </row>
    <row r="20" spans="1:2" ht="13.2">
      <c r="A20" s="80"/>
    </row>
    <row r="21" spans="1:2" ht="13.2">
      <c r="A21" s="80"/>
    </row>
    <row r="22" spans="1:2" ht="13.2">
      <c r="A22" s="80"/>
    </row>
    <row r="23" spans="1:2" ht="13.2">
      <c r="A23" s="80"/>
    </row>
    <row r="24" spans="1:2" ht="13.2">
      <c r="A24" s="80"/>
    </row>
    <row r="25" spans="1:2" ht="13.2">
      <c r="A25" s="80"/>
    </row>
    <row r="26" spans="1:2" ht="13.2">
      <c r="A26" s="80"/>
    </row>
    <row r="27" spans="1:2" ht="13.2">
      <c r="A27" s="80"/>
    </row>
    <row r="28" spans="1:2" ht="13.2">
      <c r="A28" s="80"/>
    </row>
    <row r="29" spans="1:2" ht="13.2">
      <c r="A29" s="80"/>
    </row>
    <row r="30" spans="1:2" ht="13.2">
      <c r="A30" s="80"/>
    </row>
    <row r="31" spans="1:2" ht="13.2">
      <c r="A31" s="80"/>
    </row>
    <row r="32" spans="1:2" ht="13.2">
      <c r="A32" s="80"/>
    </row>
    <row r="33" spans="1:1" ht="13.2">
      <c r="A33" s="80"/>
    </row>
    <row r="34" spans="1:1" ht="13.2">
      <c r="A34" s="80"/>
    </row>
    <row r="35" spans="1:1" ht="13.2">
      <c r="A35" s="80"/>
    </row>
    <row r="36" spans="1:1" ht="13.2">
      <c r="A36" s="80"/>
    </row>
    <row r="37" spans="1:1" ht="13.2">
      <c r="A37" s="80"/>
    </row>
    <row r="38" spans="1:1" ht="13.2">
      <c r="A38" s="80"/>
    </row>
    <row r="39" spans="1:1" ht="13.2">
      <c r="A39" s="80"/>
    </row>
    <row r="40" spans="1:1" ht="13.2">
      <c r="A40" s="80"/>
    </row>
    <row r="41" spans="1:1" ht="13.2">
      <c r="A41" s="80"/>
    </row>
    <row r="42" spans="1:1" ht="13.2">
      <c r="A42" s="80"/>
    </row>
    <row r="43" spans="1:1" ht="13.2">
      <c r="A43" s="80"/>
    </row>
    <row r="44" spans="1:1" ht="13.2">
      <c r="A44" s="80"/>
    </row>
    <row r="45" spans="1:1" ht="13.2">
      <c r="A45" s="80"/>
    </row>
    <row r="46" spans="1:1" ht="13.2">
      <c r="A46" s="80"/>
    </row>
    <row r="47" spans="1:1" ht="13.2">
      <c r="A47" s="80"/>
    </row>
    <row r="48" spans="1:1" ht="13.2">
      <c r="A48" s="80"/>
    </row>
    <row r="49" spans="1:1" ht="13.2">
      <c r="A49" s="80"/>
    </row>
    <row r="50" spans="1:1" ht="13.2">
      <c r="A50" s="80"/>
    </row>
    <row r="51" spans="1:1" ht="13.2">
      <c r="A51" s="80"/>
    </row>
    <row r="52" spans="1:1" ht="13.2">
      <c r="A52" s="80"/>
    </row>
    <row r="53" spans="1:1" ht="13.2">
      <c r="A53" s="80"/>
    </row>
    <row r="54" spans="1:1" ht="13.2">
      <c r="A54" s="80"/>
    </row>
    <row r="55" spans="1:1" ht="13.2">
      <c r="A55" s="80"/>
    </row>
    <row r="56" spans="1:1" ht="13.2">
      <c r="A56" s="80"/>
    </row>
    <row r="57" spans="1:1" ht="13.2">
      <c r="A57" s="80"/>
    </row>
    <row r="58" spans="1:1" ht="13.2">
      <c r="A58" s="80"/>
    </row>
    <row r="59" spans="1:1" ht="13.2">
      <c r="A59" s="80"/>
    </row>
    <row r="60" spans="1:1" ht="13.2">
      <c r="A60" s="80"/>
    </row>
    <row r="61" spans="1:1" ht="13.2">
      <c r="A61" s="80"/>
    </row>
    <row r="62" spans="1:1" ht="13.2">
      <c r="A62" s="80"/>
    </row>
    <row r="63" spans="1:1" ht="13.2">
      <c r="A63" s="80"/>
    </row>
    <row r="64" spans="1:1" ht="13.2">
      <c r="A64" s="80"/>
    </row>
    <row r="65" spans="1:1" ht="13.2">
      <c r="A65" s="80"/>
    </row>
    <row r="66" spans="1:1" ht="13.2">
      <c r="A66" s="80"/>
    </row>
    <row r="67" spans="1:1" ht="13.2">
      <c r="A67" s="80"/>
    </row>
    <row r="68" spans="1:1" ht="13.2">
      <c r="A68" s="80"/>
    </row>
    <row r="69" spans="1:1" ht="13.2">
      <c r="A69" s="80"/>
    </row>
    <row r="70" spans="1:1" ht="13.2">
      <c r="A70" s="80"/>
    </row>
    <row r="71" spans="1:1" ht="13.2">
      <c r="A71" s="80"/>
    </row>
    <row r="72" spans="1:1" ht="13.2">
      <c r="A72" s="80"/>
    </row>
    <row r="73" spans="1:1" ht="13.2">
      <c r="A73" s="80"/>
    </row>
    <row r="74" spans="1:1" ht="13.2">
      <c r="A74" s="80"/>
    </row>
    <row r="75" spans="1:1" ht="13.2">
      <c r="A75" s="80"/>
    </row>
    <row r="76" spans="1:1" ht="13.2">
      <c r="A76" s="80"/>
    </row>
    <row r="77" spans="1:1" ht="13.2">
      <c r="A77" s="80"/>
    </row>
    <row r="78" spans="1:1" ht="13.2">
      <c r="A78" s="80"/>
    </row>
    <row r="79" spans="1:1" ht="13.2">
      <c r="A79" s="80"/>
    </row>
    <row r="80" spans="1:1" ht="13.2">
      <c r="A80" s="80"/>
    </row>
    <row r="81" spans="1:1" ht="13.2">
      <c r="A81" s="80"/>
    </row>
    <row r="82" spans="1:1" ht="13.2">
      <c r="A82" s="80"/>
    </row>
    <row r="83" spans="1:1" ht="13.2">
      <c r="A83" s="80"/>
    </row>
    <row r="84" spans="1:1" ht="13.2">
      <c r="A84" s="80"/>
    </row>
    <row r="85" spans="1:1" ht="13.2">
      <c r="A85" s="80"/>
    </row>
    <row r="86" spans="1:1" ht="13.2">
      <c r="A86" s="80"/>
    </row>
    <row r="87" spans="1:1" ht="13.2">
      <c r="A87" s="80"/>
    </row>
    <row r="88" spans="1:1" ht="13.2">
      <c r="A88" s="80"/>
    </row>
    <row r="89" spans="1:1" ht="13.2">
      <c r="A89" s="80"/>
    </row>
    <row r="90" spans="1:1" ht="13.2">
      <c r="A90" s="80"/>
    </row>
    <row r="91" spans="1:1" ht="13.2">
      <c r="A91" s="80"/>
    </row>
    <row r="92" spans="1:1" ht="13.2">
      <c r="A92" s="80"/>
    </row>
    <row r="93" spans="1:1" ht="13.2">
      <c r="A93" s="80"/>
    </row>
    <row r="94" spans="1:1" ht="13.2">
      <c r="A94" s="80"/>
    </row>
    <row r="95" spans="1:1" ht="13.2">
      <c r="A95" s="80"/>
    </row>
    <row r="96" spans="1:1" ht="13.2">
      <c r="A96" s="80"/>
    </row>
    <row r="97" spans="1:1" ht="13.2">
      <c r="A97" s="80"/>
    </row>
    <row r="98" spans="1:1" ht="13.2">
      <c r="A98" s="80"/>
    </row>
    <row r="99" spans="1:1" ht="13.2">
      <c r="A99" s="80"/>
    </row>
    <row r="100" spans="1:1" ht="13.2">
      <c r="A100" s="80"/>
    </row>
    <row r="101" spans="1:1" ht="13.2">
      <c r="A101" s="80"/>
    </row>
    <row r="102" spans="1:1" ht="13.2">
      <c r="A102" s="80"/>
    </row>
    <row r="103" spans="1:1" ht="13.2">
      <c r="A103" s="80"/>
    </row>
    <row r="104" spans="1:1" ht="13.2">
      <c r="A104" s="80"/>
    </row>
    <row r="105" spans="1:1" ht="13.2">
      <c r="A105" s="80"/>
    </row>
    <row r="106" spans="1:1" ht="13.2">
      <c r="A106" s="80"/>
    </row>
    <row r="107" spans="1:1" ht="13.2">
      <c r="A107" s="80"/>
    </row>
    <row r="108" spans="1:1" ht="13.2">
      <c r="A108" s="80"/>
    </row>
    <row r="109" spans="1:1" ht="13.2">
      <c r="A109" s="80"/>
    </row>
    <row r="110" spans="1:1" ht="13.2">
      <c r="A110" s="80"/>
    </row>
    <row r="111" spans="1:1" ht="13.2">
      <c r="A111" s="80"/>
    </row>
    <row r="112" spans="1:1" ht="13.2">
      <c r="A112" s="80"/>
    </row>
    <row r="113" spans="1:1" ht="13.2">
      <c r="A113" s="80"/>
    </row>
    <row r="114" spans="1:1" ht="13.2">
      <c r="A114" s="80"/>
    </row>
    <row r="115" spans="1:1" ht="13.2">
      <c r="A115" s="80"/>
    </row>
    <row r="116" spans="1:1" ht="13.2">
      <c r="A116" s="80"/>
    </row>
    <row r="117" spans="1:1" ht="13.2">
      <c r="A117" s="80"/>
    </row>
    <row r="118" spans="1:1" ht="13.2">
      <c r="A118" s="80"/>
    </row>
    <row r="119" spans="1:1" ht="13.2">
      <c r="A119" s="80"/>
    </row>
    <row r="120" spans="1:1" ht="13.2">
      <c r="A120" s="80"/>
    </row>
    <row r="121" spans="1:1" ht="13.2">
      <c r="A121" s="80"/>
    </row>
    <row r="122" spans="1:1" ht="13.2">
      <c r="A122" s="80"/>
    </row>
    <row r="123" spans="1:1" ht="13.2">
      <c r="A123" s="80"/>
    </row>
    <row r="124" spans="1:1" ht="13.2">
      <c r="A124" s="80"/>
    </row>
    <row r="125" spans="1:1" ht="13.2">
      <c r="A125" s="80"/>
    </row>
    <row r="126" spans="1:1" ht="13.2">
      <c r="A126" s="80"/>
    </row>
    <row r="127" spans="1:1" ht="13.2">
      <c r="A127" s="80"/>
    </row>
    <row r="128" spans="1:1" ht="13.2">
      <c r="A128" s="80"/>
    </row>
    <row r="129" spans="1:1" ht="13.2">
      <c r="A129" s="80"/>
    </row>
    <row r="130" spans="1:1" ht="13.2">
      <c r="A130" s="80"/>
    </row>
    <row r="131" spans="1:1" ht="13.2">
      <c r="A131" s="80"/>
    </row>
    <row r="132" spans="1:1" ht="13.2">
      <c r="A132" s="80"/>
    </row>
    <row r="133" spans="1:1" ht="13.2">
      <c r="A133" s="80"/>
    </row>
    <row r="134" spans="1:1" ht="13.2">
      <c r="A134" s="80"/>
    </row>
    <row r="135" spans="1:1" ht="13.2">
      <c r="A135" s="80"/>
    </row>
    <row r="136" spans="1:1" ht="13.2">
      <c r="A136" s="80"/>
    </row>
    <row r="137" spans="1:1" ht="13.2">
      <c r="A137" s="80"/>
    </row>
    <row r="138" spans="1:1" ht="13.2">
      <c r="A138" s="80"/>
    </row>
    <row r="139" spans="1:1" ht="13.2">
      <c r="A139" s="80"/>
    </row>
    <row r="140" spans="1:1" ht="13.2">
      <c r="A140" s="80"/>
    </row>
    <row r="141" spans="1:1" ht="13.2">
      <c r="A141" s="80"/>
    </row>
    <row r="142" spans="1:1" ht="13.2">
      <c r="A142" s="80"/>
    </row>
    <row r="143" spans="1:1" ht="13.2">
      <c r="A143" s="80"/>
    </row>
    <row r="144" spans="1:1" ht="13.2">
      <c r="A144" s="80"/>
    </row>
    <row r="145" spans="1:1" ht="13.2">
      <c r="A145" s="80"/>
    </row>
    <row r="146" spans="1:1" ht="13.2">
      <c r="A146" s="80"/>
    </row>
    <row r="147" spans="1:1" ht="13.2">
      <c r="A147" s="80"/>
    </row>
    <row r="148" spans="1:1" ht="13.2">
      <c r="A148" s="80"/>
    </row>
    <row r="149" spans="1:1" ht="13.2">
      <c r="A149" s="80"/>
    </row>
    <row r="150" spans="1:1" ht="13.2">
      <c r="A150" s="80"/>
    </row>
    <row r="151" spans="1:1" ht="13.2">
      <c r="A151" s="80"/>
    </row>
    <row r="152" spans="1:1" ht="13.2">
      <c r="A152" s="80"/>
    </row>
    <row r="153" spans="1:1" ht="13.2">
      <c r="A153" s="80"/>
    </row>
    <row r="154" spans="1:1" ht="13.2">
      <c r="A154" s="80"/>
    </row>
    <row r="155" spans="1:1" ht="13.2">
      <c r="A155" s="80"/>
    </row>
    <row r="156" spans="1:1" ht="13.2">
      <c r="A156" s="80"/>
    </row>
    <row r="157" spans="1:1" ht="13.2">
      <c r="A157" s="80"/>
    </row>
    <row r="158" spans="1:1" ht="13.2">
      <c r="A158" s="80"/>
    </row>
    <row r="159" spans="1:1" ht="13.2">
      <c r="A159" s="80"/>
    </row>
    <row r="160" spans="1:1" ht="13.2">
      <c r="A160" s="80"/>
    </row>
    <row r="161" spans="1:1" ht="13.2">
      <c r="A161" s="80"/>
    </row>
    <row r="162" spans="1:1" ht="13.2">
      <c r="A162" s="80"/>
    </row>
    <row r="163" spans="1:1" ht="13.2">
      <c r="A163" s="80"/>
    </row>
    <row r="164" spans="1:1" ht="13.2">
      <c r="A164" s="80"/>
    </row>
    <row r="165" spans="1:1" ht="13.2">
      <c r="A165" s="80"/>
    </row>
    <row r="166" spans="1:1" ht="13.2">
      <c r="A166" s="80"/>
    </row>
    <row r="167" spans="1:1" ht="13.2">
      <c r="A167" s="80"/>
    </row>
    <row r="168" spans="1:1" ht="13.2">
      <c r="A168" s="80"/>
    </row>
    <row r="169" spans="1:1" ht="13.2">
      <c r="A169" s="80"/>
    </row>
    <row r="170" spans="1:1" ht="13.2">
      <c r="A170" s="80"/>
    </row>
    <row r="171" spans="1:1" ht="13.2">
      <c r="A171" s="80"/>
    </row>
    <row r="172" spans="1:1" ht="13.2">
      <c r="A172" s="80"/>
    </row>
    <row r="173" spans="1:1" ht="13.2">
      <c r="A173" s="80"/>
    </row>
    <row r="174" spans="1:1" ht="13.2">
      <c r="A174" s="80"/>
    </row>
    <row r="175" spans="1:1" ht="13.2">
      <c r="A175" s="80"/>
    </row>
    <row r="176" spans="1:1" ht="13.2">
      <c r="A176" s="80"/>
    </row>
    <row r="177" spans="1:1" ht="13.2">
      <c r="A177" s="80"/>
    </row>
    <row r="178" spans="1:1" ht="13.2">
      <c r="A178" s="80"/>
    </row>
    <row r="179" spans="1:1" ht="13.2">
      <c r="A179" s="80"/>
    </row>
    <row r="180" spans="1:1" ht="13.2">
      <c r="A180" s="80"/>
    </row>
    <row r="181" spans="1:1" ht="13.2">
      <c r="A181" s="80"/>
    </row>
    <row r="182" spans="1:1" ht="13.2">
      <c r="A182" s="80"/>
    </row>
    <row r="183" spans="1:1" ht="13.2">
      <c r="A183" s="80"/>
    </row>
    <row r="184" spans="1:1" ht="13.2">
      <c r="A184" s="80"/>
    </row>
    <row r="185" spans="1:1" ht="13.2">
      <c r="A185" s="80"/>
    </row>
    <row r="186" spans="1:1" ht="13.2">
      <c r="A186" s="80"/>
    </row>
    <row r="187" spans="1:1" ht="13.2">
      <c r="A187" s="80"/>
    </row>
    <row r="188" spans="1:1" ht="13.2">
      <c r="A188" s="80"/>
    </row>
    <row r="189" spans="1:1" ht="13.2">
      <c r="A189" s="80"/>
    </row>
    <row r="190" spans="1:1" ht="13.2">
      <c r="A190" s="80"/>
    </row>
    <row r="191" spans="1:1" ht="13.2">
      <c r="A191" s="80"/>
    </row>
    <row r="192" spans="1:1" ht="13.2">
      <c r="A192" s="80"/>
    </row>
    <row r="193" spans="1:1" ht="13.2">
      <c r="A193" s="80"/>
    </row>
    <row r="194" spans="1:1" ht="13.2">
      <c r="A194" s="80"/>
    </row>
    <row r="195" spans="1:1" ht="13.2">
      <c r="A195" s="80"/>
    </row>
    <row r="196" spans="1:1" ht="13.2">
      <c r="A196" s="80"/>
    </row>
    <row r="197" spans="1:1" ht="13.2">
      <c r="A197" s="80"/>
    </row>
    <row r="198" spans="1:1" ht="13.2">
      <c r="A198" s="80"/>
    </row>
    <row r="199" spans="1:1" ht="13.2">
      <c r="A199" s="80"/>
    </row>
    <row r="200" spans="1:1" ht="13.2">
      <c r="A200" s="80"/>
    </row>
    <row r="201" spans="1:1" ht="13.2">
      <c r="A201" s="80"/>
    </row>
    <row r="202" spans="1:1" ht="13.2">
      <c r="A202" s="80"/>
    </row>
    <row r="203" spans="1:1" ht="13.2">
      <c r="A203" s="80"/>
    </row>
    <row r="204" spans="1:1" ht="13.2">
      <c r="A204" s="80"/>
    </row>
    <row r="205" spans="1:1" ht="13.2">
      <c r="A205" s="80"/>
    </row>
    <row r="206" spans="1:1" ht="13.2">
      <c r="A206" s="80"/>
    </row>
    <row r="207" spans="1:1" ht="13.2">
      <c r="A207" s="80"/>
    </row>
    <row r="208" spans="1:1" ht="13.2">
      <c r="A208" s="80"/>
    </row>
    <row r="209" spans="1:1" ht="13.2">
      <c r="A209" s="80"/>
    </row>
    <row r="210" spans="1:1" ht="13.2">
      <c r="A210" s="80"/>
    </row>
    <row r="211" spans="1:1" ht="13.2">
      <c r="A211" s="80"/>
    </row>
    <row r="212" spans="1:1" ht="13.2">
      <c r="A212" s="80"/>
    </row>
    <row r="213" spans="1:1" ht="13.2">
      <c r="A213" s="80"/>
    </row>
    <row r="214" spans="1:1" ht="13.2">
      <c r="A214" s="80"/>
    </row>
    <row r="215" spans="1:1" ht="13.2">
      <c r="A215" s="80"/>
    </row>
    <row r="216" spans="1:1" ht="13.2">
      <c r="A216" s="80"/>
    </row>
    <row r="217" spans="1:1" ht="13.2">
      <c r="A217" s="80"/>
    </row>
    <row r="218" spans="1:1" ht="13.2">
      <c r="A218" s="80"/>
    </row>
    <row r="219" spans="1:1" ht="13.2">
      <c r="A219" s="80"/>
    </row>
    <row r="220" spans="1:1" ht="13.2">
      <c r="A220" s="80"/>
    </row>
    <row r="221" spans="1:1" ht="13.2">
      <c r="A221" s="80"/>
    </row>
    <row r="222" spans="1:1" ht="13.2">
      <c r="A222" s="80"/>
    </row>
    <row r="223" spans="1:1" ht="13.2">
      <c r="A223" s="80"/>
    </row>
    <row r="224" spans="1:1" ht="13.2">
      <c r="A224" s="80"/>
    </row>
    <row r="225" spans="1:1" ht="13.2">
      <c r="A225" s="80"/>
    </row>
    <row r="226" spans="1:1" ht="13.2">
      <c r="A226" s="80"/>
    </row>
    <row r="227" spans="1:1" ht="13.2">
      <c r="A227" s="80"/>
    </row>
    <row r="228" spans="1:1" ht="13.2">
      <c r="A228" s="80"/>
    </row>
    <row r="229" spans="1:1" ht="13.2">
      <c r="A229" s="80"/>
    </row>
    <row r="230" spans="1:1" ht="13.2">
      <c r="A230" s="80"/>
    </row>
    <row r="231" spans="1:1" ht="13.2">
      <c r="A231" s="80"/>
    </row>
    <row r="232" spans="1:1" ht="13.2">
      <c r="A232" s="80"/>
    </row>
    <row r="233" spans="1:1" ht="13.2">
      <c r="A233" s="80"/>
    </row>
    <row r="234" spans="1:1" ht="13.2">
      <c r="A234" s="80"/>
    </row>
    <row r="235" spans="1:1" ht="13.2">
      <c r="A235" s="80"/>
    </row>
    <row r="236" spans="1:1" ht="13.2">
      <c r="A236" s="80"/>
    </row>
    <row r="237" spans="1:1" ht="13.2">
      <c r="A237" s="80"/>
    </row>
    <row r="238" spans="1:1" ht="13.2">
      <c r="A238" s="80"/>
    </row>
    <row r="239" spans="1:1" ht="13.2">
      <c r="A239" s="80"/>
    </row>
    <row r="240" spans="1:1" ht="13.2">
      <c r="A240" s="80"/>
    </row>
    <row r="241" spans="1:1" ht="13.2">
      <c r="A241" s="80"/>
    </row>
    <row r="242" spans="1:1" ht="13.2">
      <c r="A242" s="80"/>
    </row>
    <row r="243" spans="1:1" ht="13.2">
      <c r="A243" s="80"/>
    </row>
    <row r="244" spans="1:1" ht="13.2">
      <c r="A244" s="80"/>
    </row>
    <row r="245" spans="1:1" ht="13.2">
      <c r="A245" s="80"/>
    </row>
    <row r="246" spans="1:1" ht="13.2">
      <c r="A246" s="80"/>
    </row>
    <row r="247" spans="1:1" ht="13.2">
      <c r="A247" s="80"/>
    </row>
    <row r="248" spans="1:1" ht="13.2">
      <c r="A248" s="80"/>
    </row>
    <row r="249" spans="1:1" ht="13.2">
      <c r="A249" s="80"/>
    </row>
    <row r="250" spans="1:1" ht="13.2">
      <c r="A250" s="80"/>
    </row>
    <row r="251" spans="1:1" ht="13.2">
      <c r="A251" s="80"/>
    </row>
    <row r="252" spans="1:1" ht="13.2">
      <c r="A252" s="80"/>
    </row>
    <row r="253" spans="1:1" ht="13.2">
      <c r="A253" s="80"/>
    </row>
    <row r="254" spans="1:1" ht="13.2">
      <c r="A254" s="80"/>
    </row>
    <row r="255" spans="1:1" ht="13.2">
      <c r="A255" s="80"/>
    </row>
    <row r="256" spans="1:1" ht="13.2">
      <c r="A256" s="80"/>
    </row>
    <row r="257" spans="1:1" ht="13.2">
      <c r="A257" s="80"/>
    </row>
    <row r="258" spans="1:1" ht="13.2">
      <c r="A258" s="80"/>
    </row>
    <row r="259" spans="1:1" ht="13.2">
      <c r="A259" s="80"/>
    </row>
    <row r="260" spans="1:1" ht="13.2">
      <c r="A260" s="80"/>
    </row>
    <row r="261" spans="1:1" ht="13.2">
      <c r="A261" s="80"/>
    </row>
    <row r="262" spans="1:1" ht="13.2">
      <c r="A262" s="80"/>
    </row>
    <row r="263" spans="1:1" ht="13.2">
      <c r="A263" s="80"/>
    </row>
    <row r="264" spans="1:1" ht="13.2">
      <c r="A264" s="80"/>
    </row>
    <row r="265" spans="1:1" ht="13.2">
      <c r="A265" s="80"/>
    </row>
    <row r="266" spans="1:1" ht="13.2">
      <c r="A266" s="80"/>
    </row>
    <row r="267" spans="1:1" ht="13.2">
      <c r="A267" s="80"/>
    </row>
    <row r="268" spans="1:1" ht="13.2">
      <c r="A268" s="80"/>
    </row>
    <row r="269" spans="1:1" ht="13.2">
      <c r="A269" s="80"/>
    </row>
    <row r="270" spans="1:1" ht="13.2">
      <c r="A270" s="80"/>
    </row>
    <row r="271" spans="1:1" ht="13.2">
      <c r="A271" s="80"/>
    </row>
    <row r="272" spans="1:1" ht="13.2">
      <c r="A272" s="80"/>
    </row>
    <row r="273" spans="1:1" ht="13.2">
      <c r="A273" s="80"/>
    </row>
    <row r="274" spans="1:1" ht="13.2">
      <c r="A274" s="80"/>
    </row>
    <row r="275" spans="1:1" ht="13.2">
      <c r="A275" s="80"/>
    </row>
    <row r="276" spans="1:1" ht="13.2">
      <c r="A276" s="80"/>
    </row>
    <row r="277" spans="1:1" ht="13.2">
      <c r="A277" s="80"/>
    </row>
    <row r="278" spans="1:1" ht="13.2">
      <c r="A278" s="80"/>
    </row>
    <row r="279" spans="1:1" ht="13.2">
      <c r="A279" s="80"/>
    </row>
    <row r="280" spans="1:1" ht="13.2">
      <c r="A280" s="80"/>
    </row>
    <row r="281" spans="1:1" ht="13.2">
      <c r="A281" s="80"/>
    </row>
    <row r="282" spans="1:1" ht="13.2">
      <c r="A282" s="80"/>
    </row>
    <row r="283" spans="1:1" ht="13.2">
      <c r="A283" s="80"/>
    </row>
    <row r="284" spans="1:1" ht="13.2">
      <c r="A284" s="80"/>
    </row>
    <row r="285" spans="1:1" ht="13.2">
      <c r="A285" s="80"/>
    </row>
    <row r="286" spans="1:1" ht="13.2">
      <c r="A286" s="80"/>
    </row>
    <row r="287" spans="1:1" ht="13.2">
      <c r="A287" s="80"/>
    </row>
    <row r="288" spans="1:1" ht="13.2">
      <c r="A288" s="80"/>
    </row>
    <row r="289" spans="1:1" ht="13.2">
      <c r="A289" s="80"/>
    </row>
    <row r="290" spans="1:1" ht="13.2">
      <c r="A290" s="80"/>
    </row>
    <row r="291" spans="1:1" ht="13.2">
      <c r="A291" s="80"/>
    </row>
    <row r="292" spans="1:1" ht="13.2">
      <c r="A292" s="80"/>
    </row>
    <row r="293" spans="1:1" ht="13.2">
      <c r="A293" s="80"/>
    </row>
    <row r="294" spans="1:1" ht="13.2">
      <c r="A294" s="80"/>
    </row>
    <row r="295" spans="1:1" ht="13.2">
      <c r="A295" s="80"/>
    </row>
    <row r="296" spans="1:1" ht="13.2">
      <c r="A296" s="80"/>
    </row>
    <row r="297" spans="1:1" ht="13.2">
      <c r="A297" s="80"/>
    </row>
    <row r="298" spans="1:1" ht="13.2">
      <c r="A298" s="80"/>
    </row>
    <row r="299" spans="1:1" ht="13.2">
      <c r="A299" s="80"/>
    </row>
    <row r="300" spans="1:1" ht="13.2">
      <c r="A300" s="80"/>
    </row>
    <row r="301" spans="1:1" ht="13.2">
      <c r="A301" s="80"/>
    </row>
    <row r="302" spans="1:1" ht="13.2">
      <c r="A302" s="80"/>
    </row>
    <row r="303" spans="1:1" ht="13.2">
      <c r="A303" s="80"/>
    </row>
    <row r="304" spans="1:1" ht="13.2">
      <c r="A304" s="80"/>
    </row>
    <row r="305" spans="1:1" ht="13.2">
      <c r="A305" s="80"/>
    </row>
    <row r="306" spans="1:1" ht="13.2">
      <c r="A306" s="80"/>
    </row>
    <row r="307" spans="1:1" ht="13.2">
      <c r="A307" s="80"/>
    </row>
    <row r="308" spans="1:1" ht="13.2">
      <c r="A308" s="80"/>
    </row>
    <row r="309" spans="1:1" ht="13.2">
      <c r="A309" s="80"/>
    </row>
    <row r="310" spans="1:1" ht="13.2">
      <c r="A310" s="80"/>
    </row>
    <row r="311" spans="1:1" ht="13.2">
      <c r="A311" s="80"/>
    </row>
    <row r="312" spans="1:1" ht="13.2">
      <c r="A312" s="80"/>
    </row>
    <row r="313" spans="1:1" ht="13.2">
      <c r="A313" s="80"/>
    </row>
    <row r="314" spans="1:1" ht="13.2">
      <c r="A314" s="80"/>
    </row>
    <row r="315" spans="1:1" ht="13.2">
      <c r="A315" s="80"/>
    </row>
    <row r="316" spans="1:1" ht="13.2">
      <c r="A316" s="80"/>
    </row>
    <row r="317" spans="1:1" ht="13.2">
      <c r="A317" s="80"/>
    </row>
    <row r="318" spans="1:1" ht="13.2">
      <c r="A318" s="80"/>
    </row>
    <row r="319" spans="1:1" ht="13.2">
      <c r="A319" s="80"/>
    </row>
    <row r="320" spans="1:1" ht="13.2">
      <c r="A320" s="80"/>
    </row>
    <row r="321" spans="1:1" ht="13.2">
      <c r="A321" s="80"/>
    </row>
    <row r="322" spans="1:1" ht="13.2">
      <c r="A322" s="80"/>
    </row>
    <row r="323" spans="1:1" ht="13.2">
      <c r="A323" s="80"/>
    </row>
    <row r="324" spans="1:1" ht="13.2">
      <c r="A324" s="80"/>
    </row>
    <row r="325" spans="1:1" ht="13.2">
      <c r="A325" s="80"/>
    </row>
    <row r="326" spans="1:1" ht="13.2">
      <c r="A326" s="80"/>
    </row>
    <row r="327" spans="1:1" ht="13.2">
      <c r="A327" s="80"/>
    </row>
    <row r="328" spans="1:1" ht="13.2">
      <c r="A328" s="80"/>
    </row>
    <row r="329" spans="1:1" ht="13.2">
      <c r="A329" s="80"/>
    </row>
    <row r="330" spans="1:1" ht="13.2">
      <c r="A330" s="80"/>
    </row>
    <row r="331" spans="1:1" ht="13.2">
      <c r="A331" s="80"/>
    </row>
    <row r="332" spans="1:1" ht="13.2">
      <c r="A332" s="80"/>
    </row>
    <row r="333" spans="1:1" ht="13.2">
      <c r="A333" s="80"/>
    </row>
    <row r="334" spans="1:1" ht="13.2">
      <c r="A334" s="80"/>
    </row>
    <row r="335" spans="1:1" ht="13.2">
      <c r="A335" s="80"/>
    </row>
    <row r="336" spans="1:1" ht="13.2">
      <c r="A336" s="80"/>
    </row>
    <row r="337" spans="1:1" ht="13.2">
      <c r="A337" s="80"/>
    </row>
    <row r="338" spans="1:1" ht="13.2">
      <c r="A338" s="80"/>
    </row>
    <row r="339" spans="1:1" ht="13.2">
      <c r="A339" s="80"/>
    </row>
    <row r="340" spans="1:1" ht="13.2">
      <c r="A340" s="80"/>
    </row>
    <row r="341" spans="1:1" ht="13.2">
      <c r="A341" s="80"/>
    </row>
    <row r="342" spans="1:1" ht="13.2">
      <c r="A342" s="80"/>
    </row>
    <row r="343" spans="1:1" ht="13.2">
      <c r="A343" s="80"/>
    </row>
    <row r="344" spans="1:1" ht="13.2">
      <c r="A344" s="80"/>
    </row>
    <row r="345" spans="1:1" ht="13.2">
      <c r="A345" s="80"/>
    </row>
    <row r="346" spans="1:1" ht="13.2">
      <c r="A346" s="80"/>
    </row>
    <row r="347" spans="1:1" ht="13.2">
      <c r="A347" s="80"/>
    </row>
    <row r="348" spans="1:1" ht="13.2">
      <c r="A348" s="80"/>
    </row>
    <row r="349" spans="1:1" ht="13.2">
      <c r="A349" s="80"/>
    </row>
    <row r="350" spans="1:1" ht="13.2">
      <c r="A350" s="80"/>
    </row>
    <row r="351" spans="1:1" ht="13.2">
      <c r="A351" s="80"/>
    </row>
    <row r="352" spans="1:1" ht="13.2">
      <c r="A352" s="80"/>
    </row>
    <row r="353" spans="1:1" ht="13.2">
      <c r="A353" s="80"/>
    </row>
    <row r="354" spans="1:1" ht="13.2">
      <c r="A354" s="80"/>
    </row>
    <row r="355" spans="1:1" ht="13.2">
      <c r="A355" s="80"/>
    </row>
    <row r="356" spans="1:1" ht="13.2">
      <c r="A356" s="80"/>
    </row>
    <row r="357" spans="1:1" ht="13.2">
      <c r="A357" s="80"/>
    </row>
    <row r="358" spans="1:1" ht="13.2">
      <c r="A358" s="80"/>
    </row>
    <row r="359" spans="1:1" ht="13.2">
      <c r="A359" s="80"/>
    </row>
    <row r="360" spans="1:1" ht="13.2">
      <c r="A360" s="80"/>
    </row>
    <row r="361" spans="1:1" ht="13.2">
      <c r="A361" s="80"/>
    </row>
    <row r="362" spans="1:1" ht="13.2">
      <c r="A362" s="80"/>
    </row>
    <row r="363" spans="1:1" ht="13.2">
      <c r="A363" s="80"/>
    </row>
    <row r="364" spans="1:1" ht="13.2">
      <c r="A364" s="80"/>
    </row>
    <row r="365" spans="1:1" ht="13.2">
      <c r="A365" s="80"/>
    </row>
    <row r="366" spans="1:1" ht="13.2">
      <c r="A366" s="80"/>
    </row>
    <row r="367" spans="1:1" ht="13.2">
      <c r="A367" s="80"/>
    </row>
    <row r="368" spans="1:1" ht="13.2">
      <c r="A368" s="80"/>
    </row>
    <row r="369" spans="1:1" ht="13.2">
      <c r="A369" s="80"/>
    </row>
    <row r="370" spans="1:1" ht="13.2">
      <c r="A370" s="80"/>
    </row>
    <row r="371" spans="1:1" ht="13.2">
      <c r="A371" s="80"/>
    </row>
    <row r="372" spans="1:1" ht="13.2">
      <c r="A372" s="80"/>
    </row>
    <row r="373" spans="1:1" ht="13.2">
      <c r="A373" s="80"/>
    </row>
    <row r="374" spans="1:1" ht="13.2">
      <c r="A374" s="80"/>
    </row>
    <row r="375" spans="1:1" ht="13.2">
      <c r="A375" s="80"/>
    </row>
    <row r="376" spans="1:1" ht="13.2">
      <c r="A376" s="80"/>
    </row>
    <row r="377" spans="1:1" ht="13.2">
      <c r="A377" s="80"/>
    </row>
    <row r="378" spans="1:1" ht="13.2">
      <c r="A378" s="80"/>
    </row>
    <row r="379" spans="1:1" ht="13.2">
      <c r="A379" s="80"/>
    </row>
    <row r="380" spans="1:1" ht="13.2">
      <c r="A380" s="80"/>
    </row>
    <row r="381" spans="1:1" ht="13.2">
      <c r="A381" s="80"/>
    </row>
    <row r="382" spans="1:1" ht="13.2">
      <c r="A382" s="80"/>
    </row>
    <row r="383" spans="1:1" ht="13.2">
      <c r="A383" s="80"/>
    </row>
    <row r="384" spans="1:1" ht="13.2">
      <c r="A384" s="80"/>
    </row>
    <row r="385" spans="1:1" ht="13.2">
      <c r="A385" s="80"/>
    </row>
    <row r="386" spans="1:1" ht="13.2">
      <c r="A386" s="80"/>
    </row>
    <row r="387" spans="1:1" ht="13.2">
      <c r="A387" s="80"/>
    </row>
    <row r="388" spans="1:1" ht="13.2">
      <c r="A388" s="80"/>
    </row>
    <row r="389" spans="1:1" ht="13.2">
      <c r="A389" s="80"/>
    </row>
    <row r="390" spans="1:1" ht="13.2">
      <c r="A390" s="80"/>
    </row>
    <row r="391" spans="1:1" ht="13.2">
      <c r="A391" s="80"/>
    </row>
    <row r="392" spans="1:1" ht="13.2">
      <c r="A392" s="80"/>
    </row>
    <row r="393" spans="1:1" ht="13.2">
      <c r="A393" s="80"/>
    </row>
    <row r="394" spans="1:1" ht="13.2">
      <c r="A394" s="80"/>
    </row>
    <row r="395" spans="1:1" ht="13.2">
      <c r="A395" s="80"/>
    </row>
    <row r="396" spans="1:1" ht="13.2">
      <c r="A396" s="80"/>
    </row>
    <row r="397" spans="1:1" ht="13.2">
      <c r="A397" s="80"/>
    </row>
    <row r="398" spans="1:1" ht="13.2">
      <c r="A398" s="80"/>
    </row>
    <row r="399" spans="1:1" ht="13.2">
      <c r="A399" s="80"/>
    </row>
    <row r="400" spans="1:1" ht="13.2">
      <c r="A400" s="80"/>
    </row>
    <row r="401" spans="1:1" ht="13.2">
      <c r="A401" s="80"/>
    </row>
    <row r="402" spans="1:1" ht="13.2">
      <c r="A402" s="80"/>
    </row>
    <row r="403" spans="1:1" ht="13.2">
      <c r="A403" s="80"/>
    </row>
    <row r="404" spans="1:1" ht="13.2">
      <c r="A404" s="80"/>
    </row>
    <row r="405" spans="1:1" ht="13.2">
      <c r="A405" s="80"/>
    </row>
    <row r="406" spans="1:1" ht="13.2">
      <c r="A406" s="80"/>
    </row>
    <row r="407" spans="1:1" ht="13.2">
      <c r="A407" s="80"/>
    </row>
    <row r="408" spans="1:1" ht="13.2">
      <c r="A408" s="80"/>
    </row>
    <row r="409" spans="1:1" ht="13.2">
      <c r="A409" s="80"/>
    </row>
    <row r="410" spans="1:1" ht="13.2">
      <c r="A410" s="80"/>
    </row>
    <row r="411" spans="1:1" ht="13.2">
      <c r="A411" s="80"/>
    </row>
    <row r="412" spans="1:1" ht="13.2">
      <c r="A412" s="80"/>
    </row>
    <row r="413" spans="1:1" ht="13.2">
      <c r="A413" s="80"/>
    </row>
    <row r="414" spans="1:1" ht="13.2">
      <c r="A414" s="80"/>
    </row>
    <row r="415" spans="1:1" ht="13.2">
      <c r="A415" s="80"/>
    </row>
    <row r="416" spans="1:1" ht="13.2">
      <c r="A416" s="80"/>
    </row>
    <row r="417" spans="1:1" ht="13.2">
      <c r="A417" s="80"/>
    </row>
    <row r="418" spans="1:1" ht="13.2">
      <c r="A418" s="80"/>
    </row>
    <row r="419" spans="1:1" ht="13.2">
      <c r="A419" s="80"/>
    </row>
    <row r="420" spans="1:1" ht="13.2">
      <c r="A420" s="80"/>
    </row>
    <row r="421" spans="1:1" ht="13.2">
      <c r="A421" s="80"/>
    </row>
    <row r="422" spans="1:1" ht="13.2">
      <c r="A422" s="80"/>
    </row>
    <row r="423" spans="1:1" ht="13.2">
      <c r="A423" s="80"/>
    </row>
    <row r="424" spans="1:1" ht="13.2">
      <c r="A424" s="80"/>
    </row>
    <row r="425" spans="1:1" ht="13.2">
      <c r="A425" s="80"/>
    </row>
    <row r="426" spans="1:1" ht="13.2">
      <c r="A426" s="80"/>
    </row>
    <row r="427" spans="1:1" ht="13.2">
      <c r="A427" s="80"/>
    </row>
    <row r="428" spans="1:1" ht="13.2">
      <c r="A428" s="80"/>
    </row>
    <row r="429" spans="1:1" ht="13.2">
      <c r="A429" s="80"/>
    </row>
    <row r="430" spans="1:1" ht="13.2">
      <c r="A430" s="80"/>
    </row>
    <row r="431" spans="1:1" ht="13.2">
      <c r="A431" s="80"/>
    </row>
    <row r="432" spans="1:1" ht="13.2">
      <c r="A432" s="80"/>
    </row>
    <row r="433" spans="1:1" ht="13.2">
      <c r="A433" s="80"/>
    </row>
    <row r="434" spans="1:1" ht="13.2">
      <c r="A434" s="80"/>
    </row>
    <row r="435" spans="1:1" ht="13.2">
      <c r="A435" s="80"/>
    </row>
    <row r="436" spans="1:1" ht="13.2">
      <c r="A436" s="80"/>
    </row>
    <row r="437" spans="1:1" ht="13.2">
      <c r="A437" s="80"/>
    </row>
    <row r="438" spans="1:1" ht="13.2">
      <c r="A438" s="80"/>
    </row>
    <row r="439" spans="1:1" ht="13.2">
      <c r="A439" s="80"/>
    </row>
    <row r="440" spans="1:1" ht="13.2">
      <c r="A440" s="80"/>
    </row>
    <row r="441" spans="1:1" ht="13.2">
      <c r="A441" s="80"/>
    </row>
    <row r="442" spans="1:1" ht="13.2">
      <c r="A442" s="80"/>
    </row>
    <row r="443" spans="1:1" ht="13.2">
      <c r="A443" s="80"/>
    </row>
    <row r="444" spans="1:1" ht="13.2">
      <c r="A444" s="80"/>
    </row>
    <row r="445" spans="1:1" ht="13.2">
      <c r="A445" s="80"/>
    </row>
    <row r="446" spans="1:1" ht="13.2">
      <c r="A446" s="80"/>
    </row>
    <row r="447" spans="1:1" ht="13.2">
      <c r="A447" s="80"/>
    </row>
    <row r="448" spans="1:1" ht="13.2">
      <c r="A448" s="80"/>
    </row>
    <row r="449" spans="1:1" ht="13.2">
      <c r="A449" s="80"/>
    </row>
    <row r="450" spans="1:1" ht="13.2">
      <c r="A450" s="80"/>
    </row>
    <row r="451" spans="1:1" ht="13.2">
      <c r="A451" s="80"/>
    </row>
    <row r="452" spans="1:1" ht="13.2">
      <c r="A452" s="80"/>
    </row>
    <row r="453" spans="1:1" ht="13.2">
      <c r="A453" s="80"/>
    </row>
    <row r="454" spans="1:1" ht="13.2">
      <c r="A454" s="80"/>
    </row>
    <row r="455" spans="1:1" ht="13.2">
      <c r="A455" s="80"/>
    </row>
    <row r="456" spans="1:1" ht="13.2">
      <c r="A456" s="80"/>
    </row>
    <row r="457" spans="1:1" ht="13.2">
      <c r="A457" s="80"/>
    </row>
    <row r="458" spans="1:1" ht="13.2">
      <c r="A458" s="80"/>
    </row>
    <row r="459" spans="1:1" ht="13.2">
      <c r="A459" s="80"/>
    </row>
    <row r="460" spans="1:1" ht="13.2">
      <c r="A460" s="80"/>
    </row>
    <row r="461" spans="1:1" ht="13.2">
      <c r="A461" s="80"/>
    </row>
    <row r="462" spans="1:1" ht="13.2">
      <c r="A462" s="80"/>
    </row>
    <row r="463" spans="1:1" ht="13.2">
      <c r="A463" s="80"/>
    </row>
    <row r="464" spans="1:1" ht="13.2">
      <c r="A464" s="80"/>
    </row>
    <row r="465" spans="1:1" ht="13.2">
      <c r="A465" s="80"/>
    </row>
    <row r="466" spans="1:1" ht="13.2">
      <c r="A466" s="80"/>
    </row>
    <row r="467" spans="1:1" ht="13.2">
      <c r="A467" s="80"/>
    </row>
    <row r="468" spans="1:1" ht="13.2">
      <c r="A468" s="80"/>
    </row>
    <row r="469" spans="1:1" ht="13.2">
      <c r="A469" s="80"/>
    </row>
    <row r="470" spans="1:1" ht="13.2">
      <c r="A470" s="80"/>
    </row>
    <row r="471" spans="1:1" ht="13.2">
      <c r="A471" s="80"/>
    </row>
    <row r="472" spans="1:1" ht="13.2">
      <c r="A472" s="80"/>
    </row>
    <row r="473" spans="1:1" ht="13.2">
      <c r="A473" s="80"/>
    </row>
    <row r="474" spans="1:1" ht="13.2">
      <c r="A474" s="80"/>
    </row>
    <row r="475" spans="1:1" ht="13.2">
      <c r="A475" s="80"/>
    </row>
    <row r="476" spans="1:1" ht="13.2">
      <c r="A476" s="80"/>
    </row>
    <row r="477" spans="1:1" ht="13.2">
      <c r="A477" s="80"/>
    </row>
    <row r="478" spans="1:1" ht="13.2">
      <c r="A478" s="80"/>
    </row>
    <row r="479" spans="1:1" ht="13.2">
      <c r="A479" s="80"/>
    </row>
    <row r="480" spans="1:1" ht="13.2">
      <c r="A480" s="80"/>
    </row>
    <row r="481" spans="1:1" ht="13.2">
      <c r="A481" s="80"/>
    </row>
    <row r="482" spans="1:1" ht="13.2">
      <c r="A482" s="80"/>
    </row>
    <row r="483" spans="1:1" ht="13.2">
      <c r="A483" s="80"/>
    </row>
    <row r="484" spans="1:1" ht="13.2">
      <c r="A484" s="80"/>
    </row>
    <row r="485" spans="1:1" ht="13.2">
      <c r="A485" s="80"/>
    </row>
    <row r="486" spans="1:1" ht="13.2">
      <c r="A486" s="80"/>
    </row>
    <row r="487" spans="1:1" ht="13.2">
      <c r="A487" s="80"/>
    </row>
    <row r="488" spans="1:1" ht="13.2">
      <c r="A488" s="80"/>
    </row>
    <row r="489" spans="1:1" ht="13.2">
      <c r="A489" s="80"/>
    </row>
    <row r="490" spans="1:1" ht="13.2">
      <c r="A490" s="80"/>
    </row>
    <row r="491" spans="1:1" ht="13.2">
      <c r="A491" s="80"/>
    </row>
    <row r="492" spans="1:1" ht="13.2">
      <c r="A492" s="80"/>
    </row>
    <row r="493" spans="1:1" ht="13.2">
      <c r="A493" s="80"/>
    </row>
    <row r="494" spans="1:1" ht="13.2">
      <c r="A494" s="80"/>
    </row>
    <row r="495" spans="1:1" ht="13.2">
      <c r="A495" s="80"/>
    </row>
    <row r="496" spans="1:1" ht="13.2">
      <c r="A496" s="80"/>
    </row>
    <row r="497" spans="1:1" ht="13.2">
      <c r="A497" s="80"/>
    </row>
    <row r="498" spans="1:1" ht="13.2">
      <c r="A498" s="80"/>
    </row>
    <row r="499" spans="1:1" ht="13.2">
      <c r="A499" s="80"/>
    </row>
    <row r="500" spans="1:1" ht="13.2">
      <c r="A500" s="80"/>
    </row>
    <row r="501" spans="1:1" ht="13.2">
      <c r="A501" s="80"/>
    </row>
    <row r="502" spans="1:1" ht="13.2">
      <c r="A502" s="80"/>
    </row>
    <row r="503" spans="1:1" ht="13.2">
      <c r="A503" s="80"/>
    </row>
    <row r="504" spans="1:1" ht="13.2">
      <c r="A504" s="80"/>
    </row>
    <row r="505" spans="1:1" ht="13.2">
      <c r="A505" s="80"/>
    </row>
    <row r="506" spans="1:1" ht="13.2">
      <c r="A506" s="80"/>
    </row>
    <row r="507" spans="1:1" ht="13.2">
      <c r="A507" s="80"/>
    </row>
    <row r="508" spans="1:1" ht="13.2">
      <c r="A508" s="80"/>
    </row>
    <row r="509" spans="1:1" ht="13.2">
      <c r="A509" s="80"/>
    </row>
    <row r="510" spans="1:1" ht="13.2">
      <c r="A510" s="80"/>
    </row>
    <row r="511" spans="1:1" ht="13.2">
      <c r="A511" s="80"/>
    </row>
    <row r="512" spans="1:1" ht="13.2">
      <c r="A512" s="80"/>
    </row>
    <row r="513" spans="1:1" ht="13.2">
      <c r="A513" s="80"/>
    </row>
    <row r="514" spans="1:1" ht="13.2">
      <c r="A514" s="80"/>
    </row>
    <row r="515" spans="1:1" ht="13.2">
      <c r="A515" s="80"/>
    </row>
    <row r="516" spans="1:1" ht="13.2">
      <c r="A516" s="80"/>
    </row>
    <row r="517" spans="1:1" ht="13.2">
      <c r="A517" s="80"/>
    </row>
    <row r="518" spans="1:1" ht="13.2">
      <c r="A518" s="80"/>
    </row>
    <row r="519" spans="1:1" ht="13.2">
      <c r="A519" s="80"/>
    </row>
    <row r="520" spans="1:1" ht="13.2">
      <c r="A520" s="80"/>
    </row>
    <row r="521" spans="1:1" ht="13.2">
      <c r="A521" s="80"/>
    </row>
    <row r="522" spans="1:1" ht="13.2">
      <c r="A522" s="80"/>
    </row>
    <row r="523" spans="1:1" ht="13.2">
      <c r="A523" s="80"/>
    </row>
    <row r="524" spans="1:1" ht="13.2">
      <c r="A524" s="80"/>
    </row>
    <row r="525" spans="1:1" ht="13.2">
      <c r="A525" s="80"/>
    </row>
    <row r="526" spans="1:1" ht="13.2">
      <c r="A526" s="80"/>
    </row>
    <row r="527" spans="1:1" ht="13.2">
      <c r="A527" s="80"/>
    </row>
    <row r="528" spans="1:1" ht="13.2">
      <c r="A528" s="80"/>
    </row>
    <row r="529" spans="1:1" ht="13.2">
      <c r="A529" s="80"/>
    </row>
    <row r="530" spans="1:1" ht="13.2">
      <c r="A530" s="80"/>
    </row>
    <row r="531" spans="1:1" ht="13.2">
      <c r="A531" s="80"/>
    </row>
    <row r="532" spans="1:1" ht="13.2">
      <c r="A532" s="80"/>
    </row>
    <row r="533" spans="1:1" ht="13.2">
      <c r="A533" s="80"/>
    </row>
    <row r="534" spans="1:1" ht="13.2">
      <c r="A534" s="80"/>
    </row>
    <row r="535" spans="1:1" ht="13.2">
      <c r="A535" s="80"/>
    </row>
    <row r="536" spans="1:1" ht="13.2">
      <c r="A536" s="80"/>
    </row>
    <row r="537" spans="1:1" ht="13.2">
      <c r="A537" s="80"/>
    </row>
    <row r="538" spans="1:1" ht="13.2">
      <c r="A538" s="80"/>
    </row>
    <row r="539" spans="1:1" ht="13.2">
      <c r="A539" s="80"/>
    </row>
    <row r="540" spans="1:1" ht="13.2">
      <c r="A540" s="80"/>
    </row>
    <row r="541" spans="1:1" ht="13.2">
      <c r="A541" s="80"/>
    </row>
    <row r="542" spans="1:1" ht="13.2">
      <c r="A542" s="80"/>
    </row>
    <row r="543" spans="1:1" ht="13.2">
      <c r="A543" s="80"/>
    </row>
    <row r="544" spans="1:1" ht="13.2">
      <c r="A544" s="80"/>
    </row>
    <row r="545" spans="1:1" ht="13.2">
      <c r="A545" s="80"/>
    </row>
    <row r="546" spans="1:1" ht="13.2">
      <c r="A546" s="80"/>
    </row>
    <row r="547" spans="1:1" ht="13.2">
      <c r="A547" s="80"/>
    </row>
    <row r="548" spans="1:1" ht="13.2">
      <c r="A548" s="80"/>
    </row>
    <row r="549" spans="1:1" ht="13.2">
      <c r="A549" s="80"/>
    </row>
    <row r="550" spans="1:1" ht="13.2">
      <c r="A550" s="80"/>
    </row>
    <row r="551" spans="1:1" ht="13.2">
      <c r="A551" s="80"/>
    </row>
    <row r="552" spans="1:1" ht="13.2">
      <c r="A552" s="80"/>
    </row>
    <row r="553" spans="1:1" ht="13.2">
      <c r="A553" s="80"/>
    </row>
    <row r="554" spans="1:1" ht="13.2">
      <c r="A554" s="80"/>
    </row>
    <row r="555" spans="1:1" ht="13.2">
      <c r="A555" s="80"/>
    </row>
    <row r="556" spans="1:1" ht="13.2">
      <c r="A556" s="80"/>
    </row>
    <row r="557" spans="1:1" ht="13.2">
      <c r="A557" s="80"/>
    </row>
    <row r="558" spans="1:1" ht="13.2">
      <c r="A558" s="80"/>
    </row>
    <row r="559" spans="1:1" ht="13.2">
      <c r="A559" s="80"/>
    </row>
    <row r="560" spans="1:1" ht="13.2">
      <c r="A560" s="80"/>
    </row>
    <row r="561" spans="1:1" ht="13.2">
      <c r="A561" s="80"/>
    </row>
    <row r="562" spans="1:1" ht="13.2">
      <c r="A562" s="80"/>
    </row>
    <row r="563" spans="1:1" ht="13.2">
      <c r="A563" s="80"/>
    </row>
    <row r="564" spans="1:1" ht="13.2">
      <c r="A564" s="80"/>
    </row>
    <row r="565" spans="1:1" ht="13.2">
      <c r="A565" s="80"/>
    </row>
    <row r="566" spans="1:1" ht="13.2">
      <c r="A566" s="80"/>
    </row>
    <row r="567" spans="1:1" ht="13.2">
      <c r="A567" s="80"/>
    </row>
    <row r="568" spans="1:1" ht="13.2">
      <c r="A568" s="80"/>
    </row>
    <row r="569" spans="1:1" ht="13.2">
      <c r="A569" s="80"/>
    </row>
    <row r="570" spans="1:1" ht="13.2">
      <c r="A570" s="80"/>
    </row>
    <row r="571" spans="1:1" ht="13.2">
      <c r="A571" s="80"/>
    </row>
    <row r="572" spans="1:1" ht="13.2">
      <c r="A572" s="80"/>
    </row>
    <row r="573" spans="1:1" ht="13.2">
      <c r="A573" s="80"/>
    </row>
    <row r="574" spans="1:1" ht="13.2">
      <c r="A574" s="80"/>
    </row>
    <row r="575" spans="1:1" ht="13.2">
      <c r="A575" s="80"/>
    </row>
    <row r="576" spans="1:1" ht="13.2">
      <c r="A576" s="80"/>
    </row>
    <row r="577" spans="1:1" ht="13.2">
      <c r="A577" s="80"/>
    </row>
    <row r="578" spans="1:1" ht="13.2">
      <c r="A578" s="80"/>
    </row>
    <row r="579" spans="1:1" ht="13.2">
      <c r="A579" s="80"/>
    </row>
    <row r="580" spans="1:1" ht="13.2">
      <c r="A580" s="80"/>
    </row>
    <row r="581" spans="1:1" ht="13.2">
      <c r="A581" s="80"/>
    </row>
    <row r="582" spans="1:1" ht="13.2">
      <c r="A582" s="80"/>
    </row>
    <row r="583" spans="1:1" ht="13.2">
      <c r="A583" s="80"/>
    </row>
    <row r="584" spans="1:1" ht="13.2">
      <c r="A584" s="80"/>
    </row>
    <row r="585" spans="1:1" ht="13.2">
      <c r="A585" s="80"/>
    </row>
    <row r="586" spans="1:1" ht="13.2">
      <c r="A586" s="80"/>
    </row>
    <row r="587" spans="1:1" ht="13.2">
      <c r="A587" s="80"/>
    </row>
    <row r="588" spans="1:1" ht="13.2">
      <c r="A588" s="80"/>
    </row>
    <row r="589" spans="1:1" ht="13.2">
      <c r="A589" s="80"/>
    </row>
    <row r="590" spans="1:1" ht="13.2">
      <c r="A590" s="80"/>
    </row>
    <row r="591" spans="1:1" ht="13.2">
      <c r="A591" s="80"/>
    </row>
    <row r="592" spans="1:1" ht="13.2">
      <c r="A592" s="80"/>
    </row>
    <row r="593" spans="1:1" ht="13.2">
      <c r="A593" s="80"/>
    </row>
    <row r="594" spans="1:1" ht="13.2">
      <c r="A594" s="80"/>
    </row>
    <row r="595" spans="1:1" ht="13.2">
      <c r="A595" s="80"/>
    </row>
    <row r="596" spans="1:1" ht="13.2">
      <c r="A596" s="80"/>
    </row>
    <row r="597" spans="1:1" ht="13.2">
      <c r="A597" s="80"/>
    </row>
    <row r="598" spans="1:1" ht="13.2">
      <c r="A598" s="80"/>
    </row>
    <row r="599" spans="1:1" ht="13.2">
      <c r="A599" s="80"/>
    </row>
    <row r="600" spans="1:1" ht="13.2">
      <c r="A600" s="80"/>
    </row>
    <row r="601" spans="1:1" ht="13.2">
      <c r="A601" s="80"/>
    </row>
    <row r="602" spans="1:1" ht="13.2">
      <c r="A602" s="80"/>
    </row>
    <row r="603" spans="1:1" ht="13.2">
      <c r="A603" s="80"/>
    </row>
    <row r="604" spans="1:1" ht="13.2">
      <c r="A604" s="80"/>
    </row>
    <row r="605" spans="1:1" ht="13.2">
      <c r="A605" s="80"/>
    </row>
    <row r="606" spans="1:1" ht="13.2">
      <c r="A606" s="80"/>
    </row>
    <row r="607" spans="1:1" ht="13.2">
      <c r="A607" s="80"/>
    </row>
    <row r="608" spans="1:1" ht="13.2">
      <c r="A608" s="80"/>
    </row>
    <row r="609" spans="1:1" ht="13.2">
      <c r="A609" s="80"/>
    </row>
    <row r="610" spans="1:1" ht="13.2">
      <c r="A610" s="80"/>
    </row>
    <row r="611" spans="1:1" ht="13.2">
      <c r="A611" s="80"/>
    </row>
    <row r="612" spans="1:1" ht="13.2">
      <c r="A612" s="80"/>
    </row>
    <row r="613" spans="1:1" ht="13.2">
      <c r="A613" s="80"/>
    </row>
    <row r="614" spans="1:1" ht="13.2">
      <c r="A614" s="80"/>
    </row>
    <row r="615" spans="1:1" ht="13.2">
      <c r="A615" s="80"/>
    </row>
    <row r="616" spans="1:1" ht="13.2">
      <c r="A616" s="80"/>
    </row>
    <row r="617" spans="1:1" ht="13.2">
      <c r="A617" s="80"/>
    </row>
    <row r="618" spans="1:1" ht="13.2">
      <c r="A618" s="80"/>
    </row>
    <row r="619" spans="1:1" ht="13.2">
      <c r="A619" s="80"/>
    </row>
    <row r="620" spans="1:1" ht="13.2">
      <c r="A620" s="80"/>
    </row>
    <row r="621" spans="1:1" ht="13.2">
      <c r="A621" s="80"/>
    </row>
    <row r="622" spans="1:1" ht="13.2">
      <c r="A622" s="80"/>
    </row>
    <row r="623" spans="1:1" ht="13.2">
      <c r="A623" s="80"/>
    </row>
    <row r="624" spans="1:1" ht="13.2">
      <c r="A624" s="80"/>
    </row>
    <row r="625" spans="1:1" ht="13.2">
      <c r="A625" s="80"/>
    </row>
    <row r="626" spans="1:1" ht="13.2">
      <c r="A626" s="80"/>
    </row>
    <row r="627" spans="1:1" ht="13.2">
      <c r="A627" s="80"/>
    </row>
    <row r="628" spans="1:1" ht="13.2">
      <c r="A628" s="80"/>
    </row>
    <row r="629" spans="1:1" ht="13.2">
      <c r="A629" s="80"/>
    </row>
    <row r="630" spans="1:1" ht="13.2">
      <c r="A630" s="80"/>
    </row>
    <row r="631" spans="1:1" ht="13.2">
      <c r="A631" s="80"/>
    </row>
    <row r="632" spans="1:1" ht="13.2">
      <c r="A632" s="80"/>
    </row>
    <row r="633" spans="1:1" ht="13.2">
      <c r="A633" s="80"/>
    </row>
    <row r="634" spans="1:1" ht="13.2">
      <c r="A634" s="80"/>
    </row>
    <row r="635" spans="1:1" ht="13.2">
      <c r="A635" s="80"/>
    </row>
    <row r="636" spans="1:1" ht="13.2">
      <c r="A636" s="80"/>
    </row>
    <row r="637" spans="1:1" ht="13.2">
      <c r="A637" s="80"/>
    </row>
    <row r="638" spans="1:1" ht="13.2">
      <c r="A638" s="80"/>
    </row>
    <row r="639" spans="1:1" ht="13.2">
      <c r="A639" s="80"/>
    </row>
    <row r="640" spans="1:1" ht="13.2">
      <c r="A640" s="80"/>
    </row>
    <row r="641" spans="1:1" ht="13.2">
      <c r="A641" s="80"/>
    </row>
    <row r="642" spans="1:1" ht="13.2">
      <c r="A642" s="80"/>
    </row>
    <row r="643" spans="1:1" ht="13.2">
      <c r="A643" s="80"/>
    </row>
    <row r="644" spans="1:1" ht="13.2">
      <c r="A644" s="80"/>
    </row>
    <row r="645" spans="1:1" ht="13.2">
      <c r="A645" s="80"/>
    </row>
    <row r="646" spans="1:1" ht="13.2">
      <c r="A646" s="80"/>
    </row>
    <row r="647" spans="1:1" ht="13.2">
      <c r="A647" s="80"/>
    </row>
    <row r="648" spans="1:1" ht="13.2">
      <c r="A648" s="80"/>
    </row>
    <row r="649" spans="1:1" ht="13.2">
      <c r="A649" s="80"/>
    </row>
    <row r="650" spans="1:1" ht="13.2">
      <c r="A650" s="80"/>
    </row>
    <row r="651" spans="1:1" ht="13.2">
      <c r="A651" s="80"/>
    </row>
    <row r="652" spans="1:1" ht="13.2">
      <c r="A652" s="80"/>
    </row>
    <row r="653" spans="1:1" ht="13.2">
      <c r="A653" s="80"/>
    </row>
    <row r="654" spans="1:1" ht="13.2">
      <c r="A654" s="80"/>
    </row>
    <row r="655" spans="1:1" ht="13.2">
      <c r="A655" s="80"/>
    </row>
    <row r="656" spans="1:1" ht="13.2">
      <c r="A656" s="80"/>
    </row>
    <row r="657" spans="1:1" ht="13.2">
      <c r="A657" s="80"/>
    </row>
    <row r="658" spans="1:1" ht="13.2">
      <c r="A658" s="80"/>
    </row>
    <row r="659" spans="1:1" ht="13.2">
      <c r="A659" s="80"/>
    </row>
    <row r="660" spans="1:1" ht="13.2">
      <c r="A660" s="80"/>
    </row>
    <row r="661" spans="1:1" ht="13.2">
      <c r="A661" s="80"/>
    </row>
    <row r="662" spans="1:1" ht="13.2">
      <c r="A662" s="80"/>
    </row>
    <row r="663" spans="1:1" ht="13.2">
      <c r="A663" s="80"/>
    </row>
    <row r="664" spans="1:1" ht="13.2">
      <c r="A664" s="80"/>
    </row>
    <row r="665" spans="1:1" ht="13.2">
      <c r="A665" s="80"/>
    </row>
    <row r="666" spans="1:1" ht="13.2">
      <c r="A666" s="80"/>
    </row>
    <row r="667" spans="1:1" ht="13.2">
      <c r="A667" s="80"/>
    </row>
    <row r="668" spans="1:1" ht="13.2">
      <c r="A668" s="80"/>
    </row>
    <row r="669" spans="1:1" ht="13.2">
      <c r="A669" s="80"/>
    </row>
    <row r="670" spans="1:1" ht="13.2">
      <c r="A670" s="80"/>
    </row>
    <row r="671" spans="1:1" ht="13.2">
      <c r="A671" s="80"/>
    </row>
    <row r="672" spans="1:1" ht="13.2">
      <c r="A672" s="80"/>
    </row>
    <row r="673" spans="1:1" ht="13.2">
      <c r="A673" s="80"/>
    </row>
    <row r="674" spans="1:1" ht="13.2">
      <c r="A674" s="80"/>
    </row>
    <row r="675" spans="1:1" ht="13.2">
      <c r="A675" s="80"/>
    </row>
    <row r="676" spans="1:1" ht="13.2">
      <c r="A676" s="80"/>
    </row>
    <row r="677" spans="1:1" ht="13.2">
      <c r="A677" s="80"/>
    </row>
    <row r="678" spans="1:1" ht="13.2">
      <c r="A678" s="80"/>
    </row>
    <row r="679" spans="1:1" ht="13.2">
      <c r="A679" s="80"/>
    </row>
    <row r="680" spans="1:1" ht="13.2">
      <c r="A680" s="80"/>
    </row>
    <row r="681" spans="1:1" ht="13.2">
      <c r="A681" s="80"/>
    </row>
    <row r="682" spans="1:1" ht="13.2">
      <c r="A682" s="80"/>
    </row>
    <row r="683" spans="1:1" ht="13.2">
      <c r="A683" s="80"/>
    </row>
    <row r="684" spans="1:1" ht="13.2">
      <c r="A684" s="80"/>
    </row>
    <row r="685" spans="1:1" ht="13.2">
      <c r="A685" s="80"/>
    </row>
    <row r="686" spans="1:1" ht="13.2">
      <c r="A686" s="80"/>
    </row>
    <row r="687" spans="1:1" ht="13.2">
      <c r="A687" s="80"/>
    </row>
    <row r="688" spans="1:1" ht="13.2">
      <c r="A688" s="80"/>
    </row>
    <row r="689" spans="1:1" ht="13.2">
      <c r="A689" s="80"/>
    </row>
    <row r="690" spans="1:1" ht="13.2">
      <c r="A690" s="80"/>
    </row>
    <row r="691" spans="1:1" ht="13.2">
      <c r="A691" s="80"/>
    </row>
    <row r="692" spans="1:1" ht="13.2">
      <c r="A692" s="80"/>
    </row>
    <row r="693" spans="1:1" ht="13.2">
      <c r="A693" s="80"/>
    </row>
    <row r="694" spans="1:1" ht="13.2">
      <c r="A694" s="80"/>
    </row>
    <row r="695" spans="1:1" ht="13.2">
      <c r="A695" s="80"/>
    </row>
    <row r="696" spans="1:1" ht="13.2">
      <c r="A696" s="80"/>
    </row>
    <row r="697" spans="1:1" ht="13.2">
      <c r="A697" s="80"/>
    </row>
    <row r="698" spans="1:1" ht="13.2">
      <c r="A698" s="80"/>
    </row>
    <row r="699" spans="1:1" ht="13.2">
      <c r="A699" s="80"/>
    </row>
    <row r="700" spans="1:1" ht="13.2">
      <c r="A700" s="80"/>
    </row>
    <row r="701" spans="1:1" ht="13.2">
      <c r="A701" s="80"/>
    </row>
    <row r="702" spans="1:1" ht="13.2">
      <c r="A702" s="80"/>
    </row>
    <row r="703" spans="1:1" ht="13.2">
      <c r="A703" s="80"/>
    </row>
    <row r="704" spans="1:1" ht="13.2">
      <c r="A704" s="80"/>
    </row>
    <row r="705" spans="1:1" ht="13.2">
      <c r="A705" s="80"/>
    </row>
    <row r="706" spans="1:1" ht="13.2">
      <c r="A706" s="80"/>
    </row>
    <row r="707" spans="1:1" ht="13.2">
      <c r="A707" s="80"/>
    </row>
    <row r="708" spans="1:1" ht="13.2">
      <c r="A708" s="80"/>
    </row>
    <row r="709" spans="1:1" ht="13.2">
      <c r="A709" s="80"/>
    </row>
    <row r="710" spans="1:1" ht="13.2">
      <c r="A710" s="80"/>
    </row>
    <row r="711" spans="1:1" ht="13.2">
      <c r="A711" s="80"/>
    </row>
    <row r="712" spans="1:1" ht="13.2">
      <c r="A712" s="80"/>
    </row>
    <row r="713" spans="1:1" ht="13.2">
      <c r="A713" s="80"/>
    </row>
    <row r="714" spans="1:1" ht="13.2">
      <c r="A714" s="80"/>
    </row>
    <row r="715" spans="1:1" ht="13.2">
      <c r="A715" s="80"/>
    </row>
    <row r="716" spans="1:1" ht="13.2">
      <c r="A716" s="80"/>
    </row>
    <row r="717" spans="1:1" ht="13.2">
      <c r="A717" s="80"/>
    </row>
    <row r="718" spans="1:1" ht="13.2">
      <c r="A718" s="80"/>
    </row>
    <row r="719" spans="1:1" ht="13.2">
      <c r="A719" s="80"/>
    </row>
    <row r="720" spans="1:1" ht="13.2">
      <c r="A720" s="80"/>
    </row>
    <row r="721" spans="1:1" ht="13.2">
      <c r="A721" s="80"/>
    </row>
    <row r="722" spans="1:1" ht="13.2">
      <c r="A722" s="80"/>
    </row>
    <row r="723" spans="1:1" ht="13.2">
      <c r="A723" s="80"/>
    </row>
    <row r="724" spans="1:1" ht="13.2">
      <c r="A724" s="80"/>
    </row>
    <row r="725" spans="1:1" ht="13.2">
      <c r="A725" s="80"/>
    </row>
    <row r="726" spans="1:1" ht="13.2">
      <c r="A726" s="80"/>
    </row>
    <row r="727" spans="1:1" ht="13.2">
      <c r="A727" s="80"/>
    </row>
    <row r="728" spans="1:1" ht="13.2">
      <c r="A728" s="80"/>
    </row>
    <row r="729" spans="1:1" ht="13.2">
      <c r="A729" s="80"/>
    </row>
    <row r="730" spans="1:1" ht="13.2">
      <c r="A730" s="80"/>
    </row>
    <row r="731" spans="1:1" ht="13.2">
      <c r="A731" s="80"/>
    </row>
    <row r="732" spans="1:1" ht="13.2">
      <c r="A732" s="80"/>
    </row>
    <row r="733" spans="1:1" ht="13.2">
      <c r="A733" s="80"/>
    </row>
    <row r="734" spans="1:1" ht="13.2">
      <c r="A734" s="80"/>
    </row>
    <row r="735" spans="1:1" ht="13.2">
      <c r="A735" s="80"/>
    </row>
    <row r="736" spans="1:1" ht="13.2">
      <c r="A736" s="80"/>
    </row>
    <row r="737" spans="1:1" ht="13.2">
      <c r="A737" s="80"/>
    </row>
    <row r="738" spans="1:1" ht="13.2">
      <c r="A738" s="80"/>
    </row>
    <row r="739" spans="1:1" ht="13.2">
      <c r="A739" s="80"/>
    </row>
    <row r="740" spans="1:1" ht="13.2">
      <c r="A740" s="80"/>
    </row>
    <row r="741" spans="1:1" ht="13.2">
      <c r="A741" s="80"/>
    </row>
    <row r="742" spans="1:1" ht="13.2">
      <c r="A742" s="80"/>
    </row>
    <row r="743" spans="1:1" ht="13.2">
      <c r="A743" s="80"/>
    </row>
    <row r="744" spans="1:1" ht="13.2">
      <c r="A744" s="80"/>
    </row>
    <row r="745" spans="1:1" ht="13.2">
      <c r="A745" s="80"/>
    </row>
    <row r="746" spans="1:1" ht="13.2">
      <c r="A746" s="80"/>
    </row>
    <row r="747" spans="1:1" ht="13.2">
      <c r="A747" s="80"/>
    </row>
    <row r="748" spans="1:1" ht="13.2">
      <c r="A748" s="80"/>
    </row>
    <row r="749" spans="1:1" ht="13.2">
      <c r="A749" s="80"/>
    </row>
    <row r="750" spans="1:1" ht="13.2">
      <c r="A750" s="80"/>
    </row>
    <row r="751" spans="1:1" ht="13.2">
      <c r="A751" s="80"/>
    </row>
    <row r="752" spans="1:1" ht="13.2">
      <c r="A752" s="80"/>
    </row>
    <row r="753" spans="1:1" ht="13.2">
      <c r="A753" s="80"/>
    </row>
    <row r="754" spans="1:1" ht="13.2">
      <c r="A754" s="80"/>
    </row>
    <row r="755" spans="1:1" ht="13.2">
      <c r="A755" s="80"/>
    </row>
    <row r="756" spans="1:1" ht="13.2">
      <c r="A756" s="80"/>
    </row>
    <row r="757" spans="1:1" ht="13.2">
      <c r="A757" s="80"/>
    </row>
    <row r="758" spans="1:1" ht="13.2">
      <c r="A758" s="80"/>
    </row>
    <row r="759" spans="1:1" ht="13.2">
      <c r="A759" s="80"/>
    </row>
    <row r="760" spans="1:1" ht="13.2">
      <c r="A760" s="80"/>
    </row>
    <row r="761" spans="1:1" ht="13.2">
      <c r="A761" s="80"/>
    </row>
    <row r="762" spans="1:1" ht="13.2">
      <c r="A762" s="80"/>
    </row>
    <row r="763" spans="1:1" ht="13.2">
      <c r="A763" s="80"/>
    </row>
    <row r="764" spans="1:1" ht="13.2">
      <c r="A764" s="80"/>
    </row>
    <row r="765" spans="1:1" ht="13.2">
      <c r="A765" s="80"/>
    </row>
    <row r="766" spans="1:1" ht="13.2">
      <c r="A766" s="80"/>
    </row>
    <row r="767" spans="1:1" ht="13.2">
      <c r="A767" s="80"/>
    </row>
    <row r="768" spans="1:1" ht="13.2">
      <c r="A768" s="80"/>
    </row>
    <row r="769" spans="1:1" ht="13.2">
      <c r="A769" s="80"/>
    </row>
    <row r="770" spans="1:1" ht="13.2">
      <c r="A770" s="80"/>
    </row>
    <row r="771" spans="1:1" ht="13.2">
      <c r="A771" s="80"/>
    </row>
    <row r="772" spans="1:1" ht="13.2">
      <c r="A772" s="80"/>
    </row>
    <row r="773" spans="1:1" ht="13.2">
      <c r="A773" s="80"/>
    </row>
    <row r="774" spans="1:1" ht="13.2">
      <c r="A774" s="80"/>
    </row>
    <row r="775" spans="1:1" ht="13.2">
      <c r="A775" s="80"/>
    </row>
    <row r="776" spans="1:1" ht="13.2">
      <c r="A776" s="80"/>
    </row>
    <row r="777" spans="1:1" ht="13.2">
      <c r="A777" s="80"/>
    </row>
    <row r="778" spans="1:1" ht="13.2">
      <c r="A778" s="80"/>
    </row>
    <row r="779" spans="1:1" ht="13.2">
      <c r="A779" s="80"/>
    </row>
    <row r="780" spans="1:1" ht="13.2">
      <c r="A780" s="80"/>
    </row>
    <row r="781" spans="1:1" ht="13.2">
      <c r="A781" s="80"/>
    </row>
    <row r="782" spans="1:1" ht="13.2">
      <c r="A782" s="80"/>
    </row>
    <row r="783" spans="1:1" ht="13.2">
      <c r="A783" s="80"/>
    </row>
    <row r="784" spans="1:1" ht="13.2">
      <c r="A784" s="80"/>
    </row>
    <row r="785" spans="1:1" ht="13.2">
      <c r="A785" s="80"/>
    </row>
    <row r="786" spans="1:1" ht="13.2">
      <c r="A786" s="80"/>
    </row>
    <row r="787" spans="1:1" ht="13.2">
      <c r="A787" s="80"/>
    </row>
    <row r="788" spans="1:1" ht="13.2">
      <c r="A788" s="80"/>
    </row>
    <row r="789" spans="1:1" ht="13.2">
      <c r="A789" s="80"/>
    </row>
    <row r="790" spans="1:1" ht="13.2">
      <c r="A790" s="80"/>
    </row>
    <row r="791" spans="1:1" ht="13.2">
      <c r="A791" s="80"/>
    </row>
    <row r="792" spans="1:1" ht="13.2">
      <c r="A792" s="80"/>
    </row>
    <row r="793" spans="1:1" ht="13.2">
      <c r="A793" s="80"/>
    </row>
    <row r="794" spans="1:1" ht="13.2">
      <c r="A794" s="80"/>
    </row>
    <row r="795" spans="1:1" ht="13.2">
      <c r="A795" s="80"/>
    </row>
    <row r="796" spans="1:1" ht="13.2">
      <c r="A796" s="80"/>
    </row>
    <row r="797" spans="1:1" ht="13.2">
      <c r="A797" s="80"/>
    </row>
    <row r="798" spans="1:1" ht="13.2">
      <c r="A798" s="80"/>
    </row>
    <row r="799" spans="1:1" ht="13.2">
      <c r="A799" s="80"/>
    </row>
    <row r="800" spans="1:1" ht="13.2">
      <c r="A800" s="80"/>
    </row>
    <row r="801" spans="1:1" ht="13.2">
      <c r="A801" s="80"/>
    </row>
    <row r="802" spans="1:1" ht="13.2">
      <c r="A802" s="80"/>
    </row>
    <row r="803" spans="1:1" ht="13.2">
      <c r="A803" s="80"/>
    </row>
    <row r="804" spans="1:1" ht="13.2">
      <c r="A804" s="80"/>
    </row>
    <row r="805" spans="1:1" ht="13.2">
      <c r="A805" s="80"/>
    </row>
    <row r="806" spans="1:1" ht="13.2">
      <c r="A806" s="80"/>
    </row>
    <row r="807" spans="1:1" ht="13.2">
      <c r="A807" s="80"/>
    </row>
    <row r="808" spans="1:1" ht="13.2">
      <c r="A808" s="80"/>
    </row>
    <row r="809" spans="1:1" ht="13.2">
      <c r="A809" s="80"/>
    </row>
    <row r="810" spans="1:1" ht="13.2">
      <c r="A810" s="80"/>
    </row>
    <row r="811" spans="1:1" ht="13.2">
      <c r="A811" s="80"/>
    </row>
    <row r="812" spans="1:1" ht="13.2">
      <c r="A812" s="80"/>
    </row>
    <row r="813" spans="1:1" ht="13.2">
      <c r="A813" s="80"/>
    </row>
    <row r="814" spans="1:1" ht="13.2">
      <c r="A814" s="80"/>
    </row>
    <row r="815" spans="1:1" ht="13.2">
      <c r="A815" s="80"/>
    </row>
    <row r="816" spans="1:1" ht="13.2">
      <c r="A816" s="80"/>
    </row>
    <row r="817" spans="1:1" ht="13.2">
      <c r="A817" s="80"/>
    </row>
    <row r="818" spans="1:1" ht="13.2">
      <c r="A818" s="80"/>
    </row>
    <row r="819" spans="1:1" ht="13.2">
      <c r="A819" s="80"/>
    </row>
    <row r="820" spans="1:1" ht="13.2">
      <c r="A820" s="80"/>
    </row>
    <row r="821" spans="1:1" ht="13.2">
      <c r="A821" s="80"/>
    </row>
    <row r="822" spans="1:1" ht="13.2">
      <c r="A822" s="80"/>
    </row>
    <row r="823" spans="1:1" ht="13.2">
      <c r="A823" s="80"/>
    </row>
    <row r="824" spans="1:1" ht="13.2">
      <c r="A824" s="80"/>
    </row>
    <row r="825" spans="1:1" ht="13.2">
      <c r="A825" s="80"/>
    </row>
    <row r="826" spans="1:1" ht="13.2">
      <c r="A826" s="80"/>
    </row>
    <row r="827" spans="1:1" ht="13.2">
      <c r="A827" s="80"/>
    </row>
    <row r="828" spans="1:1" ht="13.2">
      <c r="A828" s="80"/>
    </row>
    <row r="829" spans="1:1" ht="13.2">
      <c r="A829" s="80"/>
    </row>
    <row r="830" spans="1:1" ht="13.2">
      <c r="A830" s="80"/>
    </row>
    <row r="831" spans="1:1" ht="13.2">
      <c r="A831" s="80"/>
    </row>
    <row r="832" spans="1:1" ht="13.2">
      <c r="A832" s="80"/>
    </row>
    <row r="833" spans="1:1" ht="13.2">
      <c r="A833" s="80"/>
    </row>
    <row r="834" spans="1:1" ht="13.2">
      <c r="A834" s="80"/>
    </row>
    <row r="835" spans="1:1" ht="13.2">
      <c r="A835" s="80"/>
    </row>
    <row r="836" spans="1:1" ht="13.2">
      <c r="A836" s="80"/>
    </row>
    <row r="837" spans="1:1" ht="13.2">
      <c r="A837" s="80"/>
    </row>
    <row r="838" spans="1:1" ht="13.2">
      <c r="A838" s="80"/>
    </row>
    <row r="839" spans="1:1" ht="13.2">
      <c r="A839" s="80"/>
    </row>
    <row r="840" spans="1:1" ht="13.2">
      <c r="A840" s="80"/>
    </row>
    <row r="841" spans="1:1" ht="13.2">
      <c r="A841" s="80"/>
    </row>
    <row r="842" spans="1:1" ht="13.2">
      <c r="A842" s="80"/>
    </row>
    <row r="843" spans="1:1" ht="13.2">
      <c r="A843" s="80"/>
    </row>
    <row r="844" spans="1:1" ht="13.2">
      <c r="A844" s="80"/>
    </row>
    <row r="845" spans="1:1" ht="13.2">
      <c r="A845" s="80"/>
    </row>
    <row r="846" spans="1:1" ht="13.2">
      <c r="A846" s="80"/>
    </row>
    <row r="847" spans="1:1" ht="13.2">
      <c r="A847" s="80"/>
    </row>
    <row r="848" spans="1:1" ht="13.2">
      <c r="A848" s="80"/>
    </row>
    <row r="849" spans="1:1" ht="13.2">
      <c r="A849" s="80"/>
    </row>
    <row r="850" spans="1:1" ht="13.2">
      <c r="A850" s="80"/>
    </row>
    <row r="851" spans="1:1" ht="13.2">
      <c r="A851" s="80"/>
    </row>
    <row r="852" spans="1:1" ht="13.2">
      <c r="A852" s="80"/>
    </row>
    <row r="853" spans="1:1" ht="13.2">
      <c r="A853" s="80"/>
    </row>
    <row r="854" spans="1:1" ht="13.2">
      <c r="A854" s="80"/>
    </row>
    <row r="855" spans="1:1" ht="13.2">
      <c r="A855" s="80"/>
    </row>
    <row r="856" spans="1:1" ht="13.2">
      <c r="A856" s="80"/>
    </row>
    <row r="857" spans="1:1" ht="13.2">
      <c r="A857" s="80"/>
    </row>
    <row r="858" spans="1:1" ht="13.2">
      <c r="A858" s="80"/>
    </row>
    <row r="859" spans="1:1" ht="13.2">
      <c r="A859" s="80"/>
    </row>
    <row r="860" spans="1:1" ht="13.2">
      <c r="A860" s="80"/>
    </row>
    <row r="861" spans="1:1" ht="13.2">
      <c r="A861" s="80"/>
    </row>
    <row r="862" spans="1:1" ht="13.2">
      <c r="A862" s="80"/>
    </row>
    <row r="863" spans="1:1" ht="13.2">
      <c r="A863" s="80"/>
    </row>
    <row r="864" spans="1:1" ht="13.2">
      <c r="A864" s="80"/>
    </row>
    <row r="865" spans="1:1" ht="13.2">
      <c r="A865" s="80"/>
    </row>
    <row r="866" spans="1:1" ht="13.2">
      <c r="A866" s="80"/>
    </row>
    <row r="867" spans="1:1" ht="13.2">
      <c r="A867" s="80"/>
    </row>
    <row r="868" spans="1:1" ht="13.2">
      <c r="A868" s="80"/>
    </row>
    <row r="869" spans="1:1" ht="13.2">
      <c r="A869" s="80"/>
    </row>
    <row r="870" spans="1:1" ht="13.2">
      <c r="A870" s="80"/>
    </row>
    <row r="871" spans="1:1" ht="13.2">
      <c r="A871" s="80"/>
    </row>
    <row r="872" spans="1:1" ht="13.2">
      <c r="A872" s="80"/>
    </row>
    <row r="873" spans="1:1" ht="13.2">
      <c r="A873" s="80"/>
    </row>
    <row r="874" spans="1:1" ht="13.2">
      <c r="A874" s="80"/>
    </row>
    <row r="875" spans="1:1" ht="13.2">
      <c r="A875" s="80"/>
    </row>
    <row r="876" spans="1:1" ht="13.2">
      <c r="A876" s="80"/>
    </row>
    <row r="877" spans="1:1" ht="13.2">
      <c r="A877" s="80"/>
    </row>
    <row r="878" spans="1:1" ht="13.2">
      <c r="A878" s="80"/>
    </row>
    <row r="879" spans="1:1" ht="13.2">
      <c r="A879" s="80"/>
    </row>
    <row r="880" spans="1:1" ht="13.2">
      <c r="A880" s="80"/>
    </row>
    <row r="881" spans="1:1" ht="13.2">
      <c r="A881" s="80"/>
    </row>
    <row r="882" spans="1:1" ht="13.2">
      <c r="A882" s="80"/>
    </row>
    <row r="883" spans="1:1" ht="13.2">
      <c r="A883" s="80"/>
    </row>
    <row r="884" spans="1:1" ht="13.2">
      <c r="A884" s="80"/>
    </row>
    <row r="885" spans="1:1" ht="13.2">
      <c r="A885" s="80"/>
    </row>
    <row r="886" spans="1:1" ht="13.2">
      <c r="A886" s="80"/>
    </row>
    <row r="887" spans="1:1" ht="13.2">
      <c r="A887" s="80"/>
    </row>
    <row r="888" spans="1:1" ht="13.2">
      <c r="A888" s="80"/>
    </row>
    <row r="889" spans="1:1" ht="13.2">
      <c r="A889" s="80"/>
    </row>
    <row r="890" spans="1:1" ht="13.2">
      <c r="A890" s="80"/>
    </row>
    <row r="891" spans="1:1" ht="13.2">
      <c r="A891" s="80"/>
    </row>
    <row r="892" spans="1:1" ht="13.2">
      <c r="A892" s="80"/>
    </row>
    <row r="893" spans="1:1" ht="13.2">
      <c r="A893" s="80"/>
    </row>
    <row r="894" spans="1:1" ht="13.2">
      <c r="A894" s="80"/>
    </row>
    <row r="895" spans="1:1" ht="13.2">
      <c r="A895" s="80"/>
    </row>
    <row r="896" spans="1:1" ht="13.2">
      <c r="A896" s="80"/>
    </row>
    <row r="897" spans="1:1" ht="13.2">
      <c r="A897" s="80"/>
    </row>
    <row r="898" spans="1:1" ht="13.2">
      <c r="A898" s="80"/>
    </row>
    <row r="899" spans="1:1" ht="13.2">
      <c r="A899" s="80"/>
    </row>
    <row r="900" spans="1:1" ht="13.2">
      <c r="A900" s="80"/>
    </row>
    <row r="901" spans="1:1" ht="13.2">
      <c r="A901" s="80"/>
    </row>
    <row r="902" spans="1:1" ht="13.2">
      <c r="A902" s="80"/>
    </row>
    <row r="903" spans="1:1" ht="13.2">
      <c r="A903" s="80"/>
    </row>
    <row r="904" spans="1:1" ht="13.2">
      <c r="A904" s="80"/>
    </row>
    <row r="905" spans="1:1" ht="13.2">
      <c r="A905" s="80"/>
    </row>
    <row r="906" spans="1:1" ht="13.2">
      <c r="A906" s="80"/>
    </row>
    <row r="907" spans="1:1" ht="13.2">
      <c r="A907" s="80"/>
    </row>
    <row r="908" spans="1:1" ht="13.2">
      <c r="A908" s="80"/>
    </row>
    <row r="909" spans="1:1" ht="13.2">
      <c r="A909" s="80"/>
    </row>
    <row r="910" spans="1:1" ht="13.2">
      <c r="A910" s="80"/>
    </row>
    <row r="911" spans="1:1" ht="13.2">
      <c r="A911" s="80"/>
    </row>
    <row r="912" spans="1:1" ht="13.2">
      <c r="A912" s="80"/>
    </row>
    <row r="913" spans="1:1" ht="13.2">
      <c r="A913" s="80"/>
    </row>
    <row r="914" spans="1:1" ht="13.2">
      <c r="A914" s="80"/>
    </row>
    <row r="915" spans="1:1" ht="13.2">
      <c r="A915" s="80"/>
    </row>
    <row r="916" spans="1:1" ht="13.2">
      <c r="A916" s="80"/>
    </row>
    <row r="917" spans="1:1" ht="13.2">
      <c r="A917" s="80"/>
    </row>
    <row r="918" spans="1:1" ht="13.2">
      <c r="A918" s="80"/>
    </row>
    <row r="919" spans="1:1" ht="13.2">
      <c r="A919" s="80"/>
    </row>
    <row r="920" spans="1:1" ht="13.2">
      <c r="A920" s="80"/>
    </row>
    <row r="921" spans="1:1" ht="13.2">
      <c r="A921" s="80"/>
    </row>
    <row r="922" spans="1:1" ht="13.2">
      <c r="A922" s="80"/>
    </row>
    <row r="923" spans="1:1" ht="13.2">
      <c r="A923" s="80"/>
    </row>
    <row r="924" spans="1:1" ht="13.2">
      <c r="A924" s="80"/>
    </row>
    <row r="925" spans="1:1" ht="13.2">
      <c r="A925" s="80"/>
    </row>
    <row r="926" spans="1:1" ht="13.2">
      <c r="A926" s="80"/>
    </row>
    <row r="927" spans="1:1" ht="13.2">
      <c r="A927" s="80"/>
    </row>
    <row r="928" spans="1:1" ht="13.2">
      <c r="A928" s="80"/>
    </row>
    <row r="929" spans="1:1" ht="13.2">
      <c r="A929" s="80"/>
    </row>
    <row r="930" spans="1:1" ht="13.2">
      <c r="A930" s="80"/>
    </row>
    <row r="931" spans="1:1" ht="13.2">
      <c r="A931" s="80"/>
    </row>
    <row r="932" spans="1:1" ht="13.2">
      <c r="A932" s="80"/>
    </row>
    <row r="933" spans="1:1" ht="13.2">
      <c r="A933" s="80"/>
    </row>
    <row r="934" spans="1:1" ht="13.2">
      <c r="A934" s="80"/>
    </row>
    <row r="935" spans="1:1" ht="13.2">
      <c r="A935" s="80"/>
    </row>
    <row r="936" spans="1:1" ht="13.2">
      <c r="A936" s="80"/>
    </row>
    <row r="937" spans="1:1" ht="13.2">
      <c r="A937" s="80"/>
    </row>
    <row r="938" spans="1:1" ht="13.2">
      <c r="A938" s="80"/>
    </row>
    <row r="939" spans="1:1" ht="13.2">
      <c r="A939" s="80"/>
    </row>
    <row r="940" spans="1:1" ht="13.2">
      <c r="A940" s="80"/>
    </row>
    <row r="941" spans="1:1" ht="13.2">
      <c r="A941" s="80"/>
    </row>
    <row r="942" spans="1:1" ht="13.2">
      <c r="A942" s="80"/>
    </row>
    <row r="943" spans="1:1" ht="13.2">
      <c r="A943" s="80"/>
    </row>
    <row r="944" spans="1:1" ht="13.2">
      <c r="A944" s="80"/>
    </row>
    <row r="945" spans="1:1" ht="13.2">
      <c r="A945" s="80"/>
    </row>
    <row r="946" spans="1:1" ht="13.2">
      <c r="A946" s="80"/>
    </row>
    <row r="947" spans="1:1" ht="13.2">
      <c r="A947" s="80"/>
    </row>
    <row r="948" spans="1:1" ht="13.2">
      <c r="A948" s="80"/>
    </row>
    <row r="949" spans="1:1" ht="13.2">
      <c r="A949" s="80"/>
    </row>
    <row r="950" spans="1:1" ht="13.2">
      <c r="A950" s="80"/>
    </row>
    <row r="951" spans="1:1" ht="13.2">
      <c r="A951" s="80"/>
    </row>
    <row r="952" spans="1:1" ht="13.2">
      <c r="A952" s="80"/>
    </row>
    <row r="953" spans="1:1" ht="13.2">
      <c r="A953" s="80"/>
    </row>
    <row r="954" spans="1:1" ht="13.2">
      <c r="A954" s="80"/>
    </row>
    <row r="955" spans="1:1" ht="13.2">
      <c r="A955" s="80"/>
    </row>
    <row r="956" spans="1:1" ht="13.2">
      <c r="A956" s="80"/>
    </row>
    <row r="957" spans="1:1" ht="13.2">
      <c r="A957" s="80"/>
    </row>
    <row r="958" spans="1:1" ht="13.2">
      <c r="A958" s="80"/>
    </row>
    <row r="959" spans="1:1" ht="13.2">
      <c r="A959" s="80"/>
    </row>
    <row r="960" spans="1:1" ht="13.2">
      <c r="A960" s="80"/>
    </row>
    <row r="961" spans="1:1" ht="13.2">
      <c r="A961" s="80"/>
    </row>
    <row r="962" spans="1:1" ht="13.2">
      <c r="A962" s="80"/>
    </row>
    <row r="963" spans="1:1" ht="13.2">
      <c r="A963" s="80"/>
    </row>
    <row r="964" spans="1:1" ht="13.2">
      <c r="A964" s="80"/>
    </row>
    <row r="965" spans="1:1" ht="13.2">
      <c r="A965" s="80"/>
    </row>
    <row r="966" spans="1:1" ht="13.2">
      <c r="A966" s="80"/>
    </row>
    <row r="967" spans="1:1" ht="13.2">
      <c r="A967" s="80"/>
    </row>
    <row r="968" spans="1:1" ht="13.2">
      <c r="A968" s="80"/>
    </row>
    <row r="969" spans="1:1" ht="13.2">
      <c r="A969" s="80"/>
    </row>
    <row r="970" spans="1:1" ht="13.2">
      <c r="A970" s="80"/>
    </row>
    <row r="971" spans="1:1" ht="13.2">
      <c r="A971" s="80"/>
    </row>
    <row r="972" spans="1:1" ht="13.2">
      <c r="A972" s="80"/>
    </row>
    <row r="973" spans="1:1" ht="13.2">
      <c r="A973" s="80"/>
    </row>
    <row r="974" spans="1:1" ht="13.2">
      <c r="A974" s="80"/>
    </row>
    <row r="975" spans="1:1" ht="13.2">
      <c r="A975" s="80"/>
    </row>
    <row r="976" spans="1:1" ht="13.2">
      <c r="A976" s="80"/>
    </row>
    <row r="977" spans="1:1" ht="13.2">
      <c r="A977" s="80"/>
    </row>
    <row r="978" spans="1:1" ht="13.2">
      <c r="A978" s="80"/>
    </row>
    <row r="979" spans="1:1" ht="13.2">
      <c r="A979" s="80"/>
    </row>
    <row r="980" spans="1:1" ht="13.2">
      <c r="A980" s="80"/>
    </row>
    <row r="981" spans="1:1" ht="13.2">
      <c r="A981" s="80"/>
    </row>
    <row r="982" spans="1:1" ht="13.2">
      <c r="A982" s="80"/>
    </row>
    <row r="983" spans="1:1" ht="13.2">
      <c r="A983" s="80"/>
    </row>
    <row r="984" spans="1:1" ht="13.2">
      <c r="A984" s="80"/>
    </row>
    <row r="985" spans="1:1" ht="13.2">
      <c r="A985" s="80"/>
    </row>
    <row r="986" spans="1:1" ht="13.2">
      <c r="A986" s="80"/>
    </row>
    <row r="987" spans="1:1" ht="13.2">
      <c r="A987" s="80"/>
    </row>
    <row r="988" spans="1:1" ht="13.2">
      <c r="A988" s="80"/>
    </row>
    <row r="989" spans="1:1" ht="13.2">
      <c r="A989" s="80"/>
    </row>
    <row r="990" spans="1:1" ht="13.2">
      <c r="A990" s="80"/>
    </row>
    <row r="991" spans="1:1" ht="13.2">
      <c r="A991" s="80"/>
    </row>
    <row r="992" spans="1:1" ht="13.2">
      <c r="A992" s="80"/>
    </row>
    <row r="993" spans="1:1" ht="13.2">
      <c r="A993" s="80"/>
    </row>
    <row r="994" spans="1:1" ht="13.2">
      <c r="A994" s="80"/>
    </row>
    <row r="995" spans="1:1" ht="13.2">
      <c r="A995" s="80"/>
    </row>
    <row r="996" spans="1:1" ht="13.2">
      <c r="A996" s="80"/>
    </row>
    <row r="997" spans="1:1" ht="13.2">
      <c r="A997" s="80"/>
    </row>
    <row r="998" spans="1:1" ht="13.2">
      <c r="A998" s="80"/>
    </row>
    <row r="999" spans="1:1" ht="13.2">
      <c r="A999" s="80"/>
    </row>
    <row r="1000" spans="1:1" ht="13.2">
      <c r="A1000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1000"/>
  <sheetViews>
    <sheetView workbookViewId="0"/>
  </sheetViews>
  <sheetFormatPr defaultColWidth="14.44140625" defaultRowHeight="15.75" customHeight="1"/>
  <cols>
    <col min="1" max="1" width="25.5546875" customWidth="1"/>
  </cols>
  <sheetData>
    <row r="1" spans="1:1" ht="15.75" customHeight="1">
      <c r="A1" s="28" t="s">
        <v>426</v>
      </c>
    </row>
    <row r="2" spans="1:1" ht="15.75" customHeight="1">
      <c r="A2" s="11" t="e">
        <f ca="1">'Data Entries - EquityNoteSAFE'!GI2</f>
        <v>#NAME?</v>
      </c>
    </row>
    <row r="3" spans="1:1" ht="15.75" customHeight="1">
      <c r="A3" s="11" t="e">
        <f ca="1">'Data Entries - EquityNoteSAFE'!GI20</f>
        <v>#NAME?</v>
      </c>
    </row>
    <row r="4" spans="1:1" ht="15.75" customHeight="1">
      <c r="A4" s="11" t="e">
        <f ca="1">'Data Entries - EquityNoteSAFE'!GI22</f>
        <v>#NAME?</v>
      </c>
    </row>
    <row r="5" spans="1:1" ht="15.75" customHeight="1">
      <c r="A5" s="11" t="e">
        <f ca="1">'Data Entries - EquityNoteSAFE'!GI23</f>
        <v>#NAME?</v>
      </c>
    </row>
    <row r="6" spans="1:1" ht="15.75" customHeight="1">
      <c r="A6" s="11" t="e">
        <f ca="1">'Data Entries - EquityNoteSAFE'!GI24</f>
        <v>#NAME?</v>
      </c>
    </row>
    <row r="7" spans="1:1" ht="15.75" customHeight="1">
      <c r="A7" s="11" t="e">
        <f ca="1">'Data Entries - EquityNoteSAFE'!GI25</f>
        <v>#NAME?</v>
      </c>
    </row>
    <row r="8" spans="1:1" ht="15.75" customHeight="1">
      <c r="A8" s="11" t="e">
        <f ca="1">'Data Entries - EquityNoteSAFE'!GI26</f>
        <v>#NAME?</v>
      </c>
    </row>
    <row r="9" spans="1:1" ht="15.75" customHeight="1">
      <c r="A9" s="11" t="e">
        <f ca="1">'Data Entries - EquityNoteSAFE'!GI27</f>
        <v>#NAME?</v>
      </c>
    </row>
    <row r="10" spans="1:1" ht="15.75" customHeight="1">
      <c r="A10" s="11" t="e">
        <f ca="1">'Data Entries - EquityNoteSAFE'!GI28</f>
        <v>#NAME?</v>
      </c>
    </row>
    <row r="11" spans="1:1" ht="15.75" customHeight="1">
      <c r="A11" s="11" t="e">
        <f ca="1">'Data Entries - EquityNoteSAFE'!GI29</f>
        <v>#NAME?</v>
      </c>
    </row>
    <row r="12" spans="1:1" ht="15.75" customHeight="1">
      <c r="A12" s="11" t="e">
        <f ca="1">'Data Entries - EquityNoteSAFE'!GI30</f>
        <v>#NAME?</v>
      </c>
    </row>
    <row r="13" spans="1:1" ht="15.75" customHeight="1">
      <c r="A13" s="11" t="e">
        <f ca="1">'Data Entries - EquityNoteSAFE'!GI31</f>
        <v>#NAME?</v>
      </c>
    </row>
    <row r="14" spans="1:1" ht="15.75" customHeight="1">
      <c r="A14" s="11" t="e">
        <f ca="1">'Data Entries - EquityNoteSAFE'!GI32</f>
        <v>#NAME?</v>
      </c>
    </row>
    <row r="15" spans="1:1" ht="15.75" customHeight="1">
      <c r="A15" s="11" t="e">
        <f ca="1">'Data Entries - EquityNoteSAFE'!GI33</f>
        <v>#NAME?</v>
      </c>
    </row>
    <row r="16" spans="1:1" ht="15.75" customHeight="1">
      <c r="A16" s="11" t="e">
        <f ca="1">'Data Entries - EquityNoteSAFE'!GI34</f>
        <v>#NAME?</v>
      </c>
    </row>
    <row r="17" spans="1:1" ht="13.2">
      <c r="A17" s="11" t="e">
        <f ca="1">'Data Entries - EquityNoteSAFE'!GI35</f>
        <v>#NAME?</v>
      </c>
    </row>
    <row r="18" spans="1:1" ht="13.2">
      <c r="A18" s="11" t="e">
        <f ca="1">'Data Entries - EquityNoteSAFE'!GI36</f>
        <v>#NAME?</v>
      </c>
    </row>
    <row r="19" spans="1:1" ht="13.2">
      <c r="A19" s="11" t="e">
        <f ca="1">'Data Entries - EquityNoteSAFE'!GI37</f>
        <v>#NAME?</v>
      </c>
    </row>
    <row r="20" spans="1:1" ht="13.2">
      <c r="A20" s="11" t="e">
        <f ca="1">'Data Entries - EquityNoteSAFE'!GI38</f>
        <v>#NAME?</v>
      </c>
    </row>
    <row r="21" spans="1:1" ht="13.2">
      <c r="A21" s="11" t="e">
        <f ca="1">'Data Entries - EquityNoteSAFE'!GI39</f>
        <v>#NAME?</v>
      </c>
    </row>
    <row r="22" spans="1:1" ht="13.2">
      <c r="A22" s="11" t="e">
        <f ca="1">'Data Entries - EquityNoteSAFE'!GI40</f>
        <v>#NAME?</v>
      </c>
    </row>
    <row r="23" spans="1:1" ht="13.2">
      <c r="A23" s="11" t="e">
        <f ca="1">'Data Entries - EquityNoteSAFE'!GI41</f>
        <v>#NAME?</v>
      </c>
    </row>
    <row r="24" spans="1:1" ht="13.2">
      <c r="A24" s="11" t="e">
        <f ca="1">'Data Entries - EquityNoteSAFE'!GI42</f>
        <v>#NAME?</v>
      </c>
    </row>
    <row r="25" spans="1:1" ht="13.2">
      <c r="A25" s="11" t="e">
        <f ca="1">'Data Entries - EquityNoteSAFE'!GI43</f>
        <v>#NAME?</v>
      </c>
    </row>
    <row r="26" spans="1:1" ht="13.2">
      <c r="A26" s="11" t="e">
        <f ca="1">'Data Entries - EquityNoteSAFE'!GI44</f>
        <v>#NAME?</v>
      </c>
    </row>
    <row r="27" spans="1:1" ht="13.2">
      <c r="A27" s="11" t="e">
        <f ca="1">'Data Entries - EquityNoteSAFE'!GI45</f>
        <v>#NAME?</v>
      </c>
    </row>
    <row r="28" spans="1:1" ht="13.2">
      <c r="A28" s="11" t="e">
        <f ca="1">'Data Entries - EquityNoteSAFE'!GI46</f>
        <v>#NAME?</v>
      </c>
    </row>
    <row r="29" spans="1:1" ht="13.2">
      <c r="A29" s="11" t="e">
        <f ca="1">'Data Entries - EquityNoteSAFE'!GI47</f>
        <v>#NAME?</v>
      </c>
    </row>
    <row r="30" spans="1:1" ht="13.2">
      <c r="A30" s="11" t="e">
        <f ca="1">'Data Entries - EquityNoteSAFE'!GI48</f>
        <v>#NAME?</v>
      </c>
    </row>
    <row r="31" spans="1:1" ht="13.2">
      <c r="A31" s="11" t="e">
        <f ca="1">'Data Entries - EquityNoteSAFE'!GI49</f>
        <v>#NAME?</v>
      </c>
    </row>
    <row r="32" spans="1:1" ht="13.2">
      <c r="A32" s="11" t="e">
        <f ca="1">'Data Entries - EquityNoteSAFE'!GI50</f>
        <v>#NAME?</v>
      </c>
    </row>
    <row r="33" spans="1:1" ht="13.2">
      <c r="A33" s="11" t="e">
        <f ca="1">'Data Entries - EquityNoteSAFE'!GI51</f>
        <v>#NAME?</v>
      </c>
    </row>
    <row r="34" spans="1:1" ht="13.2">
      <c r="A34" s="11" t="e">
        <f ca="1">'Data Entries - EquityNoteSAFE'!GI52</f>
        <v>#NAME?</v>
      </c>
    </row>
    <row r="35" spans="1:1" ht="13.2">
      <c r="A35" s="11" t="e">
        <f ca="1">'Data Entries - EquityNoteSAFE'!GI53</f>
        <v>#NAME?</v>
      </c>
    </row>
    <row r="36" spans="1:1" ht="13.2">
      <c r="A36" s="11" t="e">
        <f ca="1">'Data Entries - EquityNoteSAFE'!GI54</f>
        <v>#NAME?</v>
      </c>
    </row>
    <row r="37" spans="1:1" ht="13.2">
      <c r="A37" s="11" t="e">
        <f ca="1">'Data Entries - EquityNoteSAFE'!GI55</f>
        <v>#NAME?</v>
      </c>
    </row>
    <row r="38" spans="1:1" ht="13.2">
      <c r="A38" s="11" t="e">
        <f ca="1">'Data Entries - EquityNoteSAFE'!GI56</f>
        <v>#NAME?</v>
      </c>
    </row>
    <row r="39" spans="1:1" ht="13.2">
      <c r="A39" s="11" t="e">
        <f ca="1">'Data Entries - EquityNoteSAFE'!GI57</f>
        <v>#NAME?</v>
      </c>
    </row>
    <row r="40" spans="1:1" ht="13.2">
      <c r="A40" s="11" t="e">
        <f ca="1">'Data Entries - EquityNoteSAFE'!GI58</f>
        <v>#NAME?</v>
      </c>
    </row>
    <row r="41" spans="1:1" ht="13.2">
      <c r="A41" s="11" t="e">
        <f ca="1">'Data Entries - EquityNoteSAFE'!GI59</f>
        <v>#NAME?</v>
      </c>
    </row>
    <row r="42" spans="1:1" ht="13.2">
      <c r="A42" s="11" t="e">
        <f ca="1">'Data Entries - EquityNoteSAFE'!GI60</f>
        <v>#NAME?</v>
      </c>
    </row>
    <row r="43" spans="1:1" ht="13.2">
      <c r="A43" s="11" t="e">
        <f ca="1">'Data Entries - EquityNoteSAFE'!GI61</f>
        <v>#NAME?</v>
      </c>
    </row>
    <row r="44" spans="1:1" ht="13.2">
      <c r="A44" s="11" t="e">
        <f ca="1">'Data Entries - EquityNoteSAFE'!GI62</f>
        <v>#NAME?</v>
      </c>
    </row>
    <row r="45" spans="1:1" ht="13.2">
      <c r="A45" s="11" t="e">
        <f ca="1">'Data Entries - EquityNoteSAFE'!GI63</f>
        <v>#NAME?</v>
      </c>
    </row>
    <row r="46" spans="1:1" ht="13.2">
      <c r="A46" s="11" t="e">
        <f ca="1">'Data Entries - EquityNoteSAFE'!GI64</f>
        <v>#NAME?</v>
      </c>
    </row>
    <row r="47" spans="1:1" ht="13.2">
      <c r="A47" s="11" t="e">
        <f ca="1">'Data Entries - EquityNoteSAFE'!GI65</f>
        <v>#NAME?</v>
      </c>
    </row>
    <row r="48" spans="1:1" ht="13.2">
      <c r="A48" s="11" t="e">
        <f ca="1">'Data Entries - EquityNoteSAFE'!GI66</f>
        <v>#NAME?</v>
      </c>
    </row>
    <row r="49" spans="1:1" ht="13.2">
      <c r="A49" s="11" t="e">
        <f ca="1">'Data Entries - EquityNoteSAFE'!GI67</f>
        <v>#NAME?</v>
      </c>
    </row>
    <row r="50" spans="1:1" ht="13.2">
      <c r="A50" s="11" t="e">
        <f ca="1">'Data Entries - EquityNoteSAFE'!GI68</f>
        <v>#NAME?</v>
      </c>
    </row>
    <row r="51" spans="1:1" ht="13.2">
      <c r="A51" s="11" t="e">
        <f ca="1">'Data Entries - EquityNoteSAFE'!GI69</f>
        <v>#NAME?</v>
      </c>
    </row>
    <row r="52" spans="1:1" ht="13.2">
      <c r="A52" s="11" t="e">
        <f ca="1">'Data Entries - EquityNoteSAFE'!GI70</f>
        <v>#NAME?</v>
      </c>
    </row>
    <row r="53" spans="1:1" ht="13.2">
      <c r="A53" s="11" t="e">
        <f ca="1">'Data Entries - EquityNoteSAFE'!GI71</f>
        <v>#NAME?</v>
      </c>
    </row>
    <row r="54" spans="1:1" ht="13.2">
      <c r="A54" s="11" t="e">
        <f ca="1">'Data Entries - EquityNoteSAFE'!GI72</f>
        <v>#NAME?</v>
      </c>
    </row>
    <row r="55" spans="1:1" ht="13.2">
      <c r="A55" s="11" t="e">
        <f ca="1">'Data Entries - EquityNoteSAFE'!GI73</f>
        <v>#NAME?</v>
      </c>
    </row>
    <row r="56" spans="1:1" ht="13.2">
      <c r="A56" s="11" t="e">
        <f ca="1">'Data Entries - EquityNoteSAFE'!GI74</f>
        <v>#NAME?</v>
      </c>
    </row>
    <row r="57" spans="1:1" ht="13.2">
      <c r="A57" s="11" t="e">
        <f ca="1">'Data Entries - EquityNoteSAFE'!GI75</f>
        <v>#NAME?</v>
      </c>
    </row>
    <row r="58" spans="1:1" ht="13.2">
      <c r="A58" s="11" t="e">
        <f ca="1">'Data Entries - EquityNoteSAFE'!GI76</f>
        <v>#NAME?</v>
      </c>
    </row>
    <row r="59" spans="1:1" ht="13.2">
      <c r="A59" s="11" t="e">
        <f ca="1">'Data Entries - EquityNoteSAFE'!GI77</f>
        <v>#NAME?</v>
      </c>
    </row>
    <row r="60" spans="1:1" ht="13.2">
      <c r="A60" s="11" t="e">
        <f ca="1">'Data Entries - EquityNoteSAFE'!GI78</f>
        <v>#NAME?</v>
      </c>
    </row>
    <row r="61" spans="1:1" ht="13.2">
      <c r="A61" s="11" t="e">
        <f ca="1">'Data Entries - EquityNoteSAFE'!GI79</f>
        <v>#NAME?</v>
      </c>
    </row>
    <row r="62" spans="1:1" ht="13.2">
      <c r="A62" s="11" t="e">
        <f ca="1">'Data Entries - EquityNoteSAFE'!GI80</f>
        <v>#NAME?</v>
      </c>
    </row>
    <row r="63" spans="1:1" ht="13.2">
      <c r="A63" s="11" t="e">
        <f ca="1">'Data Entries - EquityNoteSAFE'!GI81</f>
        <v>#NAME?</v>
      </c>
    </row>
    <row r="64" spans="1:1" ht="13.2">
      <c r="A64" s="11" t="e">
        <f ca="1">'Data Entries - EquityNoteSAFE'!GI82</f>
        <v>#NAME?</v>
      </c>
    </row>
    <row r="65" spans="1:1" ht="13.2">
      <c r="A65" s="11" t="e">
        <f ca="1">'Data Entries - EquityNoteSAFE'!GI83</f>
        <v>#NAME?</v>
      </c>
    </row>
    <row r="66" spans="1:1" ht="13.2">
      <c r="A66" s="11" t="e">
        <f ca="1">'Data Entries - EquityNoteSAFE'!GI84</f>
        <v>#NAME?</v>
      </c>
    </row>
    <row r="67" spans="1:1" ht="13.2">
      <c r="A67" s="11" t="e">
        <f ca="1">'Data Entries - EquityNoteSAFE'!GI85</f>
        <v>#NAME?</v>
      </c>
    </row>
    <row r="68" spans="1:1" ht="13.2">
      <c r="A68" s="11" t="e">
        <f ca="1">'Data Entries - EquityNoteSAFE'!GI86</f>
        <v>#NAME?</v>
      </c>
    </row>
    <row r="69" spans="1:1" ht="13.2">
      <c r="A69" s="11" t="e">
        <f ca="1">'Data Entries - EquityNoteSAFE'!GI87</f>
        <v>#NAME?</v>
      </c>
    </row>
    <row r="70" spans="1:1" ht="13.2">
      <c r="A70" s="11" t="e">
        <f ca="1">'Data Entries - EquityNoteSAFE'!GI88</f>
        <v>#NAME?</v>
      </c>
    </row>
    <row r="71" spans="1:1" ht="13.2">
      <c r="A71" s="11" t="e">
        <f ca="1">'Data Entries - EquityNoteSAFE'!GI89</f>
        <v>#NAME?</v>
      </c>
    </row>
    <row r="72" spans="1:1" ht="13.2">
      <c r="A72" s="11" t="e">
        <f ca="1">'Data Entries - EquityNoteSAFE'!GI90</f>
        <v>#NAME?</v>
      </c>
    </row>
    <row r="73" spans="1:1" ht="13.2">
      <c r="A73" s="11" t="e">
        <f ca="1">'Data Entries - EquityNoteSAFE'!GI91</f>
        <v>#NAME?</v>
      </c>
    </row>
    <row r="74" spans="1:1" ht="13.2">
      <c r="A74" s="11" t="e">
        <f ca="1">'Data Entries - EquityNoteSAFE'!GI92</f>
        <v>#NAME?</v>
      </c>
    </row>
    <row r="75" spans="1:1" ht="13.2">
      <c r="A75" s="11" t="e">
        <f ca="1">'Data Entries - EquityNoteSAFE'!GI93</f>
        <v>#NAME?</v>
      </c>
    </row>
    <row r="76" spans="1:1" ht="13.2">
      <c r="A76" s="11" t="e">
        <f ca="1">'Data Entries - EquityNoteSAFE'!GI94</f>
        <v>#NAME?</v>
      </c>
    </row>
    <row r="77" spans="1:1" ht="13.2">
      <c r="A77" s="11" t="e">
        <f ca="1">'Data Entries - EquityNoteSAFE'!GI95</f>
        <v>#NAME?</v>
      </c>
    </row>
    <row r="78" spans="1:1" ht="13.2">
      <c r="A78" s="11" t="e">
        <f ca="1">'Data Entries - EquityNoteSAFE'!GI96</f>
        <v>#NAME?</v>
      </c>
    </row>
    <row r="79" spans="1:1" ht="13.2">
      <c r="A79" s="11" t="e">
        <f ca="1">'Data Entries - EquityNoteSAFE'!GI97</f>
        <v>#NAME?</v>
      </c>
    </row>
    <row r="80" spans="1:1" ht="13.2">
      <c r="A80" s="11" t="e">
        <f ca="1">'Data Entries - EquityNoteSAFE'!GI98</f>
        <v>#NAME?</v>
      </c>
    </row>
    <row r="81" spans="1:1" ht="13.2">
      <c r="A81" s="11" t="e">
        <f ca="1">'Data Entries - EquityNoteSAFE'!GI99</f>
        <v>#NAME?</v>
      </c>
    </row>
    <row r="82" spans="1:1" ht="13.2">
      <c r="A82" s="11" t="e">
        <f ca="1">'Data Entries - EquityNoteSAFE'!GI100</f>
        <v>#NAME?</v>
      </c>
    </row>
    <row r="83" spans="1:1" ht="13.2">
      <c r="A83" s="11" t="e">
        <f ca="1">'Data Entries - EquityNoteSAFE'!GI101</f>
        <v>#NAME?</v>
      </c>
    </row>
    <row r="84" spans="1:1" ht="13.2">
      <c r="A84" s="11" t="e">
        <f ca="1">'Data Entries - EquityNoteSAFE'!GI102</f>
        <v>#NAME?</v>
      </c>
    </row>
    <row r="85" spans="1:1" ht="13.2">
      <c r="A85" s="11" t="e">
        <f ca="1">'Data Entries - EquityNoteSAFE'!GI103</f>
        <v>#NAME?</v>
      </c>
    </row>
    <row r="86" spans="1:1" ht="13.2">
      <c r="A86" s="11" t="e">
        <f ca="1">'Data Entries - EquityNoteSAFE'!GI104</f>
        <v>#NAME?</v>
      </c>
    </row>
    <row r="87" spans="1:1" ht="13.2">
      <c r="A87" s="11" t="e">
        <f ca="1">'Data Entries - EquityNoteSAFE'!GI105</f>
        <v>#NAME?</v>
      </c>
    </row>
    <row r="88" spans="1:1" ht="13.2">
      <c r="A88" s="11" t="e">
        <f ca="1">'Data Entries - EquityNoteSAFE'!GI106</f>
        <v>#NAME?</v>
      </c>
    </row>
    <row r="89" spans="1:1" ht="13.2">
      <c r="A89" s="11" t="e">
        <f ca="1">'Data Entries - EquityNoteSAFE'!GI107</f>
        <v>#NAME?</v>
      </c>
    </row>
    <row r="90" spans="1:1" ht="13.2">
      <c r="A90" s="11" t="e">
        <f ca="1">'Data Entries - EquityNoteSAFE'!GI108</f>
        <v>#NAME?</v>
      </c>
    </row>
    <row r="91" spans="1:1" ht="13.2">
      <c r="A91" s="11" t="e">
        <f ca="1">'Data Entries - EquityNoteSAFE'!GI109</f>
        <v>#NAME?</v>
      </c>
    </row>
    <row r="92" spans="1:1" ht="13.2">
      <c r="A92" s="11" t="e">
        <f ca="1">'Data Entries - EquityNoteSAFE'!GI110</f>
        <v>#NAME?</v>
      </c>
    </row>
    <row r="93" spans="1:1" ht="13.2">
      <c r="A93" s="11" t="e">
        <f ca="1">'Data Entries - EquityNoteSAFE'!GI111</f>
        <v>#NAME?</v>
      </c>
    </row>
    <row r="94" spans="1:1" ht="13.2">
      <c r="A94" s="11" t="e">
        <f ca="1">'Data Entries - EquityNoteSAFE'!GI112</f>
        <v>#NAME?</v>
      </c>
    </row>
    <row r="95" spans="1:1" ht="13.2">
      <c r="A95" s="11" t="e">
        <f ca="1">'Data Entries - EquityNoteSAFE'!GI113</f>
        <v>#NAME?</v>
      </c>
    </row>
    <row r="96" spans="1:1" ht="13.2">
      <c r="A96" s="11" t="e">
        <f ca="1">'Data Entries - EquityNoteSAFE'!GI114</f>
        <v>#NAME?</v>
      </c>
    </row>
    <row r="97" spans="1:1" ht="13.2">
      <c r="A97" s="11" t="e">
        <f ca="1">'Data Entries - EquityNoteSAFE'!GI115</f>
        <v>#NAME?</v>
      </c>
    </row>
    <row r="98" spans="1:1" ht="13.2">
      <c r="A98" s="11" t="e">
        <f ca="1">'Data Entries - EquityNoteSAFE'!GI116</f>
        <v>#NAME?</v>
      </c>
    </row>
    <row r="99" spans="1:1" ht="13.2">
      <c r="A99" s="11" t="e">
        <f ca="1">'Data Entries - EquityNoteSAFE'!GI117</f>
        <v>#NAME?</v>
      </c>
    </row>
    <row r="100" spans="1:1" ht="13.2">
      <c r="A100" s="11" t="e">
        <f ca="1">'Data Entries - EquityNoteSAFE'!GI118</f>
        <v>#NAME?</v>
      </c>
    </row>
    <row r="101" spans="1:1" ht="13.2">
      <c r="A101" s="11" t="e">
        <f ca="1">'Data Entries - EquityNoteSAFE'!GI119</f>
        <v>#NAME?</v>
      </c>
    </row>
    <row r="102" spans="1:1" ht="13.2">
      <c r="A102" s="11" t="e">
        <f ca="1">'Data Entries - EquityNoteSAFE'!GI120</f>
        <v>#NAME?</v>
      </c>
    </row>
    <row r="103" spans="1:1" ht="13.2">
      <c r="A103" s="11" t="e">
        <f ca="1">'Data Entries - EquityNoteSAFE'!GI121</f>
        <v>#NAME?</v>
      </c>
    </row>
    <row r="104" spans="1:1" ht="13.2">
      <c r="A104" s="11" t="e">
        <f ca="1">'Data Entries - EquityNoteSAFE'!GI122</f>
        <v>#NAME?</v>
      </c>
    </row>
    <row r="105" spans="1:1" ht="13.2">
      <c r="A105" s="11" t="e">
        <f ca="1">'Data Entries - EquityNoteSAFE'!GI123</f>
        <v>#NAME?</v>
      </c>
    </row>
    <row r="106" spans="1:1" ht="13.2">
      <c r="A106" s="11" t="e">
        <f ca="1">'Data Entries - EquityNoteSAFE'!GI124</f>
        <v>#NAME?</v>
      </c>
    </row>
    <row r="107" spans="1:1" ht="13.2">
      <c r="A107" s="11" t="e">
        <f ca="1">'Data Entries - EquityNoteSAFE'!GI125</f>
        <v>#NAME?</v>
      </c>
    </row>
    <row r="108" spans="1:1" ht="13.2">
      <c r="A108" s="11" t="e">
        <f ca="1">'Data Entries - EquityNoteSAFE'!GI126</f>
        <v>#NAME?</v>
      </c>
    </row>
    <row r="109" spans="1:1" ht="13.2">
      <c r="A109" s="11" t="e">
        <f ca="1">'Data Entries - EquityNoteSAFE'!GI127</f>
        <v>#NAME?</v>
      </c>
    </row>
    <row r="110" spans="1:1" ht="13.2">
      <c r="A110" s="11" t="e">
        <f ca="1">'Data Entries - EquityNoteSAFE'!GI128</f>
        <v>#NAME?</v>
      </c>
    </row>
    <row r="111" spans="1:1" ht="13.2">
      <c r="A111" s="11" t="e">
        <f ca="1">'Data Entries - EquityNoteSAFE'!GI129</f>
        <v>#NAME?</v>
      </c>
    </row>
    <row r="112" spans="1:1" ht="13.2">
      <c r="A112" s="11" t="e">
        <f ca="1">'Data Entries - EquityNoteSAFE'!GI130</f>
        <v>#NAME?</v>
      </c>
    </row>
    <row r="113" spans="1:1" ht="13.2">
      <c r="A113" s="11" t="e">
        <f ca="1">'Data Entries - EquityNoteSAFE'!GI131</f>
        <v>#NAME?</v>
      </c>
    </row>
    <row r="114" spans="1:1" ht="13.2">
      <c r="A114" s="11" t="e">
        <f ca="1">'Data Entries - EquityNoteSAFE'!GI132</f>
        <v>#NAME?</v>
      </c>
    </row>
    <row r="115" spans="1:1" ht="13.2">
      <c r="A115" s="11" t="e">
        <f ca="1">'Data Entries - EquityNoteSAFE'!GI133</f>
        <v>#NAME?</v>
      </c>
    </row>
    <row r="116" spans="1:1" ht="13.2">
      <c r="A116" s="11" t="e">
        <f ca="1">'Data Entries - EquityNoteSAFE'!GI134</f>
        <v>#NAME?</v>
      </c>
    </row>
    <row r="117" spans="1:1" ht="13.2">
      <c r="A117" s="11" t="e">
        <f ca="1">'Data Entries - EquityNoteSAFE'!GI135</f>
        <v>#NAME?</v>
      </c>
    </row>
    <row r="118" spans="1:1" ht="13.2">
      <c r="A118" s="11" t="e">
        <f ca="1">'Data Entries - EquityNoteSAFE'!GI136</f>
        <v>#NAME?</v>
      </c>
    </row>
    <row r="119" spans="1:1" ht="13.2">
      <c r="A119" s="11" t="e">
        <f ca="1">'Data Entries - EquityNoteSAFE'!GI137</f>
        <v>#NAME?</v>
      </c>
    </row>
    <row r="120" spans="1:1" ht="13.2">
      <c r="A120" s="11" t="e">
        <f ca="1">'Data Entries - EquityNoteSAFE'!GI138</f>
        <v>#NAME?</v>
      </c>
    </row>
    <row r="121" spans="1:1" ht="13.2">
      <c r="A121" s="11" t="e">
        <f ca="1">'Data Entries - EquityNoteSAFE'!GI139</f>
        <v>#NAME?</v>
      </c>
    </row>
    <row r="122" spans="1:1" ht="13.2">
      <c r="A122" s="11" t="e">
        <f ca="1">'Data Entries - EquityNoteSAFE'!GI140</f>
        <v>#NAME?</v>
      </c>
    </row>
    <row r="123" spans="1:1" ht="13.2">
      <c r="A123" s="11" t="e">
        <f ca="1">'Data Entries - EquityNoteSAFE'!GI141</f>
        <v>#NAME?</v>
      </c>
    </row>
    <row r="124" spans="1:1" ht="13.2">
      <c r="A124" s="11" t="e">
        <f ca="1">'Data Entries - EquityNoteSAFE'!GI142</f>
        <v>#NAME?</v>
      </c>
    </row>
    <row r="125" spans="1:1" ht="13.2">
      <c r="A125" s="11" t="e">
        <f ca="1">'Data Entries - EquityNoteSAFE'!GI143</f>
        <v>#NAME?</v>
      </c>
    </row>
    <row r="126" spans="1:1" ht="13.2">
      <c r="A126" s="11" t="e">
        <f ca="1">'Data Entries - EquityNoteSAFE'!GI144</f>
        <v>#NAME?</v>
      </c>
    </row>
    <row r="127" spans="1:1" ht="13.2">
      <c r="A127" s="11" t="e">
        <f ca="1">'Data Entries - EquityNoteSAFE'!GI145</f>
        <v>#NAME?</v>
      </c>
    </row>
    <row r="128" spans="1:1" ht="13.2">
      <c r="A128" s="11" t="e">
        <f ca="1">'Data Entries - EquityNoteSAFE'!GI146</f>
        <v>#NAME?</v>
      </c>
    </row>
    <row r="129" spans="1:1" ht="13.2">
      <c r="A129" s="11" t="e">
        <f ca="1">'Data Entries - EquityNoteSAFE'!GI147</f>
        <v>#NAME?</v>
      </c>
    </row>
    <row r="130" spans="1:1" ht="13.2">
      <c r="A130" s="11" t="e">
        <f ca="1">'Data Entries - EquityNoteSAFE'!GI148</f>
        <v>#NAME?</v>
      </c>
    </row>
    <row r="131" spans="1:1" ht="13.2">
      <c r="A131" s="11" t="e">
        <f ca="1">'Data Entries - EquityNoteSAFE'!GI149</f>
        <v>#NAME?</v>
      </c>
    </row>
    <row r="132" spans="1:1" ht="13.2">
      <c r="A132" s="11" t="e">
        <f ca="1">'Data Entries - EquityNoteSAFE'!GI150</f>
        <v>#NAME?</v>
      </c>
    </row>
    <row r="133" spans="1:1" ht="13.2">
      <c r="A133" s="11" t="e">
        <f ca="1">'Data Entries - EquityNoteSAFE'!GI151</f>
        <v>#NAME?</v>
      </c>
    </row>
    <row r="134" spans="1:1" ht="13.2">
      <c r="A134" s="11" t="e">
        <f ca="1">'Data Entries - EquityNoteSAFE'!GI152</f>
        <v>#NAME?</v>
      </c>
    </row>
    <row r="135" spans="1:1" ht="13.2">
      <c r="A135" s="11" t="e">
        <f ca="1">'Data Entries - EquityNoteSAFE'!GI153</f>
        <v>#NAME?</v>
      </c>
    </row>
    <row r="136" spans="1:1" ht="13.2">
      <c r="A136" s="11" t="e">
        <f ca="1">'Data Entries - EquityNoteSAFE'!GI154</f>
        <v>#NAME?</v>
      </c>
    </row>
    <row r="137" spans="1:1" ht="13.2">
      <c r="A137" s="11" t="e">
        <f ca="1">'Data Entries - EquityNoteSAFE'!GI155</f>
        <v>#NAME?</v>
      </c>
    </row>
    <row r="138" spans="1:1" ht="13.2">
      <c r="A138" s="11" t="e">
        <f ca="1">'Data Entries - EquityNoteSAFE'!GI156</f>
        <v>#NAME?</v>
      </c>
    </row>
    <row r="139" spans="1:1" ht="13.2">
      <c r="A139" s="11" t="e">
        <f ca="1">'Data Entries - EquityNoteSAFE'!GI157</f>
        <v>#NAME?</v>
      </c>
    </row>
    <row r="140" spans="1:1" ht="13.2">
      <c r="A140" s="11" t="e">
        <f ca="1">'Data Entries - EquityNoteSAFE'!GI158</f>
        <v>#NAME?</v>
      </c>
    </row>
    <row r="141" spans="1:1" ht="13.2">
      <c r="A141" s="11" t="e">
        <f ca="1">'Data Entries - EquityNoteSAFE'!GI159</f>
        <v>#NAME?</v>
      </c>
    </row>
    <row r="142" spans="1:1" ht="13.2">
      <c r="A142" s="11" t="e">
        <f ca="1">'Data Entries - EquityNoteSAFE'!GI160</f>
        <v>#NAME?</v>
      </c>
    </row>
    <row r="143" spans="1:1" ht="13.2">
      <c r="A143" s="11" t="e">
        <f ca="1">'Data Entries - EquityNoteSAFE'!GI161</f>
        <v>#NAME?</v>
      </c>
    </row>
    <row r="144" spans="1:1" ht="13.2">
      <c r="A144" s="11" t="e">
        <f>#REF!</f>
        <v>#REF!</v>
      </c>
    </row>
    <row r="145" spans="1:1" ht="13.2">
      <c r="A145" s="11" t="e">
        <f ca="1">'Data Entries - EquityNoteSAFE'!GI162</f>
        <v>#NAME?</v>
      </c>
    </row>
    <row r="146" spans="1:1" ht="13.2">
      <c r="A146" s="11" t="e">
        <f ca="1">'Data Entries - EquityNoteSAFE'!GI163</f>
        <v>#NAME?</v>
      </c>
    </row>
    <row r="147" spans="1:1" ht="13.2">
      <c r="A147" s="11" t="e">
        <f ca="1">'Data Entries - EquityNoteSAFE'!GI164</f>
        <v>#NAME?</v>
      </c>
    </row>
    <row r="148" spans="1:1" ht="13.2">
      <c r="A148" s="11" t="e">
        <f ca="1">'Data Entries - EquityNoteSAFE'!GI165</f>
        <v>#NAME?</v>
      </c>
    </row>
    <row r="149" spans="1:1" ht="13.2">
      <c r="A149" s="11" t="e">
        <f ca="1">'Data Entries - EquityNoteSAFE'!GI166</f>
        <v>#NAME?</v>
      </c>
    </row>
    <row r="150" spans="1:1" ht="13.2">
      <c r="A150" s="11" t="e">
        <f ca="1">'Data Entries - EquityNoteSAFE'!GI167</f>
        <v>#NAME?</v>
      </c>
    </row>
    <row r="151" spans="1:1" ht="13.2">
      <c r="A151" s="11" t="e">
        <f ca="1">'Data Entries - EquityNoteSAFE'!GI168</f>
        <v>#NAME?</v>
      </c>
    </row>
    <row r="152" spans="1:1" ht="13.2">
      <c r="A152" s="11" t="e">
        <f ca="1">'Data Entries - EquityNoteSAFE'!GI169</f>
        <v>#NAME?</v>
      </c>
    </row>
    <row r="153" spans="1:1" ht="13.2">
      <c r="A153" s="11" t="e">
        <f ca="1">'Data Entries - EquityNoteSAFE'!GI170</f>
        <v>#NAME?</v>
      </c>
    </row>
    <row r="154" spans="1:1" ht="13.2">
      <c r="A154" s="11" t="e">
        <f ca="1">'Data Entries - EquityNoteSAFE'!GI171</f>
        <v>#NAME?</v>
      </c>
    </row>
    <row r="155" spans="1:1" ht="13.2">
      <c r="A155" s="11" t="e">
        <f ca="1">'Data Entries - EquityNoteSAFE'!GI172</f>
        <v>#NAME?</v>
      </c>
    </row>
    <row r="156" spans="1:1" ht="13.2">
      <c r="A156" s="11" t="e">
        <f ca="1">'Data Entries - EquityNoteSAFE'!GI173</f>
        <v>#NAME?</v>
      </c>
    </row>
    <row r="157" spans="1:1" ht="13.2">
      <c r="A157" s="11" t="e">
        <f ca="1">'Data Entries - EquityNoteSAFE'!GI174</f>
        <v>#NAME?</v>
      </c>
    </row>
    <row r="158" spans="1:1" ht="13.2">
      <c r="A158" s="11" t="e">
        <f ca="1">'Data Entries - EquityNoteSAFE'!GI175</f>
        <v>#NAME?</v>
      </c>
    </row>
    <row r="159" spans="1:1" ht="13.2">
      <c r="A159" s="11" t="e">
        <f ca="1">'Data Entries - EquityNoteSAFE'!GI176</f>
        <v>#NAME?</v>
      </c>
    </row>
    <row r="160" spans="1:1" ht="13.2">
      <c r="A160" s="11" t="e">
        <f ca="1">'Data Entries - EquityNoteSAFE'!GI177</f>
        <v>#NAME?</v>
      </c>
    </row>
    <row r="161" spans="1:1" ht="13.2">
      <c r="A161" s="11" t="e">
        <f ca="1">'Data Entries - EquityNoteSAFE'!GI178</f>
        <v>#NAME?</v>
      </c>
    </row>
    <row r="162" spans="1:1" ht="13.2">
      <c r="A162" s="11" t="e">
        <f ca="1">'Data Entries - EquityNoteSAFE'!GI179</f>
        <v>#NAME?</v>
      </c>
    </row>
    <row r="163" spans="1:1" ht="13.2">
      <c r="A163" s="11" t="e">
        <f ca="1">'Data Entries - EquityNoteSAFE'!GI180</f>
        <v>#NAME?</v>
      </c>
    </row>
    <row r="164" spans="1:1" ht="13.2">
      <c r="A164" s="11" t="e">
        <f ca="1">'Data Entries - EquityNoteSAFE'!GI181</f>
        <v>#NAME?</v>
      </c>
    </row>
    <row r="165" spans="1:1" ht="13.2">
      <c r="A165" s="11" t="e">
        <f ca="1">'Data Entries - EquityNoteSAFE'!GI182</f>
        <v>#NAME?</v>
      </c>
    </row>
    <row r="166" spans="1:1" ht="13.2">
      <c r="A166" s="11" t="e">
        <f ca="1">'Data Entries - EquityNoteSAFE'!GI183</f>
        <v>#NAME?</v>
      </c>
    </row>
    <row r="167" spans="1:1" ht="13.2">
      <c r="A167" s="11" t="e">
        <f ca="1">'Data Entries - EquityNoteSAFE'!GI184</f>
        <v>#NAME?</v>
      </c>
    </row>
    <row r="168" spans="1:1" ht="13.2">
      <c r="A168" s="11" t="e">
        <f ca="1">'Data Entries - EquityNoteSAFE'!GI185</f>
        <v>#NAME?</v>
      </c>
    </row>
    <row r="169" spans="1:1" ht="13.2">
      <c r="A169" s="11" t="e">
        <f ca="1">'Data Entries - EquityNoteSAFE'!GI186</f>
        <v>#NAME?</v>
      </c>
    </row>
    <row r="170" spans="1:1" ht="13.2">
      <c r="A170" s="11" t="e">
        <f ca="1">'Data Entries - EquityNoteSAFE'!GI187</f>
        <v>#NAME?</v>
      </c>
    </row>
    <row r="171" spans="1:1" ht="13.2">
      <c r="A171" s="11" t="e">
        <f ca="1">'Data Entries - EquityNoteSAFE'!GI188</f>
        <v>#NAME?</v>
      </c>
    </row>
    <row r="172" spans="1:1" ht="13.2">
      <c r="A172" s="11" t="e">
        <f ca="1">'Data Entries - EquityNoteSAFE'!GI189</f>
        <v>#NAME?</v>
      </c>
    </row>
    <row r="173" spans="1:1" ht="13.2">
      <c r="A173" s="11" t="e">
        <f ca="1">'Data Entries - EquityNoteSAFE'!GI190</f>
        <v>#NAME?</v>
      </c>
    </row>
    <row r="174" spans="1:1" ht="13.2">
      <c r="A174" s="11" t="e">
        <f ca="1">'Data Entries - EquityNoteSAFE'!GI191</f>
        <v>#NAME?</v>
      </c>
    </row>
    <row r="175" spans="1:1" ht="13.2">
      <c r="A175" s="11" t="e">
        <f ca="1">'Data Entries - EquityNoteSAFE'!GI192</f>
        <v>#NAME?</v>
      </c>
    </row>
    <row r="176" spans="1:1" ht="13.2">
      <c r="A176" s="11" t="e">
        <f ca="1">'Data Entries - EquityNoteSAFE'!GI193</f>
        <v>#NAME?</v>
      </c>
    </row>
    <row r="177" spans="1:1" ht="13.2">
      <c r="A177" s="11" t="e">
        <f ca="1">'Data Entries - EquityNoteSAFE'!GI194</f>
        <v>#NAME?</v>
      </c>
    </row>
    <row r="178" spans="1:1" ht="13.2">
      <c r="A178" s="11" t="e">
        <f ca="1">'Data Entries - EquityNoteSAFE'!GI195</f>
        <v>#NAME?</v>
      </c>
    </row>
    <row r="179" spans="1:1" ht="13.2">
      <c r="A179" s="11" t="e">
        <f ca="1">'Data Entries - EquityNoteSAFE'!GI196</f>
        <v>#NAME?</v>
      </c>
    </row>
    <row r="180" spans="1:1" ht="13.2">
      <c r="A180" s="11" t="e">
        <f ca="1">'Data Entries - EquityNoteSAFE'!GI197</f>
        <v>#NAME?</v>
      </c>
    </row>
    <row r="181" spans="1:1" ht="13.2">
      <c r="A181" s="11" t="e">
        <f ca="1">'Data Entries - EquityNoteSAFE'!GI198</f>
        <v>#NAME?</v>
      </c>
    </row>
    <row r="182" spans="1:1" ht="13.2">
      <c r="A182" s="11" t="e">
        <f ca="1">'Data Entries - EquityNoteSAFE'!GI199</f>
        <v>#NAME?</v>
      </c>
    </row>
    <row r="183" spans="1:1" ht="13.2">
      <c r="A183" s="11" t="e">
        <f ca="1">'Data Entries - EquityNoteSAFE'!GI200</f>
        <v>#NAME?</v>
      </c>
    </row>
    <row r="184" spans="1:1" ht="13.2">
      <c r="A184" s="11" t="e">
        <f ca="1">'Data Entries - EquityNoteSAFE'!GI201</f>
        <v>#NAME?</v>
      </c>
    </row>
    <row r="185" spans="1:1" ht="13.2">
      <c r="A185" s="11" t="e">
        <f ca="1">'Data Entries - EquityNoteSAFE'!GI202</f>
        <v>#NAME?</v>
      </c>
    </row>
    <row r="186" spans="1:1" ht="13.2">
      <c r="A186" s="11" t="e">
        <f ca="1">'Data Entries - EquityNoteSAFE'!GI203</f>
        <v>#NAME?</v>
      </c>
    </row>
    <row r="187" spans="1:1" ht="13.2">
      <c r="A187" s="11" t="e">
        <f ca="1">'Data Entries - EquityNoteSAFE'!GI204</f>
        <v>#NAME?</v>
      </c>
    </row>
    <row r="188" spans="1:1" ht="13.2">
      <c r="A188" s="11" t="e">
        <f ca="1">'Data Entries - EquityNoteSAFE'!GI205</f>
        <v>#NAME?</v>
      </c>
    </row>
    <row r="189" spans="1:1" ht="13.2">
      <c r="A189" s="11" t="e">
        <f ca="1">'Data Entries - EquityNoteSAFE'!GI206</f>
        <v>#NAME?</v>
      </c>
    </row>
    <row r="190" spans="1:1" ht="13.2">
      <c r="A190" s="11" t="e">
        <f ca="1">'Data Entries - EquityNoteSAFE'!GI207</f>
        <v>#NAME?</v>
      </c>
    </row>
    <row r="191" spans="1:1" ht="13.2">
      <c r="A191" s="11" t="e">
        <f ca="1">'Data Entries - EquityNoteSAFE'!GI208</f>
        <v>#NAME?</v>
      </c>
    </row>
    <row r="192" spans="1:1" ht="13.2">
      <c r="A192" s="11" t="e">
        <f ca="1">'Data Entries - EquityNoteSAFE'!GI209</f>
        <v>#NAME?</v>
      </c>
    </row>
    <row r="193" spans="1:1" ht="13.2">
      <c r="A193" s="11" t="e">
        <f ca="1">'Data Entries - EquityNoteSAFE'!GI210</f>
        <v>#NAME?</v>
      </c>
    </row>
    <row r="194" spans="1:1" ht="13.2">
      <c r="A194" s="11" t="e">
        <f ca="1">'Data Entries - EquityNoteSAFE'!GI211</f>
        <v>#NAME?</v>
      </c>
    </row>
    <row r="195" spans="1:1" ht="13.2">
      <c r="A195" s="11" t="e">
        <f ca="1">'Data Entries - EquityNoteSAFE'!GI212</f>
        <v>#NAME?</v>
      </c>
    </row>
    <row r="196" spans="1:1" ht="13.2">
      <c r="A196" s="11" t="e">
        <f ca="1">'Data Entries - EquityNoteSAFE'!GI213</f>
        <v>#NAME?</v>
      </c>
    </row>
    <row r="197" spans="1:1" ht="13.2">
      <c r="A197" s="11" t="e">
        <f ca="1">'Data Entries - EquityNoteSAFE'!GI214</f>
        <v>#NAME?</v>
      </c>
    </row>
    <row r="198" spans="1:1" ht="13.2">
      <c r="A198" s="11" t="e">
        <f ca="1">'Data Entries - EquityNoteSAFE'!GI215</f>
        <v>#NAME?</v>
      </c>
    </row>
    <row r="199" spans="1:1" ht="13.2">
      <c r="A199" s="11" t="e">
        <f ca="1">'Data Entries - EquityNoteSAFE'!GI216</f>
        <v>#NAME?</v>
      </c>
    </row>
    <row r="200" spans="1:1" ht="13.2">
      <c r="A200" s="11" t="e">
        <f ca="1">'Data Entries - EquityNoteSAFE'!GI217</f>
        <v>#NAME?</v>
      </c>
    </row>
    <row r="201" spans="1:1" ht="13.2">
      <c r="A201" s="11" t="e">
        <f ca="1">'Data Entries - EquityNoteSAFE'!GI218</f>
        <v>#NAME?</v>
      </c>
    </row>
    <row r="202" spans="1:1" ht="13.2">
      <c r="A202" s="11" t="e">
        <f ca="1">'Data Entries - EquityNoteSAFE'!GI219</f>
        <v>#NAME?</v>
      </c>
    </row>
    <row r="203" spans="1:1" ht="13.2">
      <c r="A203" s="11" t="e">
        <f ca="1">'Data Entries - EquityNoteSAFE'!GI220</f>
        <v>#NAME?</v>
      </c>
    </row>
    <row r="204" spans="1:1" ht="13.2">
      <c r="A204" s="11" t="e">
        <f ca="1">'Data Entries - EquityNoteSAFE'!GI221</f>
        <v>#NAME?</v>
      </c>
    </row>
    <row r="205" spans="1:1" ht="13.2">
      <c r="A205" s="11" t="e">
        <f ca="1">'Data Entries - EquityNoteSAFE'!GI222</f>
        <v>#NAME?</v>
      </c>
    </row>
    <row r="206" spans="1:1" ht="13.2">
      <c r="A206" s="11" t="e">
        <f ca="1">'Data Entries - EquityNoteSAFE'!GI223</f>
        <v>#NAME?</v>
      </c>
    </row>
    <row r="207" spans="1:1" ht="13.2">
      <c r="A207" s="11" t="e">
        <f ca="1">'Data Entries - EquityNoteSAFE'!GI224</f>
        <v>#NAME?</v>
      </c>
    </row>
    <row r="208" spans="1:1" ht="13.2">
      <c r="A208" s="11" t="e">
        <f ca="1">'Data Entries - EquityNoteSAFE'!GI225</f>
        <v>#NAME?</v>
      </c>
    </row>
    <row r="209" spans="1:1" ht="13.2">
      <c r="A209" s="11" t="e">
        <f ca="1">'Data Entries - EquityNoteSAFE'!GI226</f>
        <v>#NAME?</v>
      </c>
    </row>
    <row r="210" spans="1:1" ht="13.2">
      <c r="A210" s="11" t="e">
        <f ca="1">'Data Entries - EquityNoteSAFE'!GI227</f>
        <v>#NAME?</v>
      </c>
    </row>
    <row r="211" spans="1:1" ht="13.2">
      <c r="A211" s="11" t="e">
        <f ca="1">'Data Entries - EquityNoteSAFE'!GI228</f>
        <v>#NAME?</v>
      </c>
    </row>
    <row r="212" spans="1:1" ht="13.2">
      <c r="A212" s="11" t="e">
        <f>#REF!</f>
        <v>#REF!</v>
      </c>
    </row>
    <row r="213" spans="1:1" ht="13.2">
      <c r="A213" s="11" t="e">
        <f ca="1">'Data Entries - EquityNoteSAFE'!GI229</f>
        <v>#NAME?</v>
      </c>
    </row>
    <row r="214" spans="1:1" ht="13.2">
      <c r="A214" s="11" t="e">
        <f ca="1">'Data Entries - EquityNoteSAFE'!GI230</f>
        <v>#NAME?</v>
      </c>
    </row>
    <row r="215" spans="1:1" ht="13.2">
      <c r="A215" s="11" t="e">
        <f ca="1">'Data Entries - EquityNoteSAFE'!GI231</f>
        <v>#NAME?</v>
      </c>
    </row>
    <row r="216" spans="1:1" ht="13.2">
      <c r="A216" s="11" t="e">
        <f ca="1">'Data Entries - EquityNoteSAFE'!GI232</f>
        <v>#NAME?</v>
      </c>
    </row>
    <row r="217" spans="1:1" ht="13.2">
      <c r="A217" s="11" t="e">
        <f ca="1">'Data Entries - EquityNoteSAFE'!GI233</f>
        <v>#NAME?</v>
      </c>
    </row>
    <row r="218" spans="1:1" ht="13.2">
      <c r="A218" s="11" t="e">
        <f ca="1">'Data Entries - EquityNoteSAFE'!GI234</f>
        <v>#NAME?</v>
      </c>
    </row>
    <row r="219" spans="1:1" ht="13.2">
      <c r="A219" s="11" t="e">
        <f ca="1">'Data Entries - EquityNoteSAFE'!GI235</f>
        <v>#NAME?</v>
      </c>
    </row>
    <row r="220" spans="1:1" ht="13.2">
      <c r="A220" s="11" t="e">
        <f ca="1">'Data Entries - EquityNoteSAFE'!GI236</f>
        <v>#NAME?</v>
      </c>
    </row>
    <row r="221" spans="1:1" ht="13.2">
      <c r="A221" s="11" t="e">
        <f ca="1">'Data Entries - EquityNoteSAFE'!GI237</f>
        <v>#NAME?</v>
      </c>
    </row>
    <row r="222" spans="1:1" ht="13.2">
      <c r="A222" s="11" t="e">
        <f ca="1">'Data Entries - EquityNoteSAFE'!GI238</f>
        <v>#NAME?</v>
      </c>
    </row>
    <row r="223" spans="1:1" ht="13.2">
      <c r="A223" s="11" t="e">
        <f ca="1">'Data Entries - EquityNoteSAFE'!GI239</f>
        <v>#NAME?</v>
      </c>
    </row>
    <row r="224" spans="1:1" ht="13.2">
      <c r="A224" s="11" t="e">
        <f ca="1">'Data Entries - EquityNoteSAFE'!GI240</f>
        <v>#NAME?</v>
      </c>
    </row>
    <row r="225" spans="1:1" ht="13.2">
      <c r="A225" s="11" t="e">
        <f ca="1">'Data Entries - EquityNoteSAFE'!GI241</f>
        <v>#NAME?</v>
      </c>
    </row>
    <row r="226" spans="1:1" ht="13.2">
      <c r="A226" s="11" t="e">
        <f ca="1">'Data Entries - EquityNoteSAFE'!GI242</f>
        <v>#NAME?</v>
      </c>
    </row>
    <row r="227" spans="1:1" ht="13.2">
      <c r="A227" s="11" t="e">
        <f ca="1">'Data Entries - EquityNoteSAFE'!GI243</f>
        <v>#NAME?</v>
      </c>
    </row>
    <row r="228" spans="1:1" ht="13.2">
      <c r="A228" s="11" t="e">
        <f ca="1">'Data Entries - EquityNoteSAFE'!GI244</f>
        <v>#NAME?</v>
      </c>
    </row>
    <row r="229" spans="1:1" ht="13.2">
      <c r="A229" s="11" t="e">
        <f ca="1">'Data Entries - EquityNoteSAFE'!GI245</f>
        <v>#NAME?</v>
      </c>
    </row>
    <row r="230" spans="1:1" ht="13.2">
      <c r="A230" s="11" t="e">
        <f ca="1">'Data Entries - EquityNoteSAFE'!GI246</f>
        <v>#NAME?</v>
      </c>
    </row>
    <row r="231" spans="1:1" ht="13.2">
      <c r="A231" s="11" t="e">
        <f ca="1">'Data Entries - EquityNoteSAFE'!GI247</f>
        <v>#NAME?</v>
      </c>
    </row>
    <row r="232" spans="1:1" ht="13.2">
      <c r="A232" s="11" t="e">
        <f ca="1">'Data Entries - EquityNoteSAFE'!GI248</f>
        <v>#NAME?</v>
      </c>
    </row>
    <row r="233" spans="1:1" ht="13.2">
      <c r="A233" s="11" t="e">
        <f ca="1">'Data Entries - EquityNoteSAFE'!GI249</f>
        <v>#NAME?</v>
      </c>
    </row>
    <row r="234" spans="1:1" ht="13.2">
      <c r="A234" s="11" t="e">
        <f ca="1">'Data Entries - EquityNoteSAFE'!GI250</f>
        <v>#NAME?</v>
      </c>
    </row>
    <row r="235" spans="1:1" ht="13.2">
      <c r="A235" s="11" t="e">
        <f ca="1">'Data Entries - EquityNoteSAFE'!GI251</f>
        <v>#NAME?</v>
      </c>
    </row>
    <row r="236" spans="1:1" ht="13.2">
      <c r="A236" s="11" t="e">
        <f ca="1">'Data Entries - EquityNoteSAFE'!GI252</f>
        <v>#NAME?</v>
      </c>
    </row>
    <row r="237" spans="1:1" ht="13.2">
      <c r="A237" s="11" t="e">
        <f ca="1">'Data Entries - EquityNoteSAFE'!GI253</f>
        <v>#NAME?</v>
      </c>
    </row>
    <row r="238" spans="1:1" ht="13.2">
      <c r="A238" s="11" t="e">
        <f ca="1">'Data Entries - EquityNoteSAFE'!GI254</f>
        <v>#NAME?</v>
      </c>
    </row>
    <row r="239" spans="1:1" ht="13.2">
      <c r="A239" s="11" t="e">
        <f ca="1">'Data Entries - EquityNoteSAFE'!GI255</f>
        <v>#NAME?</v>
      </c>
    </row>
    <row r="240" spans="1:1" ht="13.2">
      <c r="A240" s="11" t="e">
        <f ca="1">'Data Entries - EquityNoteSAFE'!GI256</f>
        <v>#NAME?</v>
      </c>
    </row>
    <row r="241" spans="1:1" ht="13.2">
      <c r="A241" s="11" t="e">
        <f ca="1">'Data Entries - EquityNoteSAFE'!GI257</f>
        <v>#NAME?</v>
      </c>
    </row>
    <row r="242" spans="1:1" ht="13.2">
      <c r="A242" s="11" t="e">
        <f ca="1">'Data Entries - EquityNoteSAFE'!GI258</f>
        <v>#NAME?</v>
      </c>
    </row>
    <row r="243" spans="1:1" ht="13.2">
      <c r="A243" s="11" t="e">
        <f ca="1">'Data Entries - EquityNoteSAFE'!GI259</f>
        <v>#NAME?</v>
      </c>
    </row>
    <row r="244" spans="1:1" ht="13.2">
      <c r="A244" s="11" t="e">
        <f ca="1">'Data Entries - EquityNoteSAFE'!GI260</f>
        <v>#NAME?</v>
      </c>
    </row>
    <row r="245" spans="1:1" ht="13.2">
      <c r="A245" s="11" t="e">
        <f ca="1">'Data Entries - EquityNoteSAFE'!GI261</f>
        <v>#NAME?</v>
      </c>
    </row>
    <row r="246" spans="1:1" ht="13.2">
      <c r="A246" s="11" t="e">
        <f ca="1">'Data Entries - EquityNoteSAFE'!GI262</f>
        <v>#NAME?</v>
      </c>
    </row>
    <row r="247" spans="1:1" ht="13.2">
      <c r="A247" s="11" t="e">
        <f ca="1">'Data Entries - EquityNoteSAFE'!GI263</f>
        <v>#NAME?</v>
      </c>
    </row>
    <row r="248" spans="1:1" ht="13.2">
      <c r="A248" s="11" t="e">
        <f ca="1">'Data Entries - EquityNoteSAFE'!GI264</f>
        <v>#NAME?</v>
      </c>
    </row>
    <row r="249" spans="1:1" ht="13.2">
      <c r="A249" s="11" t="e">
        <f ca="1">'Data Entries - EquityNoteSAFE'!GI265</f>
        <v>#NAME?</v>
      </c>
    </row>
    <row r="250" spans="1:1" ht="13.2">
      <c r="A250" s="11" t="e">
        <f ca="1">'Data Entries - EquityNoteSAFE'!GI266</f>
        <v>#NAME?</v>
      </c>
    </row>
    <row r="251" spans="1:1" ht="13.2">
      <c r="A251" s="11" t="e">
        <f ca="1">'Data Entries - EquityNoteSAFE'!GI267</f>
        <v>#NAME?</v>
      </c>
    </row>
    <row r="252" spans="1:1" ht="13.2">
      <c r="A252" s="11" t="e">
        <f ca="1">'Data Entries - EquityNoteSAFE'!GI268</f>
        <v>#NAME?</v>
      </c>
    </row>
    <row r="253" spans="1:1" ht="13.2">
      <c r="A253" s="11" t="e">
        <f ca="1">'Data Entries - EquityNoteSAFE'!GI269</f>
        <v>#NAME?</v>
      </c>
    </row>
    <row r="254" spans="1:1" ht="13.2">
      <c r="A254" s="11" t="e">
        <f ca="1">'Data Entries - EquityNoteSAFE'!GI270</f>
        <v>#NAME?</v>
      </c>
    </row>
    <row r="255" spans="1:1" ht="13.2">
      <c r="A255" s="11" t="e">
        <f ca="1">'Data Entries - EquityNoteSAFE'!GI271</f>
        <v>#NAME?</v>
      </c>
    </row>
    <row r="256" spans="1:1" ht="13.2">
      <c r="A256" s="11" t="e">
        <f ca="1">'Data Entries - EquityNoteSAFE'!GI272</f>
        <v>#NAME?</v>
      </c>
    </row>
    <row r="257" spans="1:1" ht="13.2">
      <c r="A257" s="11" t="e">
        <f ca="1">'Data Entries - EquityNoteSAFE'!GI273</f>
        <v>#NAME?</v>
      </c>
    </row>
    <row r="258" spans="1:1" ht="13.2">
      <c r="A258" s="11" t="e">
        <f ca="1">'Data Entries - EquityNoteSAFE'!GI274</f>
        <v>#NAME?</v>
      </c>
    </row>
    <row r="259" spans="1:1" ht="13.2">
      <c r="A259" s="11" t="e">
        <f ca="1">'Data Entries - EquityNoteSAFE'!GI275</f>
        <v>#NAME?</v>
      </c>
    </row>
    <row r="260" spans="1:1" ht="13.2">
      <c r="A260" s="11" t="e">
        <f ca="1">'Data Entries - EquityNoteSAFE'!GI276</f>
        <v>#NAME?</v>
      </c>
    </row>
    <row r="261" spans="1:1" ht="13.2">
      <c r="A261" s="11" t="e">
        <f ca="1">'Data Entries - EquityNoteSAFE'!GI277</f>
        <v>#NAME?</v>
      </c>
    </row>
    <row r="262" spans="1:1" ht="13.2">
      <c r="A262" s="11" t="e">
        <f ca="1">'Data Entries - EquityNoteSAFE'!GI278</f>
        <v>#NAME?</v>
      </c>
    </row>
    <row r="263" spans="1:1" ht="13.2">
      <c r="A263" s="11" t="e">
        <f ca="1">'Data Entries - EquityNoteSAFE'!GI279</f>
        <v>#NAME?</v>
      </c>
    </row>
    <row r="264" spans="1:1" ht="13.2">
      <c r="A264" s="11" t="e">
        <f ca="1">'Data Entries - EquityNoteSAFE'!GI280</f>
        <v>#NAME?</v>
      </c>
    </row>
    <row r="265" spans="1:1" ht="13.2">
      <c r="A265" s="11" t="e">
        <f ca="1">'Data Entries - EquityNoteSAFE'!GI281</f>
        <v>#NAME?</v>
      </c>
    </row>
    <row r="266" spans="1:1" ht="13.2">
      <c r="A266" s="11" t="e">
        <f ca="1">'Data Entries - EquityNoteSAFE'!GI282</f>
        <v>#NAME?</v>
      </c>
    </row>
    <row r="267" spans="1:1" ht="13.2">
      <c r="A267" s="11" t="e">
        <f ca="1">'Data Entries - EquityNoteSAFE'!GI283</f>
        <v>#NAME?</v>
      </c>
    </row>
    <row r="268" spans="1:1" ht="13.2">
      <c r="A268" s="11" t="e">
        <f ca="1">'Data Entries - EquityNoteSAFE'!GI284</f>
        <v>#NAME?</v>
      </c>
    </row>
    <row r="269" spans="1:1" ht="13.2">
      <c r="A269" s="11" t="e">
        <f ca="1">'Data Entries - EquityNoteSAFE'!GI285</f>
        <v>#NAME?</v>
      </c>
    </row>
    <row r="270" spans="1:1" ht="13.2">
      <c r="A270" s="11" t="e">
        <f ca="1">'Data Entries - EquityNoteSAFE'!GI286</f>
        <v>#NAME?</v>
      </c>
    </row>
    <row r="271" spans="1:1" ht="13.2">
      <c r="A271" s="11" t="e">
        <f ca="1">'Data Entries - EquityNoteSAFE'!GI287</f>
        <v>#NAME?</v>
      </c>
    </row>
    <row r="272" spans="1:1" ht="13.2">
      <c r="A272" s="11" t="e">
        <f ca="1">'Data Entries - EquityNoteSAFE'!GI288</f>
        <v>#NAME?</v>
      </c>
    </row>
    <row r="273" spans="1:1" ht="13.2">
      <c r="A273" s="11" t="e">
        <f ca="1">'Data Entries - EquityNoteSAFE'!GI289</f>
        <v>#NAME?</v>
      </c>
    </row>
    <row r="274" spans="1:1" ht="13.2">
      <c r="A274" s="11" t="e">
        <f t="shared" ref="A274:A418" si="0">#REF!</f>
        <v>#REF!</v>
      </c>
    </row>
    <row r="275" spans="1:1" ht="13.2">
      <c r="A275" s="11" t="e">
        <f t="shared" si="0"/>
        <v>#REF!</v>
      </c>
    </row>
    <row r="276" spans="1:1" ht="13.2">
      <c r="A276" s="11" t="e">
        <f t="shared" si="0"/>
        <v>#REF!</v>
      </c>
    </row>
    <row r="277" spans="1:1" ht="13.2">
      <c r="A277" s="11" t="e">
        <f t="shared" si="0"/>
        <v>#REF!</v>
      </c>
    </row>
    <row r="278" spans="1:1" ht="13.2">
      <c r="A278" s="11" t="e">
        <f t="shared" si="0"/>
        <v>#REF!</v>
      </c>
    </row>
    <row r="279" spans="1:1" ht="13.2">
      <c r="A279" s="11" t="e">
        <f t="shared" si="0"/>
        <v>#REF!</v>
      </c>
    </row>
    <row r="280" spans="1:1" ht="13.2">
      <c r="A280" s="11" t="e">
        <f t="shared" si="0"/>
        <v>#REF!</v>
      </c>
    </row>
    <row r="281" spans="1:1" ht="13.2">
      <c r="A281" s="11" t="e">
        <f t="shared" si="0"/>
        <v>#REF!</v>
      </c>
    </row>
    <row r="282" spans="1:1" ht="13.2">
      <c r="A282" s="11" t="e">
        <f t="shared" si="0"/>
        <v>#REF!</v>
      </c>
    </row>
    <row r="283" spans="1:1" ht="13.2">
      <c r="A283" s="11" t="e">
        <f t="shared" si="0"/>
        <v>#REF!</v>
      </c>
    </row>
    <row r="284" spans="1:1" ht="13.2">
      <c r="A284" s="11" t="e">
        <f t="shared" si="0"/>
        <v>#REF!</v>
      </c>
    </row>
    <row r="285" spans="1:1" ht="13.2">
      <c r="A285" s="11" t="e">
        <f t="shared" si="0"/>
        <v>#REF!</v>
      </c>
    </row>
    <row r="286" spans="1:1" ht="13.2">
      <c r="A286" s="11" t="e">
        <f t="shared" si="0"/>
        <v>#REF!</v>
      </c>
    </row>
    <row r="287" spans="1:1" ht="13.2">
      <c r="A287" s="11" t="e">
        <f t="shared" si="0"/>
        <v>#REF!</v>
      </c>
    </row>
    <row r="288" spans="1:1" ht="13.2">
      <c r="A288" s="11" t="e">
        <f t="shared" si="0"/>
        <v>#REF!</v>
      </c>
    </row>
    <row r="289" spans="1:1" ht="13.2">
      <c r="A289" s="11" t="e">
        <f t="shared" si="0"/>
        <v>#REF!</v>
      </c>
    </row>
    <row r="290" spans="1:1" ht="13.2">
      <c r="A290" s="11" t="e">
        <f t="shared" si="0"/>
        <v>#REF!</v>
      </c>
    </row>
    <row r="291" spans="1:1" ht="13.2">
      <c r="A291" s="11" t="e">
        <f t="shared" si="0"/>
        <v>#REF!</v>
      </c>
    </row>
    <row r="292" spans="1:1" ht="13.2">
      <c r="A292" s="11" t="e">
        <f t="shared" si="0"/>
        <v>#REF!</v>
      </c>
    </row>
    <row r="293" spans="1:1" ht="13.2">
      <c r="A293" s="11" t="e">
        <f t="shared" si="0"/>
        <v>#REF!</v>
      </c>
    </row>
    <row r="294" spans="1:1" ht="13.2">
      <c r="A294" s="11" t="e">
        <f t="shared" si="0"/>
        <v>#REF!</v>
      </c>
    </row>
    <row r="295" spans="1:1" ht="13.2">
      <c r="A295" s="11" t="e">
        <f t="shared" si="0"/>
        <v>#REF!</v>
      </c>
    </row>
    <row r="296" spans="1:1" ht="13.2">
      <c r="A296" s="11" t="e">
        <f t="shared" si="0"/>
        <v>#REF!</v>
      </c>
    </row>
    <row r="297" spans="1:1" ht="13.2">
      <c r="A297" s="11" t="e">
        <f t="shared" si="0"/>
        <v>#REF!</v>
      </c>
    </row>
    <row r="298" spans="1:1" ht="13.2">
      <c r="A298" s="11" t="e">
        <f t="shared" si="0"/>
        <v>#REF!</v>
      </c>
    </row>
    <row r="299" spans="1:1" ht="13.2">
      <c r="A299" s="11" t="e">
        <f t="shared" si="0"/>
        <v>#REF!</v>
      </c>
    </row>
    <row r="300" spans="1:1" ht="13.2">
      <c r="A300" s="11" t="e">
        <f t="shared" si="0"/>
        <v>#REF!</v>
      </c>
    </row>
    <row r="301" spans="1:1" ht="13.2">
      <c r="A301" s="11" t="e">
        <f t="shared" si="0"/>
        <v>#REF!</v>
      </c>
    </row>
    <row r="302" spans="1:1" ht="13.2">
      <c r="A302" s="11" t="e">
        <f t="shared" si="0"/>
        <v>#REF!</v>
      </c>
    </row>
    <row r="303" spans="1:1" ht="13.2">
      <c r="A303" s="11" t="e">
        <f t="shared" si="0"/>
        <v>#REF!</v>
      </c>
    </row>
    <row r="304" spans="1:1" ht="13.2">
      <c r="A304" s="11" t="e">
        <f t="shared" si="0"/>
        <v>#REF!</v>
      </c>
    </row>
    <row r="305" spans="1:1" ht="13.2">
      <c r="A305" s="11" t="e">
        <f t="shared" si="0"/>
        <v>#REF!</v>
      </c>
    </row>
    <row r="306" spans="1:1" ht="13.2">
      <c r="A306" s="11" t="e">
        <f t="shared" si="0"/>
        <v>#REF!</v>
      </c>
    </row>
    <row r="307" spans="1:1" ht="13.2">
      <c r="A307" s="11" t="e">
        <f t="shared" si="0"/>
        <v>#REF!</v>
      </c>
    </row>
    <row r="308" spans="1:1" ht="13.2">
      <c r="A308" s="11" t="e">
        <f t="shared" si="0"/>
        <v>#REF!</v>
      </c>
    </row>
    <row r="309" spans="1:1" ht="13.2">
      <c r="A309" s="11" t="e">
        <f t="shared" si="0"/>
        <v>#REF!</v>
      </c>
    </row>
    <row r="310" spans="1:1" ht="13.2">
      <c r="A310" s="11" t="e">
        <f t="shared" si="0"/>
        <v>#REF!</v>
      </c>
    </row>
    <row r="311" spans="1:1" ht="13.2">
      <c r="A311" s="11" t="e">
        <f t="shared" si="0"/>
        <v>#REF!</v>
      </c>
    </row>
    <row r="312" spans="1:1" ht="13.2">
      <c r="A312" s="11" t="e">
        <f t="shared" si="0"/>
        <v>#REF!</v>
      </c>
    </row>
    <row r="313" spans="1:1" ht="13.2">
      <c r="A313" s="11" t="e">
        <f t="shared" si="0"/>
        <v>#REF!</v>
      </c>
    </row>
    <row r="314" spans="1:1" ht="13.2">
      <c r="A314" s="11" t="e">
        <f t="shared" si="0"/>
        <v>#REF!</v>
      </c>
    </row>
    <row r="315" spans="1:1" ht="13.2">
      <c r="A315" s="11" t="e">
        <f t="shared" si="0"/>
        <v>#REF!</v>
      </c>
    </row>
    <row r="316" spans="1:1" ht="13.2">
      <c r="A316" s="11" t="e">
        <f t="shared" si="0"/>
        <v>#REF!</v>
      </c>
    </row>
    <row r="317" spans="1:1" ht="13.2">
      <c r="A317" s="11" t="e">
        <f t="shared" si="0"/>
        <v>#REF!</v>
      </c>
    </row>
    <row r="318" spans="1:1" ht="13.2">
      <c r="A318" s="11" t="e">
        <f t="shared" si="0"/>
        <v>#REF!</v>
      </c>
    </row>
    <row r="319" spans="1:1" ht="13.2">
      <c r="A319" s="11" t="e">
        <f t="shared" si="0"/>
        <v>#REF!</v>
      </c>
    </row>
    <row r="320" spans="1:1" ht="13.2">
      <c r="A320" s="11" t="e">
        <f t="shared" si="0"/>
        <v>#REF!</v>
      </c>
    </row>
    <row r="321" spans="1:1" ht="13.2">
      <c r="A321" s="11" t="e">
        <f t="shared" si="0"/>
        <v>#REF!</v>
      </c>
    </row>
    <row r="322" spans="1:1" ht="13.2">
      <c r="A322" s="11" t="e">
        <f t="shared" si="0"/>
        <v>#REF!</v>
      </c>
    </row>
    <row r="323" spans="1:1" ht="13.2">
      <c r="A323" s="11" t="e">
        <f t="shared" si="0"/>
        <v>#REF!</v>
      </c>
    </row>
    <row r="324" spans="1:1" ht="13.2">
      <c r="A324" s="11" t="e">
        <f t="shared" si="0"/>
        <v>#REF!</v>
      </c>
    </row>
    <row r="325" spans="1:1" ht="13.2">
      <c r="A325" s="11" t="e">
        <f t="shared" si="0"/>
        <v>#REF!</v>
      </c>
    </row>
    <row r="326" spans="1:1" ht="13.2">
      <c r="A326" s="11" t="e">
        <f t="shared" si="0"/>
        <v>#REF!</v>
      </c>
    </row>
    <row r="327" spans="1:1" ht="13.2">
      <c r="A327" s="11" t="e">
        <f t="shared" si="0"/>
        <v>#REF!</v>
      </c>
    </row>
    <row r="328" spans="1:1" ht="13.2">
      <c r="A328" s="11" t="e">
        <f t="shared" si="0"/>
        <v>#REF!</v>
      </c>
    </row>
    <row r="329" spans="1:1" ht="13.2">
      <c r="A329" s="11" t="e">
        <f t="shared" si="0"/>
        <v>#REF!</v>
      </c>
    </row>
    <row r="330" spans="1:1" ht="13.2">
      <c r="A330" s="11" t="e">
        <f t="shared" si="0"/>
        <v>#REF!</v>
      </c>
    </row>
    <row r="331" spans="1:1" ht="13.2">
      <c r="A331" s="11" t="e">
        <f t="shared" si="0"/>
        <v>#REF!</v>
      </c>
    </row>
    <row r="332" spans="1:1" ht="13.2">
      <c r="A332" s="11" t="e">
        <f t="shared" si="0"/>
        <v>#REF!</v>
      </c>
    </row>
    <row r="333" spans="1:1" ht="13.2">
      <c r="A333" s="11" t="e">
        <f t="shared" si="0"/>
        <v>#REF!</v>
      </c>
    </row>
    <row r="334" spans="1:1" ht="13.2">
      <c r="A334" s="11" t="e">
        <f t="shared" si="0"/>
        <v>#REF!</v>
      </c>
    </row>
    <row r="335" spans="1:1" ht="13.2">
      <c r="A335" s="11" t="e">
        <f t="shared" si="0"/>
        <v>#REF!</v>
      </c>
    </row>
    <row r="336" spans="1:1" ht="13.2">
      <c r="A336" s="11" t="e">
        <f t="shared" si="0"/>
        <v>#REF!</v>
      </c>
    </row>
    <row r="337" spans="1:1" ht="13.2">
      <c r="A337" s="11" t="e">
        <f t="shared" si="0"/>
        <v>#REF!</v>
      </c>
    </row>
    <row r="338" spans="1:1" ht="13.2">
      <c r="A338" s="11" t="e">
        <f t="shared" si="0"/>
        <v>#REF!</v>
      </c>
    </row>
    <row r="339" spans="1:1" ht="13.2">
      <c r="A339" s="11" t="e">
        <f t="shared" si="0"/>
        <v>#REF!</v>
      </c>
    </row>
    <row r="340" spans="1:1" ht="13.2">
      <c r="A340" s="11" t="e">
        <f t="shared" si="0"/>
        <v>#REF!</v>
      </c>
    </row>
    <row r="341" spans="1:1" ht="13.2">
      <c r="A341" s="11" t="e">
        <f t="shared" si="0"/>
        <v>#REF!</v>
      </c>
    </row>
    <row r="342" spans="1:1" ht="13.2">
      <c r="A342" s="11" t="e">
        <f t="shared" si="0"/>
        <v>#REF!</v>
      </c>
    </row>
    <row r="343" spans="1:1" ht="13.2">
      <c r="A343" s="11" t="e">
        <f t="shared" si="0"/>
        <v>#REF!</v>
      </c>
    </row>
    <row r="344" spans="1:1" ht="13.2">
      <c r="A344" s="11" t="e">
        <f t="shared" si="0"/>
        <v>#REF!</v>
      </c>
    </row>
    <row r="345" spans="1:1" ht="13.2">
      <c r="A345" s="11" t="e">
        <f t="shared" si="0"/>
        <v>#REF!</v>
      </c>
    </row>
    <row r="346" spans="1:1" ht="13.2">
      <c r="A346" s="11" t="e">
        <f t="shared" si="0"/>
        <v>#REF!</v>
      </c>
    </row>
    <row r="347" spans="1:1" ht="13.2">
      <c r="A347" s="11" t="e">
        <f t="shared" si="0"/>
        <v>#REF!</v>
      </c>
    </row>
    <row r="348" spans="1:1" ht="13.2">
      <c r="A348" s="11" t="e">
        <f t="shared" si="0"/>
        <v>#REF!</v>
      </c>
    </row>
    <row r="349" spans="1:1" ht="13.2">
      <c r="A349" s="11" t="e">
        <f t="shared" si="0"/>
        <v>#REF!</v>
      </c>
    </row>
    <row r="350" spans="1:1" ht="13.2">
      <c r="A350" s="11" t="e">
        <f t="shared" si="0"/>
        <v>#REF!</v>
      </c>
    </row>
    <row r="351" spans="1:1" ht="13.2">
      <c r="A351" s="11" t="e">
        <f t="shared" si="0"/>
        <v>#REF!</v>
      </c>
    </row>
    <row r="352" spans="1:1" ht="13.2">
      <c r="A352" s="11" t="e">
        <f t="shared" si="0"/>
        <v>#REF!</v>
      </c>
    </row>
    <row r="353" spans="1:1" ht="13.2">
      <c r="A353" s="11" t="e">
        <f t="shared" si="0"/>
        <v>#REF!</v>
      </c>
    </row>
    <row r="354" spans="1:1" ht="13.2">
      <c r="A354" s="11" t="e">
        <f t="shared" si="0"/>
        <v>#REF!</v>
      </c>
    </row>
    <row r="355" spans="1:1" ht="13.2">
      <c r="A355" s="11" t="e">
        <f t="shared" si="0"/>
        <v>#REF!</v>
      </c>
    </row>
    <row r="356" spans="1:1" ht="13.2">
      <c r="A356" s="11" t="e">
        <f t="shared" si="0"/>
        <v>#REF!</v>
      </c>
    </row>
    <row r="357" spans="1:1" ht="13.2">
      <c r="A357" s="11" t="e">
        <f t="shared" si="0"/>
        <v>#REF!</v>
      </c>
    </row>
    <row r="358" spans="1:1" ht="13.2">
      <c r="A358" s="11" t="e">
        <f t="shared" si="0"/>
        <v>#REF!</v>
      </c>
    </row>
    <row r="359" spans="1:1" ht="13.2">
      <c r="A359" s="11" t="e">
        <f t="shared" si="0"/>
        <v>#REF!</v>
      </c>
    </row>
    <row r="360" spans="1:1" ht="13.2">
      <c r="A360" s="11" t="e">
        <f t="shared" si="0"/>
        <v>#REF!</v>
      </c>
    </row>
    <row r="361" spans="1:1" ht="13.2">
      <c r="A361" s="11" t="e">
        <f t="shared" si="0"/>
        <v>#REF!</v>
      </c>
    </row>
    <row r="362" spans="1:1" ht="13.2">
      <c r="A362" s="11" t="e">
        <f t="shared" si="0"/>
        <v>#REF!</v>
      </c>
    </row>
    <row r="363" spans="1:1" ht="13.2">
      <c r="A363" s="11" t="e">
        <f t="shared" si="0"/>
        <v>#REF!</v>
      </c>
    </row>
    <row r="364" spans="1:1" ht="13.2">
      <c r="A364" s="11" t="e">
        <f t="shared" si="0"/>
        <v>#REF!</v>
      </c>
    </row>
    <row r="365" spans="1:1" ht="13.2">
      <c r="A365" s="11" t="e">
        <f t="shared" si="0"/>
        <v>#REF!</v>
      </c>
    </row>
    <row r="366" spans="1:1" ht="13.2">
      <c r="A366" s="11" t="e">
        <f t="shared" si="0"/>
        <v>#REF!</v>
      </c>
    </row>
    <row r="367" spans="1:1" ht="13.2">
      <c r="A367" s="11" t="e">
        <f t="shared" si="0"/>
        <v>#REF!</v>
      </c>
    </row>
    <row r="368" spans="1:1" ht="13.2">
      <c r="A368" s="11" t="e">
        <f t="shared" si="0"/>
        <v>#REF!</v>
      </c>
    </row>
    <row r="369" spans="1:1" ht="13.2">
      <c r="A369" s="11" t="e">
        <f t="shared" si="0"/>
        <v>#REF!</v>
      </c>
    </row>
    <row r="370" spans="1:1" ht="13.2">
      <c r="A370" s="11" t="e">
        <f t="shared" si="0"/>
        <v>#REF!</v>
      </c>
    </row>
    <row r="371" spans="1:1" ht="13.2">
      <c r="A371" s="11" t="e">
        <f t="shared" si="0"/>
        <v>#REF!</v>
      </c>
    </row>
    <row r="372" spans="1:1" ht="13.2">
      <c r="A372" s="11" t="e">
        <f t="shared" si="0"/>
        <v>#REF!</v>
      </c>
    </row>
    <row r="373" spans="1:1" ht="13.2">
      <c r="A373" s="11" t="e">
        <f t="shared" si="0"/>
        <v>#REF!</v>
      </c>
    </row>
    <row r="374" spans="1:1" ht="13.2">
      <c r="A374" s="11" t="e">
        <f t="shared" si="0"/>
        <v>#REF!</v>
      </c>
    </row>
    <row r="375" spans="1:1" ht="13.2">
      <c r="A375" s="11" t="e">
        <f t="shared" si="0"/>
        <v>#REF!</v>
      </c>
    </row>
    <row r="376" spans="1:1" ht="13.2">
      <c r="A376" s="11" t="e">
        <f t="shared" si="0"/>
        <v>#REF!</v>
      </c>
    </row>
    <row r="377" spans="1:1" ht="13.2">
      <c r="A377" s="11" t="e">
        <f t="shared" si="0"/>
        <v>#REF!</v>
      </c>
    </row>
    <row r="378" spans="1:1" ht="13.2">
      <c r="A378" s="11" t="e">
        <f t="shared" si="0"/>
        <v>#REF!</v>
      </c>
    </row>
    <row r="379" spans="1:1" ht="13.2">
      <c r="A379" s="11" t="e">
        <f t="shared" si="0"/>
        <v>#REF!</v>
      </c>
    </row>
    <row r="380" spans="1:1" ht="13.2">
      <c r="A380" s="11" t="e">
        <f t="shared" si="0"/>
        <v>#REF!</v>
      </c>
    </row>
    <row r="381" spans="1:1" ht="13.2">
      <c r="A381" s="11" t="e">
        <f t="shared" si="0"/>
        <v>#REF!</v>
      </c>
    </row>
    <row r="382" spans="1:1" ht="13.2">
      <c r="A382" s="11" t="e">
        <f t="shared" si="0"/>
        <v>#REF!</v>
      </c>
    </row>
    <row r="383" spans="1:1" ht="13.2">
      <c r="A383" s="11" t="e">
        <f t="shared" si="0"/>
        <v>#REF!</v>
      </c>
    </row>
    <row r="384" spans="1:1" ht="13.2">
      <c r="A384" s="11" t="e">
        <f t="shared" si="0"/>
        <v>#REF!</v>
      </c>
    </row>
    <row r="385" spans="1:1" ht="13.2">
      <c r="A385" s="11" t="e">
        <f t="shared" si="0"/>
        <v>#REF!</v>
      </c>
    </row>
    <row r="386" spans="1:1" ht="13.2">
      <c r="A386" s="11" t="e">
        <f t="shared" si="0"/>
        <v>#REF!</v>
      </c>
    </row>
    <row r="387" spans="1:1" ht="13.2">
      <c r="A387" s="11" t="e">
        <f t="shared" si="0"/>
        <v>#REF!</v>
      </c>
    </row>
    <row r="388" spans="1:1" ht="13.2">
      <c r="A388" s="11" t="e">
        <f t="shared" si="0"/>
        <v>#REF!</v>
      </c>
    </row>
    <row r="389" spans="1:1" ht="13.2">
      <c r="A389" s="11" t="e">
        <f t="shared" si="0"/>
        <v>#REF!</v>
      </c>
    </row>
    <row r="390" spans="1:1" ht="13.2">
      <c r="A390" s="11" t="e">
        <f t="shared" si="0"/>
        <v>#REF!</v>
      </c>
    </row>
    <row r="391" spans="1:1" ht="13.2">
      <c r="A391" s="11" t="e">
        <f t="shared" si="0"/>
        <v>#REF!</v>
      </c>
    </row>
    <row r="392" spans="1:1" ht="13.2">
      <c r="A392" s="11" t="e">
        <f t="shared" si="0"/>
        <v>#REF!</v>
      </c>
    </row>
    <row r="393" spans="1:1" ht="13.2">
      <c r="A393" s="11" t="e">
        <f t="shared" si="0"/>
        <v>#REF!</v>
      </c>
    </row>
    <row r="394" spans="1:1" ht="13.2">
      <c r="A394" s="11" t="e">
        <f t="shared" si="0"/>
        <v>#REF!</v>
      </c>
    </row>
    <row r="395" spans="1:1" ht="13.2">
      <c r="A395" s="11" t="e">
        <f t="shared" si="0"/>
        <v>#REF!</v>
      </c>
    </row>
    <row r="396" spans="1:1" ht="13.2">
      <c r="A396" s="11" t="e">
        <f t="shared" si="0"/>
        <v>#REF!</v>
      </c>
    </row>
    <row r="397" spans="1:1" ht="13.2">
      <c r="A397" s="11" t="e">
        <f t="shared" si="0"/>
        <v>#REF!</v>
      </c>
    </row>
    <row r="398" spans="1:1" ht="13.2">
      <c r="A398" s="11" t="e">
        <f t="shared" si="0"/>
        <v>#REF!</v>
      </c>
    </row>
    <row r="399" spans="1:1" ht="13.2">
      <c r="A399" s="11" t="e">
        <f t="shared" si="0"/>
        <v>#REF!</v>
      </c>
    </row>
    <row r="400" spans="1:1" ht="13.2">
      <c r="A400" s="11" t="e">
        <f t="shared" si="0"/>
        <v>#REF!</v>
      </c>
    </row>
    <row r="401" spans="1:1" ht="13.2">
      <c r="A401" s="11" t="e">
        <f t="shared" si="0"/>
        <v>#REF!</v>
      </c>
    </row>
    <row r="402" spans="1:1" ht="13.2">
      <c r="A402" s="11" t="e">
        <f t="shared" si="0"/>
        <v>#REF!</v>
      </c>
    </row>
    <row r="403" spans="1:1" ht="13.2">
      <c r="A403" s="11" t="e">
        <f t="shared" si="0"/>
        <v>#REF!</v>
      </c>
    </row>
    <row r="404" spans="1:1" ht="13.2">
      <c r="A404" s="11" t="e">
        <f t="shared" si="0"/>
        <v>#REF!</v>
      </c>
    </row>
    <row r="405" spans="1:1" ht="13.2">
      <c r="A405" s="11" t="e">
        <f t="shared" si="0"/>
        <v>#REF!</v>
      </c>
    </row>
    <row r="406" spans="1:1" ht="13.2">
      <c r="A406" s="11" t="e">
        <f t="shared" si="0"/>
        <v>#REF!</v>
      </c>
    </row>
    <row r="407" spans="1:1" ht="13.2">
      <c r="A407" s="11" t="e">
        <f t="shared" si="0"/>
        <v>#REF!</v>
      </c>
    </row>
    <row r="408" spans="1:1" ht="13.2">
      <c r="A408" s="11" t="e">
        <f t="shared" si="0"/>
        <v>#REF!</v>
      </c>
    </row>
    <row r="409" spans="1:1" ht="13.2">
      <c r="A409" s="11" t="e">
        <f t="shared" si="0"/>
        <v>#REF!</v>
      </c>
    </row>
    <row r="410" spans="1:1" ht="13.2">
      <c r="A410" s="11" t="e">
        <f t="shared" si="0"/>
        <v>#REF!</v>
      </c>
    </row>
    <row r="411" spans="1:1" ht="13.2">
      <c r="A411" s="11" t="e">
        <f t="shared" si="0"/>
        <v>#REF!</v>
      </c>
    </row>
    <row r="412" spans="1:1" ht="13.2">
      <c r="A412" s="11" t="e">
        <f t="shared" si="0"/>
        <v>#REF!</v>
      </c>
    </row>
    <row r="413" spans="1:1" ht="13.2">
      <c r="A413" s="11" t="e">
        <f t="shared" si="0"/>
        <v>#REF!</v>
      </c>
    </row>
    <row r="414" spans="1:1" ht="13.2">
      <c r="A414" s="11" t="e">
        <f t="shared" si="0"/>
        <v>#REF!</v>
      </c>
    </row>
    <row r="415" spans="1:1" ht="13.2">
      <c r="A415" s="11" t="e">
        <f t="shared" si="0"/>
        <v>#REF!</v>
      </c>
    </row>
    <row r="416" spans="1:1" ht="13.2">
      <c r="A416" s="11" t="e">
        <f t="shared" si="0"/>
        <v>#REF!</v>
      </c>
    </row>
    <row r="417" spans="1:1" ht="13.2">
      <c r="A417" s="11" t="e">
        <f t="shared" si="0"/>
        <v>#REF!</v>
      </c>
    </row>
    <row r="418" spans="1:1" ht="13.2">
      <c r="A418" s="11" t="e">
        <f t="shared" si="0"/>
        <v>#REF!</v>
      </c>
    </row>
    <row r="419" spans="1:1" ht="13.2">
      <c r="A419" s="11">
        <f>'Data Entries - EquityNoteSAFE'!GI290</f>
        <v>0</v>
      </c>
    </row>
    <row r="420" spans="1:1" ht="13.2">
      <c r="A420" s="11">
        <f>'Data Entries - EquityNoteSAFE'!GI291</f>
        <v>0</v>
      </c>
    </row>
    <row r="421" spans="1:1" ht="13.2">
      <c r="A421" s="11">
        <f>'Data Entries - EquityNoteSAFE'!GI292</f>
        <v>0</v>
      </c>
    </row>
    <row r="422" spans="1:1" ht="13.2">
      <c r="A422" s="11">
        <f>'Data Entries - EquityNoteSAFE'!GI293</f>
        <v>0</v>
      </c>
    </row>
    <row r="423" spans="1:1" ht="13.2">
      <c r="A423" s="11">
        <f>'Data Entries - EquityNoteSAFE'!GI294</f>
        <v>0</v>
      </c>
    </row>
    <row r="424" spans="1:1" ht="13.2">
      <c r="A424" s="11">
        <f>'Data Entries - EquityNoteSAFE'!GI295</f>
        <v>0</v>
      </c>
    </row>
    <row r="425" spans="1:1" ht="13.2">
      <c r="A425" s="11">
        <f>'Data Entries - EquityNoteSAFE'!GI296</f>
        <v>0</v>
      </c>
    </row>
    <row r="426" spans="1:1" ht="13.2">
      <c r="A426" s="11">
        <f>'Data Entries - EquityNoteSAFE'!GI297</f>
        <v>0</v>
      </c>
    </row>
    <row r="427" spans="1:1" ht="13.2">
      <c r="A427" s="11">
        <f>'Data Entries - EquityNoteSAFE'!GI298</f>
        <v>0</v>
      </c>
    </row>
    <row r="428" spans="1:1" ht="13.2">
      <c r="A428" s="11">
        <f>'Data Entries - EquityNoteSAFE'!GI299</f>
        <v>0</v>
      </c>
    </row>
    <row r="429" spans="1:1" ht="13.2">
      <c r="A429" s="11">
        <f>'Data Entries - EquityNoteSAFE'!GI300</f>
        <v>0</v>
      </c>
    </row>
    <row r="430" spans="1:1" ht="13.2">
      <c r="A430" s="11">
        <f>'Data Entries - EquityNoteSAFE'!GI301</f>
        <v>0</v>
      </c>
    </row>
    <row r="431" spans="1:1" ht="13.2">
      <c r="A431" s="11">
        <f>'Data Entries - EquityNoteSAFE'!GI302</f>
        <v>0</v>
      </c>
    </row>
    <row r="432" spans="1:1" ht="13.2">
      <c r="A432" s="11">
        <f>'Data Entries - EquityNoteSAFE'!GI303</f>
        <v>0</v>
      </c>
    </row>
    <row r="433" spans="1:1" ht="13.2">
      <c r="A433" s="11">
        <f>'Data Entries - EquityNoteSAFE'!GI304</f>
        <v>0</v>
      </c>
    </row>
    <row r="434" spans="1:1" ht="13.2">
      <c r="A434" s="11">
        <f>'Data Entries - EquityNoteSAFE'!GI305</f>
        <v>0</v>
      </c>
    </row>
    <row r="435" spans="1:1" ht="13.2">
      <c r="A435" s="11">
        <f>'Data Entries - EquityNoteSAFE'!GI306</f>
        <v>0</v>
      </c>
    </row>
    <row r="436" spans="1:1" ht="13.2">
      <c r="A436" s="11">
        <f>'Data Entries - EquityNoteSAFE'!GI307</f>
        <v>0</v>
      </c>
    </row>
    <row r="437" spans="1:1" ht="13.2">
      <c r="A437" s="11">
        <f>'Data Entries - EquityNoteSAFE'!GI308</f>
        <v>0</v>
      </c>
    </row>
    <row r="438" spans="1:1" ht="13.2">
      <c r="A438" s="11">
        <f>'Data Entries - EquityNoteSAFE'!GI309</f>
        <v>0</v>
      </c>
    </row>
    <row r="439" spans="1:1" ht="13.2">
      <c r="A439" s="11">
        <f>'Data Entries - EquityNoteSAFE'!GI310</f>
        <v>0</v>
      </c>
    </row>
    <row r="440" spans="1:1" ht="13.2">
      <c r="A440" s="11">
        <f>'Data Entries - EquityNoteSAFE'!GI311</f>
        <v>0</v>
      </c>
    </row>
    <row r="441" spans="1:1" ht="13.2">
      <c r="A441" s="11">
        <f>'Data Entries - EquityNoteSAFE'!GI312</f>
        <v>0</v>
      </c>
    </row>
    <row r="442" spans="1:1" ht="13.2">
      <c r="A442" s="11">
        <f>'Data Entries - EquityNoteSAFE'!GI313</f>
        <v>0</v>
      </c>
    </row>
    <row r="443" spans="1:1" ht="13.2">
      <c r="A443" s="11">
        <f>'Data Entries - EquityNoteSAFE'!GI314</f>
        <v>0</v>
      </c>
    </row>
    <row r="444" spans="1:1" ht="13.2">
      <c r="A444" s="11">
        <f>'Data Entries - EquityNoteSAFE'!GI315</f>
        <v>0</v>
      </c>
    </row>
    <row r="445" spans="1:1" ht="13.2">
      <c r="A445" s="11">
        <f>'Data Entries - EquityNoteSAFE'!GI316</f>
        <v>0</v>
      </c>
    </row>
    <row r="446" spans="1:1" ht="13.2">
      <c r="A446" s="11">
        <f>'Data Entries - EquityNoteSAFE'!GI317</f>
        <v>0</v>
      </c>
    </row>
    <row r="447" spans="1:1" ht="13.2">
      <c r="A447" s="11">
        <f>'Data Entries - EquityNoteSAFE'!GI318</f>
        <v>0</v>
      </c>
    </row>
    <row r="448" spans="1:1" ht="13.2">
      <c r="A448" s="11">
        <f>'Data Entries - EquityNoteSAFE'!GI319</f>
        <v>0</v>
      </c>
    </row>
    <row r="449" spans="1:1" ht="13.2">
      <c r="A449" s="11">
        <f>'Data Entries - EquityNoteSAFE'!GI320</f>
        <v>0</v>
      </c>
    </row>
    <row r="450" spans="1:1" ht="13.2">
      <c r="A450" s="11">
        <f>'Data Entries - EquityNoteSAFE'!GI321</f>
        <v>0</v>
      </c>
    </row>
    <row r="451" spans="1:1" ht="13.2">
      <c r="A451" s="11">
        <f>'Data Entries - EquityNoteSAFE'!GI322</f>
        <v>0</v>
      </c>
    </row>
    <row r="452" spans="1:1" ht="13.2">
      <c r="A452" s="11">
        <f>'Data Entries - EquityNoteSAFE'!GI323</f>
        <v>0</v>
      </c>
    </row>
    <row r="453" spans="1:1" ht="13.2">
      <c r="A453" s="11">
        <f>'Data Entries - EquityNoteSAFE'!GI324</f>
        <v>0</v>
      </c>
    </row>
    <row r="454" spans="1:1" ht="13.2">
      <c r="A454" s="11">
        <f>'Data Entries - EquityNoteSAFE'!GI325</f>
        <v>0</v>
      </c>
    </row>
    <row r="455" spans="1:1" ht="13.2">
      <c r="A455" s="11">
        <f>'Data Entries - EquityNoteSAFE'!GI326</f>
        <v>0</v>
      </c>
    </row>
    <row r="456" spans="1:1" ht="13.2">
      <c r="A456" s="11">
        <f>'Data Entries - EquityNoteSAFE'!GI327</f>
        <v>0</v>
      </c>
    </row>
    <row r="457" spans="1:1" ht="13.2">
      <c r="A457" s="11">
        <f>'Data Entries - EquityNoteSAFE'!GI328</f>
        <v>0</v>
      </c>
    </row>
    <row r="458" spans="1:1" ht="13.2">
      <c r="A458" s="11">
        <f>'Data Entries - EquityNoteSAFE'!GI329</f>
        <v>0</v>
      </c>
    </row>
    <row r="459" spans="1:1" ht="13.2">
      <c r="A459" s="11">
        <f>'Data Entries - EquityNoteSAFE'!GI330</f>
        <v>0</v>
      </c>
    </row>
    <row r="460" spans="1:1" ht="13.2">
      <c r="A460" s="11">
        <f>'Data Entries - EquityNoteSAFE'!GI331</f>
        <v>0</v>
      </c>
    </row>
    <row r="461" spans="1:1" ht="13.2">
      <c r="A461" s="11">
        <f>'Data Entries - EquityNoteSAFE'!GI332</f>
        <v>0</v>
      </c>
    </row>
    <row r="462" spans="1:1" ht="13.2">
      <c r="A462" s="11">
        <f>'Data Entries - EquityNoteSAFE'!GI333</f>
        <v>0</v>
      </c>
    </row>
    <row r="463" spans="1:1" ht="13.2">
      <c r="A463" s="11">
        <f>'Data Entries - EquityNoteSAFE'!GI334</f>
        <v>0</v>
      </c>
    </row>
    <row r="464" spans="1:1" ht="13.2">
      <c r="A464" s="11">
        <f>'Data Entries - EquityNoteSAFE'!GI335</f>
        <v>0</v>
      </c>
    </row>
    <row r="465" spans="1:1" ht="13.2">
      <c r="A465" s="11">
        <f>'Data Entries - EquityNoteSAFE'!GI336</f>
        <v>0</v>
      </c>
    </row>
    <row r="466" spans="1:1" ht="13.2">
      <c r="A466" s="11">
        <f>'Data Entries - EquityNoteSAFE'!GI337</f>
        <v>0</v>
      </c>
    </row>
    <row r="467" spans="1:1" ht="13.2">
      <c r="A467" s="11">
        <f>'Data Entries - EquityNoteSAFE'!GI338</f>
        <v>0</v>
      </c>
    </row>
    <row r="468" spans="1:1" ht="13.2">
      <c r="A468" s="11">
        <f>'Data Entries - EquityNoteSAFE'!GI339</f>
        <v>0</v>
      </c>
    </row>
    <row r="469" spans="1:1" ht="13.2">
      <c r="A469" s="11">
        <f>'Data Entries - EquityNoteSAFE'!GI340</f>
        <v>0</v>
      </c>
    </row>
    <row r="470" spans="1:1" ht="13.2">
      <c r="A470" s="11">
        <f>'Data Entries - EquityNoteSAFE'!GI341</f>
        <v>0</v>
      </c>
    </row>
    <row r="471" spans="1:1" ht="13.2">
      <c r="A471" s="11">
        <f>'Data Entries - EquityNoteSAFE'!GI342</f>
        <v>0</v>
      </c>
    </row>
    <row r="472" spans="1:1" ht="13.2">
      <c r="A472" s="11">
        <f>'Data Entries - EquityNoteSAFE'!GI343</f>
        <v>0</v>
      </c>
    </row>
    <row r="473" spans="1:1" ht="13.2">
      <c r="A473" s="11">
        <f>'Data Entries - EquityNoteSAFE'!GI344</f>
        <v>0</v>
      </c>
    </row>
    <row r="474" spans="1:1" ht="13.2">
      <c r="A474" s="11">
        <f>'Data Entries - EquityNoteSAFE'!GI345</f>
        <v>0</v>
      </c>
    </row>
    <row r="475" spans="1:1" ht="13.2">
      <c r="A475" s="11">
        <f>'Data Entries - EquityNoteSAFE'!GI346</f>
        <v>0</v>
      </c>
    </row>
    <row r="476" spans="1:1" ht="13.2">
      <c r="A476" s="11">
        <f>'Data Entries - EquityNoteSAFE'!GI347</f>
        <v>0</v>
      </c>
    </row>
    <row r="477" spans="1:1" ht="13.2">
      <c r="A477" s="11">
        <f>'Data Entries - EquityNoteSAFE'!GI348</f>
        <v>0</v>
      </c>
    </row>
    <row r="478" spans="1:1" ht="13.2">
      <c r="A478" s="11">
        <f>'Data Entries - EquityNoteSAFE'!GI349</f>
        <v>0</v>
      </c>
    </row>
    <row r="479" spans="1:1" ht="13.2">
      <c r="A479" s="11">
        <f>'Data Entries - EquityNoteSAFE'!GI350</f>
        <v>0</v>
      </c>
    </row>
    <row r="480" spans="1:1" ht="13.2">
      <c r="A480" s="11">
        <f>'Data Entries - EquityNoteSAFE'!GI351</f>
        <v>0</v>
      </c>
    </row>
    <row r="481" spans="1:1" ht="13.2">
      <c r="A481" s="11">
        <f>'Data Entries - EquityNoteSAFE'!GI352</f>
        <v>0</v>
      </c>
    </row>
    <row r="482" spans="1:1" ht="13.2">
      <c r="A482" s="11">
        <f>'Data Entries - EquityNoteSAFE'!GI353</f>
        <v>0</v>
      </c>
    </row>
    <row r="483" spans="1:1" ht="13.2">
      <c r="A483" s="11">
        <f>'Data Entries - EquityNoteSAFE'!GI354</f>
        <v>0</v>
      </c>
    </row>
    <row r="484" spans="1:1" ht="13.2">
      <c r="A484" s="11">
        <f>'Data Entries - EquityNoteSAFE'!GI355</f>
        <v>0</v>
      </c>
    </row>
    <row r="485" spans="1:1" ht="13.2">
      <c r="A485" s="11">
        <f>'Data Entries - EquityNoteSAFE'!GI356</f>
        <v>0</v>
      </c>
    </row>
    <row r="486" spans="1:1" ht="13.2">
      <c r="A486" s="11">
        <f>'Data Entries - EquityNoteSAFE'!GI357</f>
        <v>0</v>
      </c>
    </row>
    <row r="487" spans="1:1" ht="13.2">
      <c r="A487" s="11">
        <f>'Data Entries - EquityNoteSAFE'!GI358</f>
        <v>0</v>
      </c>
    </row>
    <row r="488" spans="1:1" ht="13.2">
      <c r="A488" s="11">
        <f>'Data Entries - EquityNoteSAFE'!GI359</f>
        <v>0</v>
      </c>
    </row>
    <row r="489" spans="1:1" ht="13.2">
      <c r="A489" s="11">
        <f>'Data Entries - EquityNoteSAFE'!GI360</f>
        <v>0</v>
      </c>
    </row>
    <row r="490" spans="1:1" ht="13.2">
      <c r="A490" s="11">
        <f>'Data Entries - EquityNoteSAFE'!GI361</f>
        <v>0</v>
      </c>
    </row>
    <row r="491" spans="1:1" ht="13.2">
      <c r="A491" s="11">
        <f>'Data Entries - EquityNoteSAFE'!GI362</f>
        <v>0</v>
      </c>
    </row>
    <row r="492" spans="1:1" ht="13.2">
      <c r="A492" s="11">
        <f>'Data Entries - EquityNoteSAFE'!GI363</f>
        <v>0</v>
      </c>
    </row>
    <row r="493" spans="1:1" ht="13.2">
      <c r="A493" s="11">
        <f>'Data Entries - EquityNoteSAFE'!GI364</f>
        <v>0</v>
      </c>
    </row>
    <row r="494" spans="1:1" ht="13.2">
      <c r="A494" s="11">
        <f>'Data Entries - EquityNoteSAFE'!GI365</f>
        <v>0</v>
      </c>
    </row>
    <row r="495" spans="1:1" ht="13.2">
      <c r="A495" s="11">
        <f>'Data Entries - EquityNoteSAFE'!GI366</f>
        <v>0</v>
      </c>
    </row>
    <row r="496" spans="1:1" ht="13.2">
      <c r="A496" s="11">
        <f>'Data Entries - EquityNoteSAFE'!GI367</f>
        <v>0</v>
      </c>
    </row>
    <row r="497" spans="1:1" ht="13.2">
      <c r="A497" s="11">
        <f>'Data Entries - EquityNoteSAFE'!GI368</f>
        <v>0</v>
      </c>
    </row>
    <row r="498" spans="1:1" ht="13.2">
      <c r="A498" s="11">
        <f>'Data Entries - EquityNoteSAFE'!GI369</f>
        <v>0</v>
      </c>
    </row>
    <row r="499" spans="1:1" ht="13.2">
      <c r="A499" s="11">
        <f>'Data Entries - EquityNoteSAFE'!GI370</f>
        <v>0</v>
      </c>
    </row>
    <row r="500" spans="1:1" ht="13.2">
      <c r="A500" s="11">
        <f>'Data Entries - EquityNoteSAFE'!GI371</f>
        <v>0</v>
      </c>
    </row>
    <row r="501" spans="1:1" ht="13.2">
      <c r="A501" s="11">
        <f>'Data Entries - EquityNoteSAFE'!GI372</f>
        <v>0</v>
      </c>
    </row>
    <row r="502" spans="1:1" ht="13.2">
      <c r="A502" s="11">
        <f>'Data Entries - EquityNoteSAFE'!GI373</f>
        <v>0</v>
      </c>
    </row>
    <row r="503" spans="1:1" ht="13.2">
      <c r="A503" s="11">
        <f>'Data Entries - EquityNoteSAFE'!GI374</f>
        <v>0</v>
      </c>
    </row>
    <row r="504" spans="1:1" ht="13.2">
      <c r="A504" s="11">
        <f>'Data Entries - EquityNoteSAFE'!GI375</f>
        <v>0</v>
      </c>
    </row>
    <row r="505" spans="1:1" ht="13.2">
      <c r="A505" s="11">
        <f>'Data Entries - EquityNoteSAFE'!GI376</f>
        <v>0</v>
      </c>
    </row>
    <row r="506" spans="1:1" ht="13.2">
      <c r="A506" s="11">
        <f>'Data Entries - EquityNoteSAFE'!GI377</f>
        <v>0</v>
      </c>
    </row>
    <row r="507" spans="1:1" ht="13.2">
      <c r="A507" s="11">
        <f>'Data Entries - EquityNoteSAFE'!GI378</f>
        <v>0</v>
      </c>
    </row>
    <row r="508" spans="1:1" ht="13.2">
      <c r="A508" s="11">
        <f>'Data Entries - EquityNoteSAFE'!GI379</f>
        <v>0</v>
      </c>
    </row>
    <row r="509" spans="1:1" ht="13.2">
      <c r="A509" s="11">
        <f>'Data Entries - EquityNoteSAFE'!GI380</f>
        <v>0</v>
      </c>
    </row>
    <row r="510" spans="1:1" ht="13.2">
      <c r="A510" s="11">
        <f>'Data Entries - EquityNoteSAFE'!GI381</f>
        <v>0</v>
      </c>
    </row>
    <row r="511" spans="1:1" ht="13.2">
      <c r="A511" s="11">
        <f>'Data Entries - EquityNoteSAFE'!GI382</f>
        <v>0</v>
      </c>
    </row>
    <row r="512" spans="1:1" ht="13.2">
      <c r="A512" s="11">
        <f>'Data Entries - EquityNoteSAFE'!GI383</f>
        <v>0</v>
      </c>
    </row>
    <row r="513" spans="1:1" ht="13.2">
      <c r="A513" s="11">
        <f>'Data Entries - EquityNoteSAFE'!GI384</f>
        <v>0</v>
      </c>
    </row>
    <row r="514" spans="1:1" ht="13.2">
      <c r="A514" s="11">
        <f>'Data Entries - EquityNoteSAFE'!GI385</f>
        <v>0</v>
      </c>
    </row>
    <row r="515" spans="1:1" ht="13.2">
      <c r="A515" s="11">
        <f>'Data Entries - EquityNoteSAFE'!GI386</f>
        <v>0</v>
      </c>
    </row>
    <row r="516" spans="1:1" ht="13.2">
      <c r="A516" s="11">
        <f>'Data Entries - EquityNoteSAFE'!GI387</f>
        <v>0</v>
      </c>
    </row>
    <row r="517" spans="1:1" ht="13.2">
      <c r="A517" s="11">
        <f>'Data Entries - EquityNoteSAFE'!GI388</f>
        <v>0</v>
      </c>
    </row>
    <row r="518" spans="1:1" ht="13.2">
      <c r="A518" s="11">
        <f>'Data Entries - EquityNoteSAFE'!GI389</f>
        <v>0</v>
      </c>
    </row>
    <row r="519" spans="1:1" ht="13.2">
      <c r="A519" s="11">
        <f>'Data Entries - EquityNoteSAFE'!GI390</f>
        <v>0</v>
      </c>
    </row>
    <row r="520" spans="1:1" ht="13.2">
      <c r="A520" s="11">
        <f>'Data Entries - EquityNoteSAFE'!GI391</f>
        <v>0</v>
      </c>
    </row>
    <row r="521" spans="1:1" ht="13.2">
      <c r="A521" s="11">
        <f>'Data Entries - EquityNoteSAFE'!GI392</f>
        <v>0</v>
      </c>
    </row>
    <row r="522" spans="1:1" ht="13.2">
      <c r="A522" s="11">
        <f>'Data Entries - EquityNoteSAFE'!GI393</f>
        <v>0</v>
      </c>
    </row>
    <row r="523" spans="1:1" ht="13.2">
      <c r="A523" s="11">
        <f>'Data Entries - EquityNoteSAFE'!GI394</f>
        <v>0</v>
      </c>
    </row>
    <row r="524" spans="1:1" ht="13.2">
      <c r="A524" s="11">
        <f>'Data Entries - EquityNoteSAFE'!GI395</f>
        <v>0</v>
      </c>
    </row>
    <row r="525" spans="1:1" ht="13.2">
      <c r="A525" s="11">
        <f>'Data Entries - EquityNoteSAFE'!GI396</f>
        <v>0</v>
      </c>
    </row>
    <row r="526" spans="1:1" ht="13.2">
      <c r="A526" s="11">
        <f>'Data Entries - EquityNoteSAFE'!GI397</f>
        <v>0</v>
      </c>
    </row>
    <row r="527" spans="1:1" ht="13.2">
      <c r="A527" s="11">
        <f>'Data Entries - EquityNoteSAFE'!GI398</f>
        <v>0</v>
      </c>
    </row>
    <row r="528" spans="1:1" ht="13.2">
      <c r="A528" s="11">
        <f>'Data Entries - EquityNoteSAFE'!GI399</f>
        <v>0</v>
      </c>
    </row>
    <row r="529" spans="1:1" ht="13.2">
      <c r="A529" s="11">
        <f>'Data Entries - EquityNoteSAFE'!GI400</f>
        <v>0</v>
      </c>
    </row>
    <row r="530" spans="1:1" ht="13.2">
      <c r="A530" s="11">
        <f>'Data Entries - EquityNoteSAFE'!GI401</f>
        <v>0</v>
      </c>
    </row>
    <row r="531" spans="1:1" ht="13.2">
      <c r="A531" s="11">
        <f>'Data Entries - EquityNoteSAFE'!GI402</f>
        <v>0</v>
      </c>
    </row>
    <row r="532" spans="1:1" ht="13.2">
      <c r="A532" s="11">
        <f>'Data Entries - EquityNoteSAFE'!GI403</f>
        <v>0</v>
      </c>
    </row>
    <row r="533" spans="1:1" ht="13.2">
      <c r="A533" s="11">
        <f>'Data Entries - EquityNoteSAFE'!GI404</f>
        <v>0</v>
      </c>
    </row>
    <row r="534" spans="1:1" ht="13.2">
      <c r="A534" s="11">
        <f>'Data Entries - EquityNoteSAFE'!GI405</f>
        <v>0</v>
      </c>
    </row>
    <row r="535" spans="1:1" ht="13.2">
      <c r="A535" s="11">
        <f>'Data Entries - EquityNoteSAFE'!GI406</f>
        <v>0</v>
      </c>
    </row>
    <row r="536" spans="1:1" ht="13.2">
      <c r="A536" s="11">
        <f>'Data Entries - EquityNoteSAFE'!GI407</f>
        <v>0</v>
      </c>
    </row>
    <row r="537" spans="1:1" ht="13.2">
      <c r="A537" s="11">
        <f>'Data Entries - EquityNoteSAFE'!GI408</f>
        <v>0</v>
      </c>
    </row>
    <row r="538" spans="1:1" ht="13.2">
      <c r="A538" s="11">
        <f>'Data Entries - EquityNoteSAFE'!GI409</f>
        <v>0</v>
      </c>
    </row>
    <row r="539" spans="1:1" ht="13.2">
      <c r="A539" s="11">
        <f>'Data Entries - EquityNoteSAFE'!GI410</f>
        <v>0</v>
      </c>
    </row>
    <row r="540" spans="1:1" ht="13.2">
      <c r="A540" s="11">
        <f>'Data Entries - EquityNoteSAFE'!GI411</f>
        <v>0</v>
      </c>
    </row>
    <row r="541" spans="1:1" ht="13.2">
      <c r="A541" s="11">
        <f>'Data Entries - EquityNoteSAFE'!GI412</f>
        <v>0</v>
      </c>
    </row>
    <row r="542" spans="1:1" ht="13.2">
      <c r="A542" s="11">
        <f>'Data Entries - EquityNoteSAFE'!GI413</f>
        <v>0</v>
      </c>
    </row>
    <row r="543" spans="1:1" ht="13.2">
      <c r="A543" s="11">
        <f>'Data Entries - EquityNoteSAFE'!GI414</f>
        <v>0</v>
      </c>
    </row>
    <row r="544" spans="1:1" ht="13.2">
      <c r="A544" s="11">
        <f>'Data Entries - EquityNoteSAFE'!GI415</f>
        <v>0</v>
      </c>
    </row>
    <row r="545" spans="1:1" ht="13.2">
      <c r="A545" s="11">
        <f>'Data Entries - EquityNoteSAFE'!GI416</f>
        <v>0</v>
      </c>
    </row>
    <row r="546" spans="1:1" ht="13.2">
      <c r="A546" s="11">
        <f>'Data Entries - EquityNoteSAFE'!GI417</f>
        <v>0</v>
      </c>
    </row>
    <row r="547" spans="1:1" ht="13.2">
      <c r="A547" s="11">
        <f>'Data Entries - EquityNoteSAFE'!GI418</f>
        <v>0</v>
      </c>
    </row>
    <row r="548" spans="1:1" ht="13.2">
      <c r="A548" s="11">
        <f>'Data Entries - EquityNoteSAFE'!GI419</f>
        <v>0</v>
      </c>
    </row>
    <row r="549" spans="1:1" ht="13.2">
      <c r="A549" s="11">
        <f>'Data Entries - EquityNoteSAFE'!GI420</f>
        <v>0</v>
      </c>
    </row>
    <row r="550" spans="1:1" ht="13.2">
      <c r="A550" s="11">
        <f>'Data Entries - EquityNoteSAFE'!GI421</f>
        <v>0</v>
      </c>
    </row>
    <row r="551" spans="1:1" ht="13.2">
      <c r="A551" s="11">
        <f>'Data Entries - EquityNoteSAFE'!GI422</f>
        <v>0</v>
      </c>
    </row>
    <row r="552" spans="1:1" ht="13.2">
      <c r="A552" s="11">
        <f>'Data Entries - EquityNoteSAFE'!GI423</f>
        <v>0</v>
      </c>
    </row>
    <row r="553" spans="1:1" ht="13.2">
      <c r="A553" s="11">
        <f>'Data Entries - EquityNoteSAFE'!GI424</f>
        <v>0</v>
      </c>
    </row>
    <row r="554" spans="1:1" ht="13.2">
      <c r="A554" s="11">
        <f>'Data Entries - EquityNoteSAFE'!GI425</f>
        <v>0</v>
      </c>
    </row>
    <row r="555" spans="1:1" ht="13.2">
      <c r="A555" s="11">
        <f>'Data Entries - EquityNoteSAFE'!GI426</f>
        <v>0</v>
      </c>
    </row>
    <row r="556" spans="1:1" ht="13.2">
      <c r="A556" s="11">
        <f>'Data Entries - EquityNoteSAFE'!GI427</f>
        <v>0</v>
      </c>
    </row>
    <row r="557" spans="1:1" ht="13.2">
      <c r="A557" s="11">
        <f>'Data Entries - EquityNoteSAFE'!GI428</f>
        <v>0</v>
      </c>
    </row>
    <row r="558" spans="1:1" ht="13.2">
      <c r="A558" s="11">
        <f>'Data Entries - EquityNoteSAFE'!GI429</f>
        <v>0</v>
      </c>
    </row>
    <row r="559" spans="1:1" ht="13.2">
      <c r="A559" s="11">
        <f>'Data Entries - EquityNoteSAFE'!GI430</f>
        <v>0</v>
      </c>
    </row>
    <row r="560" spans="1:1" ht="13.2">
      <c r="A560" s="11">
        <f>'Data Entries - EquityNoteSAFE'!GI431</f>
        <v>0</v>
      </c>
    </row>
    <row r="561" spans="1:1" ht="13.2">
      <c r="A561" s="11">
        <f>'Data Entries - EquityNoteSAFE'!GI432</f>
        <v>0</v>
      </c>
    </row>
    <row r="562" spans="1:1" ht="13.2">
      <c r="A562" s="11">
        <f>'Data Entries - EquityNoteSAFE'!GI433</f>
        <v>0</v>
      </c>
    </row>
    <row r="563" spans="1:1" ht="13.2">
      <c r="A563" s="11">
        <f>'Data Entries - EquityNoteSAFE'!GI434</f>
        <v>0</v>
      </c>
    </row>
    <row r="564" spans="1:1" ht="13.2">
      <c r="A564" s="11">
        <f>'Data Entries - EquityNoteSAFE'!GI435</f>
        <v>0</v>
      </c>
    </row>
    <row r="565" spans="1:1" ht="13.2">
      <c r="A565" s="11">
        <f>'Data Entries - EquityNoteSAFE'!GI436</f>
        <v>0</v>
      </c>
    </row>
    <row r="566" spans="1:1" ht="13.2">
      <c r="A566" s="11">
        <f>'Data Entries - EquityNoteSAFE'!GI437</f>
        <v>0</v>
      </c>
    </row>
    <row r="567" spans="1:1" ht="13.2">
      <c r="A567" s="11">
        <f>'Data Entries - EquityNoteSAFE'!GI438</f>
        <v>0</v>
      </c>
    </row>
    <row r="568" spans="1:1" ht="13.2">
      <c r="A568" s="11">
        <f>'Data Entries - EquityNoteSAFE'!GI439</f>
        <v>0</v>
      </c>
    </row>
    <row r="569" spans="1:1" ht="13.2">
      <c r="A569" s="11">
        <f>'Data Entries - EquityNoteSAFE'!GI440</f>
        <v>0</v>
      </c>
    </row>
    <row r="570" spans="1:1" ht="13.2">
      <c r="A570" s="11">
        <f>'Data Entries - EquityNoteSAFE'!GI441</f>
        <v>0</v>
      </c>
    </row>
    <row r="571" spans="1:1" ht="13.2">
      <c r="A571" s="11">
        <f>'Data Entries - EquityNoteSAFE'!GI442</f>
        <v>0</v>
      </c>
    </row>
    <row r="572" spans="1:1" ht="13.2">
      <c r="A572" s="11">
        <f>'Data Entries - EquityNoteSAFE'!GI443</f>
        <v>0</v>
      </c>
    </row>
    <row r="573" spans="1:1" ht="13.2">
      <c r="A573" s="11">
        <f>'Data Entries - EquityNoteSAFE'!GI444</f>
        <v>0</v>
      </c>
    </row>
    <row r="574" spans="1:1" ht="13.2">
      <c r="A574" s="11">
        <f>'Data Entries - EquityNoteSAFE'!GI445</f>
        <v>0</v>
      </c>
    </row>
    <row r="575" spans="1:1" ht="13.2">
      <c r="A575" s="11">
        <f>'Data Entries - EquityNoteSAFE'!GI446</f>
        <v>0</v>
      </c>
    </row>
    <row r="576" spans="1:1" ht="13.2">
      <c r="A576" s="11">
        <f>'Data Entries - EquityNoteSAFE'!GI447</f>
        <v>0</v>
      </c>
    </row>
    <row r="577" spans="1:1" ht="13.2">
      <c r="A577" s="11">
        <f>'Data Entries - EquityNoteSAFE'!GI448</f>
        <v>0</v>
      </c>
    </row>
    <row r="578" spans="1:1" ht="13.2">
      <c r="A578" s="11">
        <f>'Data Entries - EquityNoteSAFE'!GI449</f>
        <v>0</v>
      </c>
    </row>
    <row r="579" spans="1:1" ht="13.2">
      <c r="A579" s="11">
        <f>'Data Entries - EquityNoteSAFE'!GI450</f>
        <v>0</v>
      </c>
    </row>
    <row r="580" spans="1:1" ht="13.2">
      <c r="A580" s="11">
        <f>'Data Entries - EquityNoteSAFE'!GI451</f>
        <v>0</v>
      </c>
    </row>
    <row r="581" spans="1:1" ht="13.2">
      <c r="A581" s="11">
        <f>'Data Entries - EquityNoteSAFE'!GI452</f>
        <v>0</v>
      </c>
    </row>
    <row r="582" spans="1:1" ht="13.2">
      <c r="A582" s="11">
        <f>'Data Entries - EquityNoteSAFE'!GI453</f>
        <v>0</v>
      </c>
    </row>
    <row r="583" spans="1:1" ht="13.2">
      <c r="A583" s="11">
        <f>'Data Entries - EquityNoteSAFE'!GI454</f>
        <v>0</v>
      </c>
    </row>
    <row r="584" spans="1:1" ht="13.2">
      <c r="A584" s="11">
        <f>'Data Entries - EquityNoteSAFE'!GI455</f>
        <v>0</v>
      </c>
    </row>
    <row r="585" spans="1:1" ht="13.2">
      <c r="A585" s="11">
        <f>'Data Entries - EquityNoteSAFE'!GI456</f>
        <v>0</v>
      </c>
    </row>
    <row r="586" spans="1:1" ht="13.2">
      <c r="A586" s="11">
        <f>'Data Entries - EquityNoteSAFE'!GI457</f>
        <v>0</v>
      </c>
    </row>
    <row r="587" spans="1:1" ht="13.2">
      <c r="A587" s="11">
        <f>'Data Entries - EquityNoteSAFE'!GI458</f>
        <v>0</v>
      </c>
    </row>
    <row r="588" spans="1:1" ht="13.2">
      <c r="A588" s="11">
        <f>'Data Entries - EquityNoteSAFE'!GI459</f>
        <v>0</v>
      </c>
    </row>
    <row r="589" spans="1:1" ht="13.2">
      <c r="A589" s="11">
        <f>'Data Entries - EquityNoteSAFE'!GI460</f>
        <v>0</v>
      </c>
    </row>
    <row r="590" spans="1:1" ht="13.2">
      <c r="A590" s="11">
        <f>'Data Entries - EquityNoteSAFE'!GI461</f>
        <v>0</v>
      </c>
    </row>
    <row r="591" spans="1:1" ht="13.2">
      <c r="A591" s="11">
        <f>'Data Entries - EquityNoteSAFE'!GI462</f>
        <v>0</v>
      </c>
    </row>
    <row r="592" spans="1:1" ht="13.2">
      <c r="A592" s="11">
        <f>'Data Entries - EquityNoteSAFE'!GI463</f>
        <v>0</v>
      </c>
    </row>
    <row r="593" spans="1:1" ht="13.2">
      <c r="A593" s="11">
        <f>'Data Entries - EquityNoteSAFE'!GI464</f>
        <v>0</v>
      </c>
    </row>
    <row r="594" spans="1:1" ht="13.2">
      <c r="A594" s="11">
        <f>'Data Entries - EquityNoteSAFE'!GI465</f>
        <v>0</v>
      </c>
    </row>
    <row r="595" spans="1:1" ht="13.2">
      <c r="A595" s="11">
        <f>'Data Entries - EquityNoteSAFE'!GI466</f>
        <v>0</v>
      </c>
    </row>
    <row r="596" spans="1:1" ht="13.2">
      <c r="A596" s="11">
        <f>'Data Entries - EquityNoteSAFE'!GI467</f>
        <v>0</v>
      </c>
    </row>
    <row r="597" spans="1:1" ht="13.2">
      <c r="A597" s="11">
        <f>'Data Entries - EquityNoteSAFE'!GI468</f>
        <v>0</v>
      </c>
    </row>
    <row r="598" spans="1:1" ht="13.2">
      <c r="A598" s="11">
        <f>'Data Entries - EquityNoteSAFE'!GI469</f>
        <v>0</v>
      </c>
    </row>
    <row r="599" spans="1:1" ht="13.2">
      <c r="A599" s="11">
        <f>'Data Entries - EquityNoteSAFE'!GI470</f>
        <v>0</v>
      </c>
    </row>
    <row r="600" spans="1:1" ht="13.2">
      <c r="A600" s="11">
        <f>'Data Entries - EquityNoteSAFE'!GI471</f>
        <v>0</v>
      </c>
    </row>
    <row r="601" spans="1:1" ht="13.2">
      <c r="A601" s="11">
        <f>'Data Entries - EquityNoteSAFE'!GI472</f>
        <v>0</v>
      </c>
    </row>
    <row r="602" spans="1:1" ht="13.2">
      <c r="A602" s="11">
        <f>'Data Entries - EquityNoteSAFE'!GI473</f>
        <v>0</v>
      </c>
    </row>
    <row r="603" spans="1:1" ht="13.2">
      <c r="A603" s="11">
        <f>'Data Entries - EquityNoteSAFE'!GI474</f>
        <v>0</v>
      </c>
    </row>
    <row r="604" spans="1:1" ht="13.2">
      <c r="A604" s="11">
        <f>'Data Entries - EquityNoteSAFE'!GI475</f>
        <v>0</v>
      </c>
    </row>
    <row r="605" spans="1:1" ht="13.2">
      <c r="A605" s="11">
        <f>'Data Entries - EquityNoteSAFE'!GI476</f>
        <v>0</v>
      </c>
    </row>
    <row r="606" spans="1:1" ht="13.2">
      <c r="A606" s="11">
        <f>'Data Entries - EquityNoteSAFE'!GI477</f>
        <v>0</v>
      </c>
    </row>
    <row r="607" spans="1:1" ht="13.2">
      <c r="A607" s="11">
        <f>'Data Entries - EquityNoteSAFE'!GI478</f>
        <v>0</v>
      </c>
    </row>
    <row r="608" spans="1:1" ht="13.2">
      <c r="A608" s="11">
        <f>'Data Entries - EquityNoteSAFE'!GI479</f>
        <v>0</v>
      </c>
    </row>
    <row r="609" spans="1:1" ht="13.2">
      <c r="A609" s="11">
        <f>'Data Entries - EquityNoteSAFE'!GI480</f>
        <v>0</v>
      </c>
    </row>
    <row r="610" spans="1:1" ht="13.2">
      <c r="A610" s="11">
        <f>'Data Entries - EquityNoteSAFE'!GI481</f>
        <v>0</v>
      </c>
    </row>
    <row r="611" spans="1:1" ht="13.2">
      <c r="A611" s="11">
        <f>'Data Entries - EquityNoteSAFE'!GI482</f>
        <v>0</v>
      </c>
    </row>
    <row r="612" spans="1:1" ht="13.2">
      <c r="A612" s="11">
        <f>'Data Entries - EquityNoteSAFE'!GI483</f>
        <v>0</v>
      </c>
    </row>
    <row r="613" spans="1:1" ht="13.2">
      <c r="A613" s="11">
        <f>'Data Entries - EquityNoteSAFE'!GI484</f>
        <v>0</v>
      </c>
    </row>
    <row r="614" spans="1:1" ht="13.2">
      <c r="A614" s="11">
        <f>'Data Entries - EquityNoteSAFE'!GI485</f>
        <v>0</v>
      </c>
    </row>
    <row r="615" spans="1:1" ht="13.2">
      <c r="A615" s="11">
        <f>'Data Entries - EquityNoteSAFE'!GI486</f>
        <v>0</v>
      </c>
    </row>
    <row r="616" spans="1:1" ht="13.2">
      <c r="A616" s="11">
        <f>'Data Entries - EquityNoteSAFE'!GI487</f>
        <v>0</v>
      </c>
    </row>
    <row r="617" spans="1:1" ht="13.2">
      <c r="A617" s="11">
        <f>'Data Entries - EquityNoteSAFE'!GI488</f>
        <v>0</v>
      </c>
    </row>
    <row r="618" spans="1:1" ht="13.2">
      <c r="A618" s="11">
        <f>'Data Entries - EquityNoteSAFE'!GI489</f>
        <v>0</v>
      </c>
    </row>
    <row r="619" spans="1:1" ht="13.2">
      <c r="A619" s="11">
        <f>'Data Entries - EquityNoteSAFE'!GI490</f>
        <v>0</v>
      </c>
    </row>
    <row r="620" spans="1:1" ht="13.2">
      <c r="A620" s="11">
        <f>'Data Entries - EquityNoteSAFE'!GI491</f>
        <v>0</v>
      </c>
    </row>
    <row r="621" spans="1:1" ht="13.2">
      <c r="A621" s="11">
        <f>'Data Entries - EquityNoteSAFE'!GI492</f>
        <v>0</v>
      </c>
    </row>
    <row r="622" spans="1:1" ht="13.2">
      <c r="A622" s="11">
        <f>'Data Entries - EquityNoteSAFE'!GI493</f>
        <v>0</v>
      </c>
    </row>
    <row r="623" spans="1:1" ht="13.2">
      <c r="A623" s="11">
        <f>'Data Entries - EquityNoteSAFE'!GI494</f>
        <v>0</v>
      </c>
    </row>
    <row r="624" spans="1:1" ht="13.2">
      <c r="A624" s="11">
        <f>'Data Entries - EquityNoteSAFE'!GI495</f>
        <v>0</v>
      </c>
    </row>
    <row r="625" spans="1:1" ht="13.2">
      <c r="A625" s="11">
        <f>'Data Entries - EquityNoteSAFE'!GI496</f>
        <v>0</v>
      </c>
    </row>
    <row r="626" spans="1:1" ht="13.2">
      <c r="A626" s="11">
        <f>'Data Entries - EquityNoteSAFE'!GI497</f>
        <v>0</v>
      </c>
    </row>
    <row r="627" spans="1:1" ht="13.2">
      <c r="A627" s="11">
        <f>'Data Entries - EquityNoteSAFE'!GI498</f>
        <v>0</v>
      </c>
    </row>
    <row r="628" spans="1:1" ht="13.2">
      <c r="A628" s="11">
        <f>'Data Entries - EquityNoteSAFE'!GI499</f>
        <v>0</v>
      </c>
    </row>
    <row r="629" spans="1:1" ht="13.2">
      <c r="A629" s="11">
        <f>'Data Entries - EquityNoteSAFE'!GI500</f>
        <v>0</v>
      </c>
    </row>
    <row r="630" spans="1:1" ht="13.2">
      <c r="A630" s="11">
        <f>'Data Entries - EquityNoteSAFE'!GI501</f>
        <v>0</v>
      </c>
    </row>
    <row r="631" spans="1:1" ht="13.2">
      <c r="A631" s="11">
        <f>'Data Entries - EquityNoteSAFE'!GI502</f>
        <v>0</v>
      </c>
    </row>
    <row r="632" spans="1:1" ht="13.2">
      <c r="A632" s="11">
        <f>'Data Entries - EquityNoteSAFE'!GI503</f>
        <v>0</v>
      </c>
    </row>
    <row r="633" spans="1:1" ht="13.2">
      <c r="A633" s="11">
        <f>'Data Entries - EquityNoteSAFE'!GI504</f>
        <v>0</v>
      </c>
    </row>
    <row r="634" spans="1:1" ht="13.2">
      <c r="A634" s="11">
        <f>'Data Entries - EquityNoteSAFE'!GI505</f>
        <v>0</v>
      </c>
    </row>
    <row r="635" spans="1:1" ht="13.2">
      <c r="A635" s="11">
        <f>'Data Entries - EquityNoteSAFE'!GI506</f>
        <v>0</v>
      </c>
    </row>
    <row r="636" spans="1:1" ht="13.2">
      <c r="A636" s="11">
        <f>'Data Entries - EquityNoteSAFE'!GI507</f>
        <v>0</v>
      </c>
    </row>
    <row r="637" spans="1:1" ht="13.2">
      <c r="A637" s="11">
        <f>'Data Entries - EquityNoteSAFE'!GI508</f>
        <v>0</v>
      </c>
    </row>
    <row r="638" spans="1:1" ht="13.2">
      <c r="A638" s="11">
        <f>'Data Entries - EquityNoteSAFE'!GI509</f>
        <v>0</v>
      </c>
    </row>
    <row r="639" spans="1:1" ht="13.2">
      <c r="A639" s="11">
        <f>'Data Entries - EquityNoteSAFE'!GI510</f>
        <v>0</v>
      </c>
    </row>
    <row r="640" spans="1:1" ht="13.2">
      <c r="A640" s="11">
        <f>'Data Entries - EquityNoteSAFE'!GI511</f>
        <v>0</v>
      </c>
    </row>
    <row r="641" spans="1:1" ht="13.2">
      <c r="A641" s="11">
        <f>'Data Entries - EquityNoteSAFE'!GI512</f>
        <v>0</v>
      </c>
    </row>
    <row r="642" spans="1:1" ht="13.2">
      <c r="A642" s="11">
        <f>'Data Entries - EquityNoteSAFE'!GI513</f>
        <v>0</v>
      </c>
    </row>
    <row r="643" spans="1:1" ht="13.2">
      <c r="A643" s="11">
        <f>'Data Entries - EquityNoteSAFE'!GI514</f>
        <v>0</v>
      </c>
    </row>
    <row r="644" spans="1:1" ht="13.2">
      <c r="A644" s="11">
        <f>'Data Entries - EquityNoteSAFE'!GI515</f>
        <v>0</v>
      </c>
    </row>
    <row r="645" spans="1:1" ht="13.2">
      <c r="A645" s="11">
        <f>'Data Entries - EquityNoteSAFE'!GI516</f>
        <v>0</v>
      </c>
    </row>
    <row r="646" spans="1:1" ht="13.2">
      <c r="A646" s="11">
        <f>'Data Entries - EquityNoteSAFE'!GI517</f>
        <v>0</v>
      </c>
    </row>
    <row r="647" spans="1:1" ht="13.2">
      <c r="A647" s="11">
        <f>'Data Entries - EquityNoteSAFE'!GI518</f>
        <v>0</v>
      </c>
    </row>
    <row r="648" spans="1:1" ht="13.2">
      <c r="A648" s="11">
        <f>'Data Entries - EquityNoteSAFE'!GI519</f>
        <v>0</v>
      </c>
    </row>
    <row r="649" spans="1:1" ht="13.2">
      <c r="A649" s="11">
        <f>'Data Entries - EquityNoteSAFE'!GI520</f>
        <v>0</v>
      </c>
    </row>
    <row r="650" spans="1:1" ht="13.2">
      <c r="A650" s="11">
        <f>'Data Entries - EquityNoteSAFE'!GI521</f>
        <v>0</v>
      </c>
    </row>
    <row r="651" spans="1:1" ht="13.2">
      <c r="A651" s="11">
        <f>'Data Entries - EquityNoteSAFE'!GI522</f>
        <v>0</v>
      </c>
    </row>
    <row r="652" spans="1:1" ht="13.2">
      <c r="A652" s="11">
        <f>'Data Entries - EquityNoteSAFE'!GI523</f>
        <v>0</v>
      </c>
    </row>
    <row r="653" spans="1:1" ht="13.2">
      <c r="A653" s="11">
        <f>'Data Entries - EquityNoteSAFE'!GI524</f>
        <v>0</v>
      </c>
    </row>
    <row r="654" spans="1:1" ht="13.2">
      <c r="A654" s="11">
        <f>'Data Entries - EquityNoteSAFE'!GI525</f>
        <v>0</v>
      </c>
    </row>
    <row r="655" spans="1:1" ht="13.2">
      <c r="A655" s="11">
        <f>'Data Entries - EquityNoteSAFE'!GI526</f>
        <v>0</v>
      </c>
    </row>
    <row r="656" spans="1:1" ht="13.2">
      <c r="A656" s="11">
        <f>'Data Entries - EquityNoteSAFE'!GI527</f>
        <v>0</v>
      </c>
    </row>
    <row r="657" spans="1:1" ht="13.2">
      <c r="A657" s="11">
        <f>'Data Entries - EquityNoteSAFE'!GI528</f>
        <v>0</v>
      </c>
    </row>
    <row r="658" spans="1:1" ht="13.2">
      <c r="A658" s="11">
        <f>'Data Entries - EquityNoteSAFE'!GI529</f>
        <v>0</v>
      </c>
    </row>
    <row r="659" spans="1:1" ht="13.2">
      <c r="A659" s="11">
        <f>'Data Entries - EquityNoteSAFE'!GI530</f>
        <v>0</v>
      </c>
    </row>
    <row r="660" spans="1:1" ht="13.2">
      <c r="A660" s="11">
        <f>'Data Entries - EquityNoteSAFE'!GI531</f>
        <v>0</v>
      </c>
    </row>
    <row r="661" spans="1:1" ht="13.2">
      <c r="A661" s="11">
        <f>'Data Entries - EquityNoteSAFE'!GI532</f>
        <v>0</v>
      </c>
    </row>
    <row r="662" spans="1:1" ht="13.2">
      <c r="A662" s="11">
        <f>'Data Entries - EquityNoteSAFE'!GI533</f>
        <v>0</v>
      </c>
    </row>
    <row r="663" spans="1:1" ht="13.2">
      <c r="A663" s="11">
        <f>'Data Entries - EquityNoteSAFE'!GI534</f>
        <v>0</v>
      </c>
    </row>
    <row r="664" spans="1:1" ht="13.2">
      <c r="A664" s="11">
        <f>'Data Entries - EquityNoteSAFE'!GI535</f>
        <v>0</v>
      </c>
    </row>
    <row r="665" spans="1:1" ht="13.2">
      <c r="A665" s="11">
        <f>'Data Entries - EquityNoteSAFE'!GI536</f>
        <v>0</v>
      </c>
    </row>
    <row r="666" spans="1:1" ht="13.2">
      <c r="A666" s="11">
        <f>'Data Entries - EquityNoteSAFE'!GI537</f>
        <v>0</v>
      </c>
    </row>
    <row r="667" spans="1:1" ht="13.2">
      <c r="A667" s="11">
        <f>'Data Entries - EquityNoteSAFE'!GI538</f>
        <v>0</v>
      </c>
    </row>
    <row r="668" spans="1:1" ht="13.2">
      <c r="A668" s="11">
        <f>'Data Entries - EquityNoteSAFE'!GI539</f>
        <v>0</v>
      </c>
    </row>
    <row r="669" spans="1:1" ht="13.2">
      <c r="A669" s="11">
        <f>'Data Entries - EquityNoteSAFE'!GI540</f>
        <v>0</v>
      </c>
    </row>
    <row r="670" spans="1:1" ht="13.2">
      <c r="A670" s="11">
        <f>'Data Entries - EquityNoteSAFE'!GI541</f>
        <v>0</v>
      </c>
    </row>
    <row r="671" spans="1:1" ht="13.2">
      <c r="A671" s="11">
        <f>'Data Entries - EquityNoteSAFE'!GI542</f>
        <v>0</v>
      </c>
    </row>
    <row r="672" spans="1:1" ht="13.2">
      <c r="A672" s="11">
        <f>'Data Entries - EquityNoteSAFE'!GI543</f>
        <v>0</v>
      </c>
    </row>
    <row r="673" spans="1:1" ht="13.2">
      <c r="A673" s="11">
        <f>'Data Entries - EquityNoteSAFE'!GI544</f>
        <v>0</v>
      </c>
    </row>
    <row r="674" spans="1:1" ht="13.2">
      <c r="A674" s="11">
        <f>'Data Entries - EquityNoteSAFE'!GI545</f>
        <v>0</v>
      </c>
    </row>
    <row r="675" spans="1:1" ht="13.2">
      <c r="A675" s="11">
        <f>'Data Entries - EquityNoteSAFE'!GI546</f>
        <v>0</v>
      </c>
    </row>
    <row r="676" spans="1:1" ht="13.2">
      <c r="A676" s="11">
        <f>'Data Entries - EquityNoteSAFE'!GI547</f>
        <v>0</v>
      </c>
    </row>
    <row r="677" spans="1:1" ht="13.2">
      <c r="A677" s="11">
        <f>'Data Entries - EquityNoteSAFE'!GI548</f>
        <v>0</v>
      </c>
    </row>
    <row r="678" spans="1:1" ht="13.2">
      <c r="A678" s="11">
        <f>'Data Entries - EquityNoteSAFE'!GI549</f>
        <v>0</v>
      </c>
    </row>
    <row r="679" spans="1:1" ht="13.2">
      <c r="A679" s="11">
        <f>'Data Entries - EquityNoteSAFE'!GI550</f>
        <v>0</v>
      </c>
    </row>
    <row r="680" spans="1:1" ht="13.2">
      <c r="A680" s="11">
        <f>'Data Entries - EquityNoteSAFE'!GI551</f>
        <v>0</v>
      </c>
    </row>
    <row r="681" spans="1:1" ht="13.2">
      <c r="A681" s="11">
        <f>'Data Entries - EquityNoteSAFE'!GI552</f>
        <v>0</v>
      </c>
    </row>
    <row r="682" spans="1:1" ht="13.2">
      <c r="A682" s="11">
        <f>'Data Entries - EquityNoteSAFE'!GI553</f>
        <v>0</v>
      </c>
    </row>
    <row r="683" spans="1:1" ht="13.2">
      <c r="A683" s="11">
        <f>'Data Entries - EquityNoteSAFE'!GI554</f>
        <v>0</v>
      </c>
    </row>
    <row r="684" spans="1:1" ht="13.2">
      <c r="A684" s="11">
        <f>'Data Entries - EquityNoteSAFE'!GI555</f>
        <v>0</v>
      </c>
    </row>
    <row r="685" spans="1:1" ht="13.2">
      <c r="A685" s="11">
        <f>'Data Entries - EquityNoteSAFE'!GI556</f>
        <v>0</v>
      </c>
    </row>
    <row r="686" spans="1:1" ht="13.2">
      <c r="A686" s="11">
        <f>'Data Entries - EquityNoteSAFE'!GI557</f>
        <v>0</v>
      </c>
    </row>
    <row r="687" spans="1:1" ht="13.2">
      <c r="A687" s="11">
        <f>'Data Entries - EquityNoteSAFE'!GI558</f>
        <v>0</v>
      </c>
    </row>
    <row r="688" spans="1:1" ht="13.2">
      <c r="A688" s="11">
        <f>'Data Entries - EquityNoteSAFE'!GI559</f>
        <v>0</v>
      </c>
    </row>
    <row r="689" spans="1:1" ht="13.2">
      <c r="A689" s="11">
        <f>'Data Entries - EquityNoteSAFE'!GI560</f>
        <v>0</v>
      </c>
    </row>
    <row r="690" spans="1:1" ht="13.2">
      <c r="A690" s="11">
        <f>'Data Entries - EquityNoteSAFE'!GI561</f>
        <v>0</v>
      </c>
    </row>
    <row r="691" spans="1:1" ht="13.2">
      <c r="A691" s="11">
        <f>'Data Entries - EquityNoteSAFE'!GI562</f>
        <v>0</v>
      </c>
    </row>
    <row r="692" spans="1:1" ht="13.2">
      <c r="A692" s="11">
        <f>'Data Entries - EquityNoteSAFE'!GI563</f>
        <v>0</v>
      </c>
    </row>
    <row r="693" spans="1:1" ht="13.2">
      <c r="A693" s="11">
        <f>'Data Entries - EquityNoteSAFE'!GI564</f>
        <v>0</v>
      </c>
    </row>
    <row r="694" spans="1:1" ht="13.2">
      <c r="A694" s="11">
        <f>'Data Entries - EquityNoteSAFE'!GI565</f>
        <v>0</v>
      </c>
    </row>
    <row r="695" spans="1:1" ht="13.2">
      <c r="A695" s="11">
        <f>'Data Entries - EquityNoteSAFE'!GI566</f>
        <v>0</v>
      </c>
    </row>
    <row r="696" spans="1:1" ht="13.2">
      <c r="A696" s="11">
        <f>'Data Entries - EquityNoteSAFE'!GI567</f>
        <v>0</v>
      </c>
    </row>
    <row r="697" spans="1:1" ht="13.2">
      <c r="A697" s="11">
        <f>'Data Entries - EquityNoteSAFE'!GI568</f>
        <v>0</v>
      </c>
    </row>
    <row r="698" spans="1:1" ht="13.2">
      <c r="A698" s="11">
        <f>'Data Entries - EquityNoteSAFE'!GI569</f>
        <v>0</v>
      </c>
    </row>
    <row r="699" spans="1:1" ht="13.2">
      <c r="A699" s="11">
        <f>'Data Entries - EquityNoteSAFE'!GI570</f>
        <v>0</v>
      </c>
    </row>
    <row r="700" spans="1:1" ht="13.2">
      <c r="A700" s="11">
        <f>'Data Entries - EquityNoteSAFE'!GI571</f>
        <v>0</v>
      </c>
    </row>
    <row r="701" spans="1:1" ht="13.2">
      <c r="A701" s="11">
        <f>'Data Entries - EquityNoteSAFE'!GI572</f>
        <v>0</v>
      </c>
    </row>
    <row r="702" spans="1:1" ht="13.2">
      <c r="A702" s="11">
        <f>'Data Entries - EquityNoteSAFE'!GI573</f>
        <v>0</v>
      </c>
    </row>
    <row r="703" spans="1:1" ht="13.2">
      <c r="A703" s="11">
        <f>'Data Entries - EquityNoteSAFE'!GI574</f>
        <v>0</v>
      </c>
    </row>
    <row r="704" spans="1:1" ht="13.2">
      <c r="A704" s="11">
        <f>'Data Entries - EquityNoteSAFE'!GI575</f>
        <v>0</v>
      </c>
    </row>
    <row r="705" spans="1:1" ht="13.2">
      <c r="A705" s="11">
        <f>'Data Entries - EquityNoteSAFE'!GI576</f>
        <v>0</v>
      </c>
    </row>
    <row r="706" spans="1:1" ht="13.2">
      <c r="A706" s="11">
        <f>'Data Entries - EquityNoteSAFE'!GI577</f>
        <v>0</v>
      </c>
    </row>
    <row r="707" spans="1:1" ht="13.2">
      <c r="A707" s="11">
        <f>'Data Entries - EquityNoteSAFE'!GI578</f>
        <v>0</v>
      </c>
    </row>
    <row r="708" spans="1:1" ht="13.2">
      <c r="A708" s="11">
        <f>'Data Entries - EquityNoteSAFE'!GI579</f>
        <v>0</v>
      </c>
    </row>
    <row r="709" spans="1:1" ht="13.2">
      <c r="A709" s="11">
        <f>'Data Entries - EquityNoteSAFE'!GI580</f>
        <v>0</v>
      </c>
    </row>
    <row r="710" spans="1:1" ht="13.2">
      <c r="A710" s="11">
        <f>'Data Entries - EquityNoteSAFE'!GI581</f>
        <v>0</v>
      </c>
    </row>
    <row r="711" spans="1:1" ht="13.2">
      <c r="A711" s="11">
        <f>'Data Entries - EquityNoteSAFE'!GI582</f>
        <v>0</v>
      </c>
    </row>
    <row r="712" spans="1:1" ht="13.2">
      <c r="A712" s="11">
        <f>'Data Entries - EquityNoteSAFE'!GI583</f>
        <v>0</v>
      </c>
    </row>
    <row r="713" spans="1:1" ht="13.2">
      <c r="A713" s="11">
        <f>'Data Entries - EquityNoteSAFE'!GI584</f>
        <v>0</v>
      </c>
    </row>
    <row r="714" spans="1:1" ht="13.2">
      <c r="A714" s="11">
        <f>'Data Entries - EquityNoteSAFE'!GI585</f>
        <v>0</v>
      </c>
    </row>
    <row r="715" spans="1:1" ht="13.2">
      <c r="A715" s="11">
        <f>'Data Entries - EquityNoteSAFE'!GI586</f>
        <v>0</v>
      </c>
    </row>
    <row r="716" spans="1:1" ht="13.2">
      <c r="A716" s="11">
        <f>'Data Entries - EquityNoteSAFE'!GI587</f>
        <v>0</v>
      </c>
    </row>
    <row r="717" spans="1:1" ht="13.2">
      <c r="A717" s="11">
        <f>'Data Entries - EquityNoteSAFE'!GI588</f>
        <v>0</v>
      </c>
    </row>
    <row r="718" spans="1:1" ht="13.2">
      <c r="A718" s="11">
        <f>'Data Entries - EquityNoteSAFE'!GI589</f>
        <v>0</v>
      </c>
    </row>
    <row r="719" spans="1:1" ht="13.2">
      <c r="A719" s="11">
        <f>'Data Entries - EquityNoteSAFE'!GI590</f>
        <v>0</v>
      </c>
    </row>
    <row r="720" spans="1:1" ht="13.2">
      <c r="A720" s="11">
        <f>'Data Entries - EquityNoteSAFE'!GI591</f>
        <v>0</v>
      </c>
    </row>
    <row r="721" spans="1:1" ht="13.2">
      <c r="A721" s="11">
        <f>'Data Entries - EquityNoteSAFE'!GI592</f>
        <v>0</v>
      </c>
    </row>
    <row r="722" spans="1:1" ht="13.2">
      <c r="A722" s="11">
        <f>'Data Entries - EquityNoteSAFE'!GI593</f>
        <v>0</v>
      </c>
    </row>
    <row r="723" spans="1:1" ht="13.2">
      <c r="A723" s="11">
        <f>'Data Entries - EquityNoteSAFE'!GI594</f>
        <v>0</v>
      </c>
    </row>
    <row r="724" spans="1:1" ht="13.2">
      <c r="A724" s="11">
        <f>'Data Entries - EquityNoteSAFE'!GI595</f>
        <v>0</v>
      </c>
    </row>
    <row r="725" spans="1:1" ht="13.2">
      <c r="A725" s="11">
        <f>'Data Entries - EquityNoteSAFE'!GI596</f>
        <v>0</v>
      </c>
    </row>
    <row r="726" spans="1:1" ht="13.2">
      <c r="A726" s="11">
        <f>'Data Entries - EquityNoteSAFE'!GI597</f>
        <v>0</v>
      </c>
    </row>
    <row r="727" spans="1:1" ht="13.2">
      <c r="A727" s="11">
        <f>'Data Entries - EquityNoteSAFE'!GI598</f>
        <v>0</v>
      </c>
    </row>
    <row r="728" spans="1:1" ht="13.2">
      <c r="A728" s="11">
        <f>'Data Entries - EquityNoteSAFE'!GI599</f>
        <v>0</v>
      </c>
    </row>
    <row r="729" spans="1:1" ht="13.2">
      <c r="A729" s="11">
        <f>'Data Entries - EquityNoteSAFE'!GI600</f>
        <v>0</v>
      </c>
    </row>
    <row r="730" spans="1:1" ht="13.2">
      <c r="A730" s="11">
        <f>'Data Entries - EquityNoteSAFE'!GI601</f>
        <v>0</v>
      </c>
    </row>
    <row r="731" spans="1:1" ht="13.2">
      <c r="A731" s="11">
        <f>'Data Entries - EquityNoteSAFE'!GI602</f>
        <v>0</v>
      </c>
    </row>
    <row r="732" spans="1:1" ht="13.2">
      <c r="A732" s="11">
        <f>'Data Entries - EquityNoteSAFE'!GI603</f>
        <v>0</v>
      </c>
    </row>
    <row r="733" spans="1:1" ht="13.2">
      <c r="A733" s="11">
        <f>'Data Entries - EquityNoteSAFE'!GI604</f>
        <v>0</v>
      </c>
    </row>
    <row r="734" spans="1:1" ht="13.2">
      <c r="A734" s="11">
        <f>'Data Entries - EquityNoteSAFE'!GI605</f>
        <v>0</v>
      </c>
    </row>
    <row r="735" spans="1:1" ht="13.2">
      <c r="A735" s="11">
        <f>'Data Entries - EquityNoteSAFE'!GI606</f>
        <v>0</v>
      </c>
    </row>
    <row r="736" spans="1:1" ht="13.2">
      <c r="A736" s="11">
        <f>'Data Entries - EquityNoteSAFE'!GI607</f>
        <v>0</v>
      </c>
    </row>
    <row r="737" spans="1:1" ht="13.2">
      <c r="A737" s="11">
        <f>'Data Entries - EquityNoteSAFE'!GI608</f>
        <v>0</v>
      </c>
    </row>
    <row r="738" spans="1:1" ht="13.2">
      <c r="A738" s="11">
        <f>'Data Entries - EquityNoteSAFE'!GI609</f>
        <v>0</v>
      </c>
    </row>
    <row r="739" spans="1:1" ht="13.2">
      <c r="A739" s="11">
        <f>'Data Entries - EquityNoteSAFE'!GI610</f>
        <v>0</v>
      </c>
    </row>
    <row r="740" spans="1:1" ht="13.2">
      <c r="A740" s="11">
        <f>'Data Entries - EquityNoteSAFE'!GI611</f>
        <v>0</v>
      </c>
    </row>
    <row r="741" spans="1:1" ht="13.2">
      <c r="A741" s="11">
        <f>'Data Entries - EquityNoteSAFE'!GI612</f>
        <v>0</v>
      </c>
    </row>
    <row r="742" spans="1:1" ht="13.2">
      <c r="A742" s="11">
        <f>'Data Entries - EquityNoteSAFE'!GI613</f>
        <v>0</v>
      </c>
    </row>
    <row r="743" spans="1:1" ht="13.2">
      <c r="A743" s="11">
        <f>'Data Entries - EquityNoteSAFE'!GI614</f>
        <v>0</v>
      </c>
    </row>
    <row r="744" spans="1:1" ht="13.2">
      <c r="A744" s="11">
        <f>'Data Entries - EquityNoteSAFE'!GI615</f>
        <v>0</v>
      </c>
    </row>
    <row r="745" spans="1:1" ht="13.2">
      <c r="A745" s="11">
        <f>'Data Entries - EquityNoteSAFE'!GI616</f>
        <v>0</v>
      </c>
    </row>
    <row r="746" spans="1:1" ht="13.2">
      <c r="A746" s="11">
        <f>'Data Entries - EquityNoteSAFE'!GI617</f>
        <v>0</v>
      </c>
    </row>
    <row r="747" spans="1:1" ht="13.2">
      <c r="A747" s="11">
        <f>'Data Entries - EquityNoteSAFE'!GI618</f>
        <v>0</v>
      </c>
    </row>
    <row r="748" spans="1:1" ht="13.2">
      <c r="A748" s="11">
        <f>'Data Entries - EquityNoteSAFE'!GI619</f>
        <v>0</v>
      </c>
    </row>
    <row r="749" spans="1:1" ht="13.2">
      <c r="A749" s="11">
        <f>'Data Entries - EquityNoteSAFE'!GI620</f>
        <v>0</v>
      </c>
    </row>
    <row r="750" spans="1:1" ht="13.2">
      <c r="A750" s="11">
        <f>'Data Entries - EquityNoteSAFE'!GI621</f>
        <v>0</v>
      </c>
    </row>
    <row r="751" spans="1:1" ht="13.2">
      <c r="A751" s="11">
        <f>'Data Entries - EquityNoteSAFE'!GI622</f>
        <v>0</v>
      </c>
    </row>
    <row r="752" spans="1:1" ht="13.2">
      <c r="A752" s="11">
        <f>'Data Entries - EquityNoteSAFE'!GI623</f>
        <v>0</v>
      </c>
    </row>
    <row r="753" spans="1:1" ht="13.2">
      <c r="A753" s="11">
        <f>'Data Entries - EquityNoteSAFE'!GI624</f>
        <v>0</v>
      </c>
    </row>
    <row r="754" spans="1:1" ht="13.2">
      <c r="A754" s="11">
        <f>'Data Entries - EquityNoteSAFE'!GI625</f>
        <v>0</v>
      </c>
    </row>
    <row r="755" spans="1:1" ht="13.2">
      <c r="A755" s="11">
        <f>'Data Entries - EquityNoteSAFE'!GI626</f>
        <v>0</v>
      </c>
    </row>
    <row r="756" spans="1:1" ht="13.2">
      <c r="A756" s="11">
        <f>'Data Entries - EquityNoteSAFE'!GI627</f>
        <v>0</v>
      </c>
    </row>
    <row r="757" spans="1:1" ht="13.2">
      <c r="A757" s="11">
        <f>'Data Entries - EquityNoteSAFE'!GI628</f>
        <v>0</v>
      </c>
    </row>
    <row r="758" spans="1:1" ht="13.2">
      <c r="A758" s="11">
        <f>'Data Entries - EquityNoteSAFE'!GI629</f>
        <v>0</v>
      </c>
    </row>
    <row r="759" spans="1:1" ht="13.2">
      <c r="A759" s="11">
        <f>'Data Entries - EquityNoteSAFE'!GI630</f>
        <v>0</v>
      </c>
    </row>
    <row r="760" spans="1:1" ht="13.2">
      <c r="A760" s="11">
        <f>'Data Entries - EquityNoteSAFE'!GI631</f>
        <v>0</v>
      </c>
    </row>
    <row r="761" spans="1:1" ht="13.2">
      <c r="A761" s="11">
        <f>'Data Entries - EquityNoteSAFE'!GI632</f>
        <v>0</v>
      </c>
    </row>
    <row r="762" spans="1:1" ht="13.2">
      <c r="A762" s="11">
        <f>'Data Entries - EquityNoteSAFE'!GI633</f>
        <v>0</v>
      </c>
    </row>
    <row r="763" spans="1:1" ht="13.2">
      <c r="A763" s="11">
        <f>'Data Entries - EquityNoteSAFE'!GI634</f>
        <v>0</v>
      </c>
    </row>
    <row r="764" spans="1:1" ht="13.2">
      <c r="A764" s="11">
        <f>'Data Entries - EquityNoteSAFE'!GI635</f>
        <v>0</v>
      </c>
    </row>
    <row r="765" spans="1:1" ht="13.2">
      <c r="A765" s="11">
        <f>'Data Entries - EquityNoteSAFE'!GI636</f>
        <v>0</v>
      </c>
    </row>
    <row r="766" spans="1:1" ht="13.2">
      <c r="A766" s="11">
        <f>'Data Entries - EquityNoteSAFE'!GI637</f>
        <v>0</v>
      </c>
    </row>
    <row r="767" spans="1:1" ht="13.2">
      <c r="A767" s="11">
        <f>'Data Entries - EquityNoteSAFE'!GI638</f>
        <v>0</v>
      </c>
    </row>
    <row r="768" spans="1:1" ht="13.2">
      <c r="A768" s="11">
        <f>'Data Entries - EquityNoteSAFE'!GI639</f>
        <v>0</v>
      </c>
    </row>
    <row r="769" spans="1:1" ht="13.2">
      <c r="A769" s="11">
        <f>'Data Entries - EquityNoteSAFE'!GI640</f>
        <v>0</v>
      </c>
    </row>
    <row r="770" spans="1:1" ht="13.2">
      <c r="A770" s="11">
        <f>'Data Entries - EquityNoteSAFE'!GI641</f>
        <v>0</v>
      </c>
    </row>
    <row r="771" spans="1:1" ht="13.2">
      <c r="A771" s="11">
        <f>'Data Entries - EquityNoteSAFE'!GI642</f>
        <v>0</v>
      </c>
    </row>
    <row r="772" spans="1:1" ht="13.2">
      <c r="A772" s="11">
        <f>'Data Entries - EquityNoteSAFE'!GI643</f>
        <v>0</v>
      </c>
    </row>
    <row r="773" spans="1:1" ht="13.2">
      <c r="A773" s="11">
        <f>'Data Entries - EquityNoteSAFE'!GI644</f>
        <v>0</v>
      </c>
    </row>
    <row r="774" spans="1:1" ht="13.2">
      <c r="A774" s="11">
        <f>'Data Entries - EquityNoteSAFE'!GI645</f>
        <v>0</v>
      </c>
    </row>
    <row r="775" spans="1:1" ht="13.2">
      <c r="A775" s="11">
        <f>'Data Entries - EquityNoteSAFE'!GI646</f>
        <v>0</v>
      </c>
    </row>
    <row r="776" spans="1:1" ht="13.2">
      <c r="A776" s="11">
        <f>'Data Entries - EquityNoteSAFE'!GI647</f>
        <v>0</v>
      </c>
    </row>
    <row r="777" spans="1:1" ht="13.2">
      <c r="A777" s="11">
        <f>'Data Entries - EquityNoteSAFE'!GI648</f>
        <v>0</v>
      </c>
    </row>
    <row r="778" spans="1:1" ht="13.2">
      <c r="A778" s="11">
        <f>'Data Entries - EquityNoteSAFE'!GI649</f>
        <v>0</v>
      </c>
    </row>
    <row r="779" spans="1:1" ht="13.2">
      <c r="A779" s="11">
        <f>'Data Entries - EquityNoteSAFE'!GI650</f>
        <v>0</v>
      </c>
    </row>
    <row r="780" spans="1:1" ht="13.2">
      <c r="A780" s="11">
        <f>'Data Entries - EquityNoteSAFE'!GI651</f>
        <v>0</v>
      </c>
    </row>
    <row r="781" spans="1:1" ht="13.2">
      <c r="A781" s="11">
        <f>'Data Entries - EquityNoteSAFE'!GI652</f>
        <v>0</v>
      </c>
    </row>
    <row r="782" spans="1:1" ht="13.2">
      <c r="A782" s="11">
        <f>'Data Entries - EquityNoteSAFE'!GI653</f>
        <v>0</v>
      </c>
    </row>
    <row r="783" spans="1:1" ht="13.2">
      <c r="A783" s="11">
        <f>'Data Entries - EquityNoteSAFE'!GI654</f>
        <v>0</v>
      </c>
    </row>
    <row r="784" spans="1:1" ht="13.2">
      <c r="A784" s="11">
        <f>'Data Entries - EquityNoteSAFE'!GI655</f>
        <v>0</v>
      </c>
    </row>
    <row r="785" spans="1:1" ht="13.2">
      <c r="A785" s="11">
        <f>'Data Entries - EquityNoteSAFE'!GI656</f>
        <v>0</v>
      </c>
    </row>
    <row r="786" spans="1:1" ht="13.2">
      <c r="A786" s="11">
        <f>'Data Entries - EquityNoteSAFE'!GI657</f>
        <v>0</v>
      </c>
    </row>
    <row r="787" spans="1:1" ht="13.2">
      <c r="A787" s="11">
        <f>'Data Entries - EquityNoteSAFE'!GI658</f>
        <v>0</v>
      </c>
    </row>
    <row r="788" spans="1:1" ht="13.2">
      <c r="A788" s="11">
        <f>'Data Entries - EquityNoteSAFE'!GI659</f>
        <v>0</v>
      </c>
    </row>
    <row r="789" spans="1:1" ht="13.2">
      <c r="A789" s="11">
        <f>'Data Entries - EquityNoteSAFE'!GI660</f>
        <v>0</v>
      </c>
    </row>
    <row r="790" spans="1:1" ht="13.2">
      <c r="A790" s="11">
        <f>'Data Entries - EquityNoteSAFE'!GI661</f>
        <v>0</v>
      </c>
    </row>
    <row r="791" spans="1:1" ht="13.2">
      <c r="A791" s="11">
        <f>'Data Entries - EquityNoteSAFE'!GI662</f>
        <v>0</v>
      </c>
    </row>
    <row r="792" spans="1:1" ht="13.2">
      <c r="A792" s="11">
        <f>'Data Entries - EquityNoteSAFE'!GI663</f>
        <v>0</v>
      </c>
    </row>
    <row r="793" spans="1:1" ht="13.2">
      <c r="A793" s="11">
        <f>'Data Entries - EquityNoteSAFE'!GI664</f>
        <v>0</v>
      </c>
    </row>
    <row r="794" spans="1:1" ht="13.2">
      <c r="A794" s="11">
        <f>'Data Entries - EquityNoteSAFE'!GI665</f>
        <v>0</v>
      </c>
    </row>
    <row r="795" spans="1:1" ht="13.2">
      <c r="A795" s="11">
        <f>'Data Entries - EquityNoteSAFE'!GI666</f>
        <v>0</v>
      </c>
    </row>
    <row r="796" spans="1:1" ht="13.2">
      <c r="A796" s="11">
        <f>'Data Entries - EquityNoteSAFE'!GI667</f>
        <v>0</v>
      </c>
    </row>
    <row r="797" spans="1:1" ht="13.2">
      <c r="A797" s="11">
        <f>'Data Entries - EquityNoteSAFE'!GI668</f>
        <v>0</v>
      </c>
    </row>
    <row r="798" spans="1:1" ht="13.2">
      <c r="A798" s="11">
        <f>'Data Entries - EquityNoteSAFE'!GI669</f>
        <v>0</v>
      </c>
    </row>
    <row r="799" spans="1:1" ht="13.2">
      <c r="A799" s="11">
        <f>'Data Entries - EquityNoteSAFE'!GI670</f>
        <v>0</v>
      </c>
    </row>
    <row r="800" spans="1:1" ht="13.2">
      <c r="A800" s="11">
        <f>'Data Entries - EquityNoteSAFE'!GI671</f>
        <v>0</v>
      </c>
    </row>
    <row r="801" spans="1:1" ht="13.2">
      <c r="A801" s="11">
        <f>'Data Entries - EquityNoteSAFE'!GI672</f>
        <v>0</v>
      </c>
    </row>
    <row r="802" spans="1:1" ht="13.2">
      <c r="A802" s="11">
        <f>'Data Entries - EquityNoteSAFE'!GI673</f>
        <v>0</v>
      </c>
    </row>
    <row r="803" spans="1:1" ht="13.2">
      <c r="A803" s="11">
        <f>'Data Entries - EquityNoteSAFE'!GI674</f>
        <v>0</v>
      </c>
    </row>
    <row r="804" spans="1:1" ht="13.2">
      <c r="A804" s="11">
        <f>'Data Entries - EquityNoteSAFE'!GI675</f>
        <v>0</v>
      </c>
    </row>
    <row r="805" spans="1:1" ht="13.2">
      <c r="A805" s="11">
        <f>'Data Entries - EquityNoteSAFE'!GI676</f>
        <v>0</v>
      </c>
    </row>
    <row r="806" spans="1:1" ht="13.2">
      <c r="A806" s="11">
        <f>'Data Entries - EquityNoteSAFE'!GI677</f>
        <v>0</v>
      </c>
    </row>
    <row r="807" spans="1:1" ht="13.2">
      <c r="A807" s="11">
        <f>'Data Entries - EquityNoteSAFE'!GI678</f>
        <v>0</v>
      </c>
    </row>
    <row r="808" spans="1:1" ht="13.2">
      <c r="A808" s="11">
        <f>'Data Entries - EquityNoteSAFE'!GI679</f>
        <v>0</v>
      </c>
    </row>
    <row r="809" spans="1:1" ht="13.2">
      <c r="A809" s="11">
        <f>'Data Entries - EquityNoteSAFE'!GI680</f>
        <v>0</v>
      </c>
    </row>
    <row r="810" spans="1:1" ht="13.2">
      <c r="A810" s="11">
        <f>'Data Entries - EquityNoteSAFE'!GI681</f>
        <v>0</v>
      </c>
    </row>
    <row r="811" spans="1:1" ht="13.2">
      <c r="A811" s="11">
        <f>'Data Entries - EquityNoteSAFE'!GI682</f>
        <v>0</v>
      </c>
    </row>
    <row r="812" spans="1:1" ht="13.2">
      <c r="A812" s="11">
        <f>'Data Entries - EquityNoteSAFE'!GI683</f>
        <v>0</v>
      </c>
    </row>
    <row r="813" spans="1:1" ht="13.2">
      <c r="A813" s="11">
        <f>'Data Entries - EquityNoteSAFE'!GI684</f>
        <v>0</v>
      </c>
    </row>
    <row r="814" spans="1:1" ht="13.2">
      <c r="A814" s="11">
        <f>'Data Entries - EquityNoteSAFE'!GI685</f>
        <v>0</v>
      </c>
    </row>
    <row r="815" spans="1:1" ht="13.2">
      <c r="A815" s="11">
        <f>'Data Entries - EquityNoteSAFE'!GI686</f>
        <v>0</v>
      </c>
    </row>
    <row r="816" spans="1:1" ht="13.2">
      <c r="A816" s="11">
        <f>'Data Entries - EquityNoteSAFE'!GI687</f>
        <v>0</v>
      </c>
    </row>
    <row r="817" spans="1:1" ht="13.2">
      <c r="A817" s="11">
        <f>'Data Entries - EquityNoteSAFE'!GI688</f>
        <v>0</v>
      </c>
    </row>
    <row r="818" spans="1:1" ht="13.2">
      <c r="A818" s="11">
        <f>'Data Entries - EquityNoteSAFE'!GI689</f>
        <v>0</v>
      </c>
    </row>
    <row r="819" spans="1:1" ht="13.2">
      <c r="A819" s="11">
        <f>'Data Entries - EquityNoteSAFE'!GI690</f>
        <v>0</v>
      </c>
    </row>
    <row r="820" spans="1:1" ht="13.2">
      <c r="A820" s="11">
        <f>'Data Entries - EquityNoteSAFE'!GI691</f>
        <v>0</v>
      </c>
    </row>
    <row r="821" spans="1:1" ht="13.2">
      <c r="A821" s="11">
        <f>'Data Entries - EquityNoteSAFE'!GI692</f>
        <v>0</v>
      </c>
    </row>
    <row r="822" spans="1:1" ht="13.2">
      <c r="A822" s="11">
        <f>'Data Entries - EquityNoteSAFE'!GI693</f>
        <v>0</v>
      </c>
    </row>
    <row r="823" spans="1:1" ht="13.2">
      <c r="A823" s="11">
        <f>'Data Entries - EquityNoteSAFE'!GI694</f>
        <v>0</v>
      </c>
    </row>
    <row r="824" spans="1:1" ht="13.2">
      <c r="A824" s="11">
        <f>'Data Entries - EquityNoteSAFE'!GI695</f>
        <v>0</v>
      </c>
    </row>
    <row r="825" spans="1:1" ht="13.2">
      <c r="A825" s="11">
        <f>'Data Entries - EquityNoteSAFE'!GI696</f>
        <v>0</v>
      </c>
    </row>
    <row r="826" spans="1:1" ht="13.2">
      <c r="A826" s="11">
        <f>'Data Entries - EquityNoteSAFE'!GI697</f>
        <v>0</v>
      </c>
    </row>
    <row r="827" spans="1:1" ht="13.2">
      <c r="A827" s="11">
        <f>'Data Entries - EquityNoteSAFE'!GI698</f>
        <v>0</v>
      </c>
    </row>
    <row r="828" spans="1:1" ht="13.2">
      <c r="A828" s="11">
        <f>'Data Entries - EquityNoteSAFE'!GI699</f>
        <v>0</v>
      </c>
    </row>
    <row r="829" spans="1:1" ht="13.2">
      <c r="A829" s="11">
        <f>'Data Entries - EquityNoteSAFE'!GI700</f>
        <v>0</v>
      </c>
    </row>
    <row r="830" spans="1:1" ht="13.2">
      <c r="A830" s="11">
        <f>'Data Entries - EquityNoteSAFE'!GI701</f>
        <v>0</v>
      </c>
    </row>
    <row r="831" spans="1:1" ht="13.2">
      <c r="A831" s="11">
        <f>'Data Entries - EquityNoteSAFE'!GI702</f>
        <v>0</v>
      </c>
    </row>
    <row r="832" spans="1:1" ht="13.2">
      <c r="A832" s="11">
        <f>'Data Entries - EquityNoteSAFE'!GI703</f>
        <v>0</v>
      </c>
    </row>
    <row r="833" spans="1:1" ht="13.2">
      <c r="A833" s="11">
        <f>'Data Entries - EquityNoteSAFE'!GI704</f>
        <v>0</v>
      </c>
    </row>
    <row r="834" spans="1:1" ht="13.2">
      <c r="A834" s="11">
        <f>'Data Entries - EquityNoteSAFE'!GI705</f>
        <v>0</v>
      </c>
    </row>
    <row r="835" spans="1:1" ht="13.2">
      <c r="A835" s="11">
        <f>'Data Entries - EquityNoteSAFE'!GI706</f>
        <v>0</v>
      </c>
    </row>
    <row r="836" spans="1:1" ht="13.2">
      <c r="A836" s="11">
        <f>'Data Entries - EquityNoteSAFE'!GI707</f>
        <v>0</v>
      </c>
    </row>
    <row r="837" spans="1:1" ht="13.2">
      <c r="A837" s="11">
        <f>'Data Entries - EquityNoteSAFE'!GI708</f>
        <v>0</v>
      </c>
    </row>
    <row r="838" spans="1:1" ht="13.2">
      <c r="A838" s="11">
        <f>'Data Entries - EquityNoteSAFE'!GI709</f>
        <v>0</v>
      </c>
    </row>
    <row r="839" spans="1:1" ht="13.2">
      <c r="A839" s="11">
        <f>'Data Entries - EquityNoteSAFE'!GI710</f>
        <v>0</v>
      </c>
    </row>
    <row r="840" spans="1:1" ht="13.2">
      <c r="A840" s="11">
        <f>'Data Entries - EquityNoteSAFE'!GI711</f>
        <v>0</v>
      </c>
    </row>
    <row r="841" spans="1:1" ht="13.2">
      <c r="A841" s="11">
        <f>'Data Entries - EquityNoteSAFE'!GI712</f>
        <v>0</v>
      </c>
    </row>
    <row r="842" spans="1:1" ht="13.2">
      <c r="A842" s="11">
        <f>'Data Entries - EquityNoteSAFE'!GI713</f>
        <v>0</v>
      </c>
    </row>
    <row r="843" spans="1:1" ht="13.2">
      <c r="A843" s="11">
        <f>'Data Entries - EquityNoteSAFE'!GI714</f>
        <v>0</v>
      </c>
    </row>
    <row r="844" spans="1:1" ht="13.2">
      <c r="A844" s="11">
        <f>'Data Entries - EquityNoteSAFE'!GI715</f>
        <v>0</v>
      </c>
    </row>
    <row r="845" spans="1:1" ht="13.2">
      <c r="A845" s="11">
        <f>'Data Entries - EquityNoteSAFE'!GI716</f>
        <v>0</v>
      </c>
    </row>
    <row r="846" spans="1:1" ht="13.2">
      <c r="A846" s="11">
        <f>'Data Entries - EquityNoteSAFE'!GI717</f>
        <v>0</v>
      </c>
    </row>
    <row r="847" spans="1:1" ht="13.2">
      <c r="A847" s="11">
        <f>'Data Entries - EquityNoteSAFE'!GI718</f>
        <v>0</v>
      </c>
    </row>
    <row r="848" spans="1:1" ht="13.2">
      <c r="A848" s="11">
        <f>'Data Entries - EquityNoteSAFE'!GI719</f>
        <v>0</v>
      </c>
    </row>
    <row r="849" spans="1:1" ht="13.2">
      <c r="A849" s="11">
        <f>'Data Entries - EquityNoteSAFE'!GI720</f>
        <v>0</v>
      </c>
    </row>
    <row r="850" spans="1:1" ht="13.2">
      <c r="A850" s="11">
        <f>'Data Entries - EquityNoteSAFE'!GI721</f>
        <v>0</v>
      </c>
    </row>
    <row r="851" spans="1:1" ht="13.2">
      <c r="A851" s="11">
        <f>'Data Entries - EquityNoteSAFE'!GI722</f>
        <v>0</v>
      </c>
    </row>
    <row r="852" spans="1:1" ht="13.2">
      <c r="A852" s="11">
        <f>'Data Entries - EquityNoteSAFE'!GI723</f>
        <v>0</v>
      </c>
    </row>
    <row r="853" spans="1:1" ht="13.2">
      <c r="A853" s="11">
        <f>'Data Entries - EquityNoteSAFE'!GI724</f>
        <v>0</v>
      </c>
    </row>
    <row r="854" spans="1:1" ht="13.2">
      <c r="A854" s="11">
        <f>'Data Entries - EquityNoteSAFE'!GI725</f>
        <v>0</v>
      </c>
    </row>
    <row r="855" spans="1:1" ht="13.2">
      <c r="A855" s="11">
        <f>'Data Entries - EquityNoteSAFE'!GI726</f>
        <v>0</v>
      </c>
    </row>
    <row r="856" spans="1:1" ht="13.2">
      <c r="A856" s="11">
        <f>'Data Entries - EquityNoteSAFE'!GI727</f>
        <v>0</v>
      </c>
    </row>
    <row r="857" spans="1:1" ht="13.2">
      <c r="A857" s="11">
        <f>'Data Entries - EquityNoteSAFE'!GI728</f>
        <v>0</v>
      </c>
    </row>
    <row r="858" spans="1:1" ht="13.2">
      <c r="A858" s="11">
        <f>'Data Entries - EquityNoteSAFE'!GI729</f>
        <v>0</v>
      </c>
    </row>
    <row r="859" spans="1:1" ht="13.2">
      <c r="A859" s="11">
        <f>'Data Entries - EquityNoteSAFE'!GI730</f>
        <v>0</v>
      </c>
    </row>
    <row r="860" spans="1:1" ht="13.2">
      <c r="A860" s="11">
        <f>'Data Entries - EquityNoteSAFE'!GI731</f>
        <v>0</v>
      </c>
    </row>
    <row r="861" spans="1:1" ht="13.2">
      <c r="A861" s="11">
        <f>'Data Entries - EquityNoteSAFE'!GI732</f>
        <v>0</v>
      </c>
    </row>
    <row r="862" spans="1:1" ht="13.2">
      <c r="A862" s="11">
        <f>'Data Entries - EquityNoteSAFE'!GI733</f>
        <v>0</v>
      </c>
    </row>
    <row r="863" spans="1:1" ht="13.2">
      <c r="A863" s="11">
        <f>'Data Entries - EquityNoteSAFE'!GI734</f>
        <v>0</v>
      </c>
    </row>
    <row r="864" spans="1:1" ht="13.2">
      <c r="A864" s="11">
        <f>'Data Entries - EquityNoteSAFE'!GI735</f>
        <v>0</v>
      </c>
    </row>
    <row r="865" spans="1:1" ht="13.2">
      <c r="A865" s="11">
        <f>'Data Entries - EquityNoteSAFE'!GI736</f>
        <v>0</v>
      </c>
    </row>
    <row r="866" spans="1:1" ht="13.2">
      <c r="A866" s="11">
        <f>'Data Entries - EquityNoteSAFE'!GI737</f>
        <v>0</v>
      </c>
    </row>
    <row r="867" spans="1:1" ht="13.2">
      <c r="A867" s="11">
        <f>'Data Entries - EquityNoteSAFE'!GI738</f>
        <v>0</v>
      </c>
    </row>
    <row r="868" spans="1:1" ht="13.2">
      <c r="A868" s="11">
        <f>'Data Entries - EquityNoteSAFE'!GI739</f>
        <v>0</v>
      </c>
    </row>
    <row r="869" spans="1:1" ht="13.2">
      <c r="A869" s="11">
        <f>'Data Entries - EquityNoteSAFE'!GI740</f>
        <v>0</v>
      </c>
    </row>
    <row r="870" spans="1:1" ht="13.2">
      <c r="A870" s="11">
        <f>'Data Entries - EquityNoteSAFE'!GI741</f>
        <v>0</v>
      </c>
    </row>
    <row r="871" spans="1:1" ht="13.2">
      <c r="A871" s="11">
        <f>'Data Entries - EquityNoteSAFE'!GI742</f>
        <v>0</v>
      </c>
    </row>
    <row r="872" spans="1:1" ht="13.2">
      <c r="A872" s="11">
        <f>'Data Entries - EquityNoteSAFE'!GI743</f>
        <v>0</v>
      </c>
    </row>
    <row r="873" spans="1:1" ht="13.2">
      <c r="A873" s="11">
        <f>'Data Entries - EquityNoteSAFE'!GI744</f>
        <v>0</v>
      </c>
    </row>
    <row r="874" spans="1:1" ht="13.2">
      <c r="A874" s="11">
        <f>'Data Entries - EquityNoteSAFE'!GI745</f>
        <v>0</v>
      </c>
    </row>
    <row r="875" spans="1:1" ht="13.2">
      <c r="A875" s="11">
        <f>'Data Entries - EquityNoteSAFE'!GI746</f>
        <v>0</v>
      </c>
    </row>
    <row r="876" spans="1:1" ht="13.2">
      <c r="A876" s="11">
        <f>'Data Entries - EquityNoteSAFE'!GI747</f>
        <v>0</v>
      </c>
    </row>
    <row r="877" spans="1:1" ht="13.2">
      <c r="A877" s="11">
        <f>'Data Entries - EquityNoteSAFE'!GI748</f>
        <v>0</v>
      </c>
    </row>
    <row r="878" spans="1:1" ht="13.2">
      <c r="A878" s="11">
        <f>'Data Entries - EquityNoteSAFE'!GI749</f>
        <v>0</v>
      </c>
    </row>
    <row r="879" spans="1:1" ht="13.2">
      <c r="A879" s="11">
        <f>'Data Entries - EquityNoteSAFE'!GI750</f>
        <v>0</v>
      </c>
    </row>
    <row r="880" spans="1:1" ht="13.2">
      <c r="A880" s="11">
        <f>'Data Entries - EquityNoteSAFE'!GI751</f>
        <v>0</v>
      </c>
    </row>
    <row r="881" spans="1:1" ht="13.2">
      <c r="A881" s="11">
        <f>'Data Entries - EquityNoteSAFE'!GI752</f>
        <v>0</v>
      </c>
    </row>
    <row r="882" spans="1:1" ht="13.2">
      <c r="A882" s="11">
        <f>'Data Entries - EquityNoteSAFE'!GI753</f>
        <v>0</v>
      </c>
    </row>
    <row r="883" spans="1:1" ht="13.2">
      <c r="A883" s="11">
        <f>'Data Entries - EquityNoteSAFE'!GI754</f>
        <v>0</v>
      </c>
    </row>
    <row r="884" spans="1:1" ht="13.2">
      <c r="A884" s="11">
        <f>'Data Entries - EquityNoteSAFE'!GI755</f>
        <v>0</v>
      </c>
    </row>
    <row r="885" spans="1:1" ht="13.2">
      <c r="A885" s="11">
        <f>'Data Entries - EquityNoteSAFE'!GI756</f>
        <v>0</v>
      </c>
    </row>
    <row r="886" spans="1:1" ht="13.2">
      <c r="A886" s="11">
        <f>'Data Entries - EquityNoteSAFE'!GI757</f>
        <v>0</v>
      </c>
    </row>
    <row r="887" spans="1:1" ht="13.2">
      <c r="A887" s="11">
        <f>'Data Entries - EquityNoteSAFE'!GI758</f>
        <v>0</v>
      </c>
    </row>
    <row r="888" spans="1:1" ht="13.2">
      <c r="A888" s="11">
        <f>'Data Entries - EquityNoteSAFE'!GI759</f>
        <v>0</v>
      </c>
    </row>
    <row r="889" spans="1:1" ht="13.2">
      <c r="A889" s="11">
        <f>'Data Entries - EquityNoteSAFE'!GI760</f>
        <v>0</v>
      </c>
    </row>
    <row r="890" spans="1:1" ht="13.2">
      <c r="A890" s="11">
        <f>'Data Entries - EquityNoteSAFE'!GI761</f>
        <v>0</v>
      </c>
    </row>
    <row r="891" spans="1:1" ht="13.2">
      <c r="A891" s="11">
        <f>'Data Entries - EquityNoteSAFE'!GI762</f>
        <v>0</v>
      </c>
    </row>
    <row r="892" spans="1:1" ht="13.2">
      <c r="A892" s="11">
        <f>'Data Entries - EquityNoteSAFE'!GI763</f>
        <v>0</v>
      </c>
    </row>
    <row r="893" spans="1:1" ht="13.2">
      <c r="A893" s="11">
        <f>'Data Entries - EquityNoteSAFE'!GI764</f>
        <v>0</v>
      </c>
    </row>
    <row r="894" spans="1:1" ht="13.2">
      <c r="A894" s="11">
        <f>'Data Entries - EquityNoteSAFE'!GI765</f>
        <v>0</v>
      </c>
    </row>
    <row r="895" spans="1:1" ht="13.2">
      <c r="A895" s="11">
        <f>'Data Entries - EquityNoteSAFE'!GI766</f>
        <v>0</v>
      </c>
    </row>
    <row r="896" spans="1:1" ht="13.2">
      <c r="A896" s="11">
        <f>'Data Entries - EquityNoteSAFE'!GI767</f>
        <v>0</v>
      </c>
    </row>
    <row r="897" spans="1:1" ht="13.2">
      <c r="A897" s="11">
        <f>'Data Entries - EquityNoteSAFE'!GI768</f>
        <v>0</v>
      </c>
    </row>
    <row r="898" spans="1:1" ht="13.2">
      <c r="A898" s="11">
        <f>'Data Entries - EquityNoteSAFE'!GI769</f>
        <v>0</v>
      </c>
    </row>
    <row r="899" spans="1:1" ht="13.2">
      <c r="A899" s="11">
        <f>'Data Entries - EquityNoteSAFE'!GI770</f>
        <v>0</v>
      </c>
    </row>
    <row r="900" spans="1:1" ht="13.2">
      <c r="A900" s="11">
        <f>'Data Entries - EquityNoteSAFE'!GI771</f>
        <v>0</v>
      </c>
    </row>
    <row r="901" spans="1:1" ht="13.2">
      <c r="A901" s="11">
        <f>'Data Entries - EquityNoteSAFE'!GI772</f>
        <v>0</v>
      </c>
    </row>
    <row r="902" spans="1:1" ht="13.2">
      <c r="A902" s="11">
        <f>'Data Entries - EquityNoteSAFE'!GI773</f>
        <v>0</v>
      </c>
    </row>
    <row r="903" spans="1:1" ht="13.2">
      <c r="A903" s="11">
        <f>'Data Entries - EquityNoteSAFE'!GI774</f>
        <v>0</v>
      </c>
    </row>
    <row r="904" spans="1:1" ht="13.2">
      <c r="A904" s="11">
        <f>'Data Entries - EquityNoteSAFE'!GI775</f>
        <v>0</v>
      </c>
    </row>
    <row r="905" spans="1:1" ht="13.2">
      <c r="A905" s="11">
        <f>'Data Entries - EquityNoteSAFE'!GI776</f>
        <v>0</v>
      </c>
    </row>
    <row r="906" spans="1:1" ht="13.2">
      <c r="A906" s="11">
        <f>'Data Entries - EquityNoteSAFE'!GI777</f>
        <v>0</v>
      </c>
    </row>
    <row r="907" spans="1:1" ht="13.2">
      <c r="A907" s="11">
        <f>'Data Entries - EquityNoteSAFE'!GI778</f>
        <v>0</v>
      </c>
    </row>
    <row r="908" spans="1:1" ht="13.2">
      <c r="A908" s="11">
        <f>'Data Entries - EquityNoteSAFE'!GI779</f>
        <v>0</v>
      </c>
    </row>
    <row r="909" spans="1:1" ht="13.2">
      <c r="A909" s="11">
        <f>'Data Entries - EquityNoteSAFE'!GI780</f>
        <v>0</v>
      </c>
    </row>
    <row r="910" spans="1:1" ht="13.2">
      <c r="A910" s="11">
        <f>'Data Entries - EquityNoteSAFE'!GI781</f>
        <v>0</v>
      </c>
    </row>
    <row r="911" spans="1:1" ht="13.2">
      <c r="A911" s="11">
        <f>'Data Entries - EquityNoteSAFE'!GI782</f>
        <v>0</v>
      </c>
    </row>
    <row r="912" spans="1:1" ht="13.2">
      <c r="A912" s="11">
        <f>'Data Entries - EquityNoteSAFE'!GI783</f>
        <v>0</v>
      </c>
    </row>
    <row r="913" spans="1:1" ht="13.2">
      <c r="A913" s="11">
        <f>'Data Entries - EquityNoteSAFE'!GI784</f>
        <v>0</v>
      </c>
    </row>
    <row r="914" spans="1:1" ht="13.2">
      <c r="A914" s="11">
        <f>'Data Entries - EquityNoteSAFE'!GI785</f>
        <v>0</v>
      </c>
    </row>
    <row r="915" spans="1:1" ht="13.2">
      <c r="A915" s="11">
        <f>'Data Entries - EquityNoteSAFE'!GI786</f>
        <v>0</v>
      </c>
    </row>
    <row r="916" spans="1:1" ht="13.2">
      <c r="A916" s="11">
        <f>'Data Entries - EquityNoteSAFE'!GI787</f>
        <v>0</v>
      </c>
    </row>
    <row r="917" spans="1:1" ht="13.2">
      <c r="A917" s="11">
        <f>'Data Entries - EquityNoteSAFE'!GI788</f>
        <v>0</v>
      </c>
    </row>
    <row r="918" spans="1:1" ht="13.2">
      <c r="A918" s="11">
        <f>'Data Entries - EquityNoteSAFE'!GI789</f>
        <v>0</v>
      </c>
    </row>
    <row r="919" spans="1:1" ht="13.2">
      <c r="A919" s="11">
        <f>'Data Entries - EquityNoteSAFE'!GI790</f>
        <v>0</v>
      </c>
    </row>
    <row r="920" spans="1:1" ht="13.2">
      <c r="A920" s="11">
        <f>'Data Entries - EquityNoteSAFE'!GI791</f>
        <v>0</v>
      </c>
    </row>
    <row r="921" spans="1:1" ht="13.2">
      <c r="A921" s="11">
        <f>'Data Entries - EquityNoteSAFE'!GI792</f>
        <v>0</v>
      </c>
    </row>
    <row r="922" spans="1:1" ht="13.2">
      <c r="A922" s="11">
        <f>'Data Entries - EquityNoteSAFE'!GI793</f>
        <v>0</v>
      </c>
    </row>
    <row r="923" spans="1:1" ht="13.2">
      <c r="A923" s="11">
        <f>'Data Entries - EquityNoteSAFE'!GI794</f>
        <v>0</v>
      </c>
    </row>
    <row r="924" spans="1:1" ht="13.2">
      <c r="A924" s="11">
        <f>'Data Entries - EquityNoteSAFE'!GI795</f>
        <v>0</v>
      </c>
    </row>
    <row r="925" spans="1:1" ht="13.2">
      <c r="A925" s="11">
        <f>'Data Entries - EquityNoteSAFE'!GI796</f>
        <v>0</v>
      </c>
    </row>
    <row r="926" spans="1:1" ht="13.2">
      <c r="A926" s="11">
        <f>'Data Entries - EquityNoteSAFE'!GI797</f>
        <v>0</v>
      </c>
    </row>
    <row r="927" spans="1:1" ht="13.2">
      <c r="A927" s="11">
        <f>'Data Entries - EquityNoteSAFE'!GI798</f>
        <v>0</v>
      </c>
    </row>
    <row r="928" spans="1:1" ht="13.2">
      <c r="A928" s="11">
        <f>'Data Entries - EquityNoteSAFE'!GI799</f>
        <v>0</v>
      </c>
    </row>
    <row r="929" spans="1:1" ht="13.2">
      <c r="A929" s="11">
        <f>'Data Entries - EquityNoteSAFE'!GI800</f>
        <v>0</v>
      </c>
    </row>
    <row r="930" spans="1:1" ht="13.2">
      <c r="A930" s="11">
        <f>'Data Entries - EquityNoteSAFE'!GI801</f>
        <v>0</v>
      </c>
    </row>
    <row r="931" spans="1:1" ht="13.2">
      <c r="A931" s="11">
        <f>'Data Entries - EquityNoteSAFE'!GI802</f>
        <v>0</v>
      </c>
    </row>
    <row r="932" spans="1:1" ht="13.2">
      <c r="A932" s="11">
        <f>'Data Entries - EquityNoteSAFE'!GI803</f>
        <v>0</v>
      </c>
    </row>
    <row r="933" spans="1:1" ht="13.2">
      <c r="A933" s="11">
        <f>'Data Entries - EquityNoteSAFE'!GI804</f>
        <v>0</v>
      </c>
    </row>
    <row r="934" spans="1:1" ht="13.2">
      <c r="A934" s="11">
        <f>'Data Entries - EquityNoteSAFE'!GI805</f>
        <v>0</v>
      </c>
    </row>
    <row r="935" spans="1:1" ht="13.2">
      <c r="A935" s="11">
        <f>'Data Entries - EquityNoteSAFE'!GI806</f>
        <v>0</v>
      </c>
    </row>
    <row r="936" spans="1:1" ht="13.2">
      <c r="A936" s="11">
        <f>'Data Entries - EquityNoteSAFE'!GI807</f>
        <v>0</v>
      </c>
    </row>
    <row r="937" spans="1:1" ht="13.2">
      <c r="A937" s="11">
        <f>'Data Entries - EquityNoteSAFE'!GI808</f>
        <v>0</v>
      </c>
    </row>
    <row r="938" spans="1:1" ht="13.2">
      <c r="A938" s="11">
        <f>'Data Entries - EquityNoteSAFE'!GI809</f>
        <v>0</v>
      </c>
    </row>
    <row r="939" spans="1:1" ht="13.2">
      <c r="A939" s="11">
        <f>'Data Entries - EquityNoteSAFE'!GI810</f>
        <v>0</v>
      </c>
    </row>
    <row r="940" spans="1:1" ht="13.2">
      <c r="A940" s="11">
        <f>'Data Entries - EquityNoteSAFE'!GI811</f>
        <v>0</v>
      </c>
    </row>
    <row r="941" spans="1:1" ht="13.2">
      <c r="A941" s="11">
        <f>'Data Entries - EquityNoteSAFE'!GI812</f>
        <v>0</v>
      </c>
    </row>
    <row r="942" spans="1:1" ht="13.2">
      <c r="A942" s="11">
        <f>'Data Entries - EquityNoteSAFE'!GI813</f>
        <v>0</v>
      </c>
    </row>
    <row r="943" spans="1:1" ht="13.2">
      <c r="A943" s="11">
        <f>'Data Entries - EquityNoteSAFE'!GI814</f>
        <v>0</v>
      </c>
    </row>
    <row r="944" spans="1:1" ht="13.2">
      <c r="A944" s="11">
        <f>'Data Entries - EquityNoteSAFE'!GI815</f>
        <v>0</v>
      </c>
    </row>
    <row r="945" spans="1:1" ht="13.2">
      <c r="A945" s="11">
        <f>'Data Entries - EquityNoteSAFE'!GI816</f>
        <v>0</v>
      </c>
    </row>
    <row r="946" spans="1:1" ht="13.2">
      <c r="A946" s="11">
        <f>'Data Entries - EquityNoteSAFE'!GI817</f>
        <v>0</v>
      </c>
    </row>
    <row r="947" spans="1:1" ht="13.2">
      <c r="A947" s="11">
        <f>'Data Entries - EquityNoteSAFE'!GI818</f>
        <v>0</v>
      </c>
    </row>
    <row r="948" spans="1:1" ht="13.2">
      <c r="A948" s="11">
        <f>'Data Entries - EquityNoteSAFE'!GI819</f>
        <v>0</v>
      </c>
    </row>
    <row r="949" spans="1:1" ht="13.2">
      <c r="A949" s="11">
        <f>'Data Entries - EquityNoteSAFE'!GI820</f>
        <v>0</v>
      </c>
    </row>
    <row r="950" spans="1:1" ht="13.2">
      <c r="A950" s="11">
        <f>'Data Entries - EquityNoteSAFE'!GI821</f>
        <v>0</v>
      </c>
    </row>
    <row r="951" spans="1:1" ht="13.2">
      <c r="A951" s="11">
        <f>'Data Entries - EquityNoteSAFE'!GI822</f>
        <v>0</v>
      </c>
    </row>
    <row r="952" spans="1:1" ht="13.2">
      <c r="A952" s="11">
        <f>'Data Entries - EquityNoteSAFE'!GI823</f>
        <v>0</v>
      </c>
    </row>
    <row r="953" spans="1:1" ht="13.2">
      <c r="A953" s="11">
        <f>'Data Entries - EquityNoteSAFE'!GI824</f>
        <v>0</v>
      </c>
    </row>
    <row r="954" spans="1:1" ht="13.2">
      <c r="A954" s="11">
        <f>'Data Entries - EquityNoteSAFE'!GI825</f>
        <v>0</v>
      </c>
    </row>
    <row r="955" spans="1:1" ht="13.2">
      <c r="A955" s="11">
        <f>'Data Entries - EquityNoteSAFE'!GI826</f>
        <v>0</v>
      </c>
    </row>
    <row r="956" spans="1:1" ht="13.2">
      <c r="A956" s="11">
        <f>'Data Entries - EquityNoteSAFE'!GI827</f>
        <v>0</v>
      </c>
    </row>
    <row r="957" spans="1:1" ht="13.2">
      <c r="A957" s="11">
        <f>'Data Entries - EquityNoteSAFE'!GI828</f>
        <v>0</v>
      </c>
    </row>
    <row r="958" spans="1:1" ht="13.2">
      <c r="A958" s="11">
        <f>'Data Entries - EquityNoteSAFE'!GI829</f>
        <v>0</v>
      </c>
    </row>
    <row r="959" spans="1:1" ht="13.2">
      <c r="A959" s="11">
        <f>'Data Entries - EquityNoteSAFE'!GI830</f>
        <v>0</v>
      </c>
    </row>
    <row r="960" spans="1:1" ht="13.2">
      <c r="A960" s="11">
        <f>'Data Entries - EquityNoteSAFE'!GI831</f>
        <v>0</v>
      </c>
    </row>
    <row r="961" spans="1:1" ht="13.2">
      <c r="A961" s="11">
        <f>'Data Entries - EquityNoteSAFE'!GI832</f>
        <v>0</v>
      </c>
    </row>
    <row r="962" spans="1:1" ht="13.2">
      <c r="A962" s="11">
        <f>'Data Entries - EquityNoteSAFE'!GI833</f>
        <v>0</v>
      </c>
    </row>
    <row r="963" spans="1:1" ht="13.2">
      <c r="A963" s="11">
        <f>'Data Entries - EquityNoteSAFE'!GI834</f>
        <v>0</v>
      </c>
    </row>
    <row r="964" spans="1:1" ht="13.2">
      <c r="A964" s="11">
        <f>'Data Entries - EquityNoteSAFE'!GI835</f>
        <v>0</v>
      </c>
    </row>
    <row r="965" spans="1:1" ht="13.2">
      <c r="A965" s="11">
        <f>'Data Entries - EquityNoteSAFE'!GI836</f>
        <v>0</v>
      </c>
    </row>
    <row r="966" spans="1:1" ht="13.2">
      <c r="A966" s="11">
        <f>'Data Entries - EquityNoteSAFE'!GI837</f>
        <v>0</v>
      </c>
    </row>
    <row r="967" spans="1:1" ht="13.2">
      <c r="A967" s="11">
        <f>'Data Entries - EquityNoteSAFE'!GI838</f>
        <v>0</v>
      </c>
    </row>
    <row r="968" spans="1:1" ht="13.2">
      <c r="A968" s="11">
        <f>'Data Entries - EquityNoteSAFE'!GI839</f>
        <v>0</v>
      </c>
    </row>
    <row r="969" spans="1:1" ht="13.2">
      <c r="A969" s="11">
        <f>'Data Entries - EquityNoteSAFE'!GI840</f>
        <v>0</v>
      </c>
    </row>
    <row r="970" spans="1:1" ht="13.2">
      <c r="A970" s="11">
        <f>'Data Entries - EquityNoteSAFE'!GI841</f>
        <v>0</v>
      </c>
    </row>
    <row r="971" spans="1:1" ht="13.2">
      <c r="A971" s="11">
        <f>'Data Entries - EquityNoteSAFE'!GI842</f>
        <v>0</v>
      </c>
    </row>
    <row r="972" spans="1:1" ht="13.2">
      <c r="A972" s="11">
        <f>'Data Entries - EquityNoteSAFE'!GI843</f>
        <v>0</v>
      </c>
    </row>
    <row r="973" spans="1:1" ht="13.2">
      <c r="A973" s="11">
        <f>'Data Entries - EquityNoteSAFE'!GI844</f>
        <v>0</v>
      </c>
    </row>
    <row r="974" spans="1:1" ht="13.2">
      <c r="A974" s="11">
        <f>'Data Entries - EquityNoteSAFE'!GI845</f>
        <v>0</v>
      </c>
    </row>
    <row r="975" spans="1:1" ht="13.2">
      <c r="A975" s="11">
        <f>'Data Entries - EquityNoteSAFE'!GI846</f>
        <v>0</v>
      </c>
    </row>
    <row r="976" spans="1:1" ht="13.2">
      <c r="A976" s="11">
        <f>'Data Entries - EquityNoteSAFE'!GI847</f>
        <v>0</v>
      </c>
    </row>
    <row r="977" spans="1:1" ht="13.2">
      <c r="A977" s="11">
        <f>'Data Entries - EquityNoteSAFE'!GI848</f>
        <v>0</v>
      </c>
    </row>
    <row r="978" spans="1:1" ht="13.2">
      <c r="A978" s="11">
        <f>'Data Entries - EquityNoteSAFE'!GI849</f>
        <v>0</v>
      </c>
    </row>
    <row r="979" spans="1:1" ht="13.2">
      <c r="A979" s="11">
        <f>'Data Entries - EquityNoteSAFE'!GI850</f>
        <v>0</v>
      </c>
    </row>
    <row r="980" spans="1:1" ht="13.2">
      <c r="A980" s="11">
        <f>'Data Entries - EquityNoteSAFE'!GI851</f>
        <v>0</v>
      </c>
    </row>
    <row r="981" spans="1:1" ht="13.2">
      <c r="A981" s="11">
        <f>'Data Entries - EquityNoteSAFE'!GI852</f>
        <v>0</v>
      </c>
    </row>
    <row r="982" spans="1:1" ht="13.2">
      <c r="A982" s="11">
        <f>'Data Entries - EquityNoteSAFE'!GI853</f>
        <v>0</v>
      </c>
    </row>
    <row r="983" spans="1:1" ht="13.2">
      <c r="A983" s="11">
        <f>'Data Entries - EquityNoteSAFE'!GI854</f>
        <v>0</v>
      </c>
    </row>
    <row r="984" spans="1:1" ht="13.2">
      <c r="A984" s="11">
        <f>'Data Entries - EquityNoteSAFE'!GI855</f>
        <v>0</v>
      </c>
    </row>
    <row r="985" spans="1:1" ht="13.2">
      <c r="A985" s="11">
        <f>'Data Entries - EquityNoteSAFE'!GI856</f>
        <v>0</v>
      </c>
    </row>
    <row r="986" spans="1:1" ht="13.2">
      <c r="A986" s="11">
        <f>'Data Entries - EquityNoteSAFE'!GI857</f>
        <v>0</v>
      </c>
    </row>
    <row r="987" spans="1:1" ht="13.2">
      <c r="A987" s="11">
        <f>'Data Entries - EquityNoteSAFE'!GI858</f>
        <v>0</v>
      </c>
    </row>
    <row r="988" spans="1:1" ht="13.2">
      <c r="A988" s="11">
        <f>'Data Entries - EquityNoteSAFE'!GI859</f>
        <v>0</v>
      </c>
    </row>
    <row r="989" spans="1:1" ht="13.2">
      <c r="A989" s="11">
        <f>'Data Entries - EquityNoteSAFE'!GI860</f>
        <v>0</v>
      </c>
    </row>
    <row r="990" spans="1:1" ht="13.2">
      <c r="A990" s="11">
        <f>'Data Entries - EquityNoteSAFE'!GI861</f>
        <v>0</v>
      </c>
    </row>
    <row r="991" spans="1:1" ht="13.2">
      <c r="A991" s="11">
        <f>'Data Entries - EquityNoteSAFE'!GI862</f>
        <v>0</v>
      </c>
    </row>
    <row r="992" spans="1:1" ht="13.2">
      <c r="A992" s="11">
        <f>'Data Entries - EquityNoteSAFE'!GI863</f>
        <v>0</v>
      </c>
    </row>
    <row r="993" spans="1:1" ht="13.2">
      <c r="A993" s="11">
        <f>'Data Entries - EquityNoteSAFE'!GI864</f>
        <v>0</v>
      </c>
    </row>
    <row r="994" spans="1:1" ht="13.2">
      <c r="A994" s="11">
        <f>'Data Entries - EquityNoteSAFE'!GI865</f>
        <v>0</v>
      </c>
    </row>
    <row r="995" spans="1:1" ht="13.2">
      <c r="A995" s="11">
        <f>'Data Entries - EquityNoteSAFE'!GI866</f>
        <v>0</v>
      </c>
    </row>
    <row r="996" spans="1:1" ht="13.2">
      <c r="A996" s="11">
        <f>'Data Entries - EquityNoteSAFE'!GI867</f>
        <v>0</v>
      </c>
    </row>
    <row r="997" spans="1:1" ht="13.2">
      <c r="A997" s="11">
        <f>'Data Entries - EquityNoteSAFE'!GI868</f>
        <v>0</v>
      </c>
    </row>
    <row r="998" spans="1:1" ht="13.2">
      <c r="A998" s="11">
        <f>'Data Entries - EquityNoteSAFE'!GI869</f>
        <v>0</v>
      </c>
    </row>
    <row r="999" spans="1:1" ht="13.2">
      <c r="A999" s="11">
        <f>'Data Entries - EquityNoteSAFE'!GI870</f>
        <v>0</v>
      </c>
    </row>
    <row r="1000" spans="1:1" ht="13.2">
      <c r="A1000" s="11">
        <f>'Data Entries - EquityNoteSAFE'!GI871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I1000"/>
  <sheetViews>
    <sheetView workbookViewId="0"/>
  </sheetViews>
  <sheetFormatPr defaultColWidth="14.44140625" defaultRowHeight="15.75" customHeight="1"/>
  <cols>
    <col min="4" max="4" width="25.33203125" customWidth="1"/>
  </cols>
  <sheetData>
    <row r="1" spans="1:35" ht="15.75" customHeight="1">
      <c r="A1" s="28" t="s">
        <v>678</v>
      </c>
      <c r="B1" s="28" t="s">
        <v>552</v>
      </c>
      <c r="F1" s="73"/>
      <c r="G1" s="54"/>
      <c r="J1" s="54"/>
      <c r="K1" s="54"/>
      <c r="L1" s="54"/>
      <c r="M1" s="54" t="s">
        <v>679</v>
      </c>
      <c r="S1" s="213" t="s">
        <v>680</v>
      </c>
      <c r="AA1" s="54" t="s">
        <v>574</v>
      </c>
    </row>
    <row r="2" spans="1:35" ht="15.75" customHeight="1">
      <c r="A2" s="11">
        <v>2.192982456140351</v>
      </c>
      <c r="B2" s="11">
        <v>2.2000000000000002</v>
      </c>
      <c r="F2" s="214"/>
      <c r="G2" s="215"/>
      <c r="H2" s="16">
        <v>0.05</v>
      </c>
      <c r="I2">
        <f t="shared" ref="I2:I21" si="0">PERCENTILE($L$2:$L$263, H2)</f>
        <v>639.79999999999995</v>
      </c>
      <c r="J2" s="214">
        <f>COUNTIF($M$2:$M$263,"&lt;="&amp;I2)</f>
        <v>121</v>
      </c>
      <c r="K2" s="216">
        <v>1</v>
      </c>
      <c r="L2" s="215" t="str">
        <f t="shared" ref="L2:L263" si="1">IF(M2&gt;0, M2, "")</f>
        <v/>
      </c>
      <c r="M2" s="215">
        <v>0</v>
      </c>
      <c r="N2" s="215">
        <f>(MAX(M2:M263)-MIN(M2:M263))/16</f>
        <v>1152639.125</v>
      </c>
      <c r="P2" s="16" t="s">
        <v>686</v>
      </c>
      <c r="Q2" s="16">
        <v>1</v>
      </c>
      <c r="S2" s="217">
        <v>1</v>
      </c>
      <c r="T2" s="16" t="s">
        <v>687</v>
      </c>
      <c r="U2" s="217">
        <f>MAX(S2:S263)</f>
        <v>1</v>
      </c>
      <c r="V2" s="217"/>
      <c r="AA2" s="215">
        <v>0</v>
      </c>
      <c r="AC2" s="215">
        <f ca="1">IFERROR(__xludf.DUMMYFUNCTION("UNIQUE(AA2:AA263)"),0)</f>
        <v>0</v>
      </c>
    </row>
    <row r="3" spans="1:35" ht="15.75" customHeight="1">
      <c r="A3" s="11">
        <v>3.1754385964912282</v>
      </c>
      <c r="B3" s="11">
        <v>2.9000000000000004</v>
      </c>
      <c r="F3" s="214"/>
      <c r="G3" s="215"/>
      <c r="H3" s="16">
        <v>0.1</v>
      </c>
      <c r="I3">
        <f t="shared" si="0"/>
        <v>2376.8000000000002</v>
      </c>
      <c r="J3" s="214">
        <f t="shared" ref="J3:J21" si="2">COUNTIF($M$2:$M$263,"&lt;="&amp;I3) - COUNTIF($M$2:$M$263,"&lt;="&amp;I2)</f>
        <v>7</v>
      </c>
      <c r="K3" s="216">
        <v>1.2</v>
      </c>
      <c r="L3" s="215" t="str">
        <f t="shared" si="1"/>
        <v/>
      </c>
      <c r="M3" s="215">
        <v>0</v>
      </c>
      <c r="P3" s="16" t="s">
        <v>225</v>
      </c>
      <c r="Q3" s="16">
        <v>2</v>
      </c>
      <c r="S3" s="217">
        <v>6.1753561685359198E-2</v>
      </c>
      <c r="T3" s="16" t="s">
        <v>688</v>
      </c>
      <c r="U3" s="217">
        <f>MIN(S2:S263)</f>
        <v>2.7620632279534109E-5</v>
      </c>
      <c r="V3" s="217">
        <v>6.1753561685359198E-2</v>
      </c>
      <c r="W3" s="217">
        <f>MAX(V3:V163)</f>
        <v>0.91877753080446367</v>
      </c>
      <c r="X3" s="16" t="s">
        <v>163</v>
      </c>
      <c r="AA3" s="215">
        <v>659800</v>
      </c>
      <c r="AC3" s="215">
        <f ca="1">IFERROR(__xludf.DUMMYFUNCTION("""COMPUTED_VALUE"""),659800)</f>
        <v>659800</v>
      </c>
      <c r="AD3" s="215">
        <f ca="1">MEDIAN(AC2:AC152)</f>
        <v>491578</v>
      </c>
      <c r="AF3" s="16">
        <v>0.05</v>
      </c>
      <c r="AH3" s="73">
        <v>1</v>
      </c>
      <c r="AI3">
        <f t="shared" ref="AI3:AI22" si="3">ROUND(1+((AH3-MIN($AH$3:$AH$22))*(4)/(MAX($AH$3:$AH$22) - MIN($AH$3:$AH$22))),1)</f>
        <v>1</v>
      </c>
    </row>
    <row r="4" spans="1:35" ht="15.75" customHeight="1">
      <c r="A4" s="11">
        <v>3.5964912280701755</v>
      </c>
      <c r="B4" s="11">
        <v>3.2</v>
      </c>
      <c r="F4" s="214"/>
      <c r="G4" s="215"/>
      <c r="H4" s="16">
        <v>0.15</v>
      </c>
      <c r="I4">
        <f t="shared" si="0"/>
        <v>8266.5999999999985</v>
      </c>
      <c r="J4" s="214">
        <f t="shared" si="2"/>
        <v>8</v>
      </c>
      <c r="K4" s="216">
        <v>1.4</v>
      </c>
      <c r="L4" s="215" t="str">
        <f t="shared" si="1"/>
        <v/>
      </c>
      <c r="M4" s="215">
        <v>0</v>
      </c>
      <c r="P4" s="16" t="s">
        <v>239</v>
      </c>
      <c r="Q4" s="16">
        <v>3</v>
      </c>
      <c r="S4" s="217">
        <v>1</v>
      </c>
      <c r="V4" s="217">
        <v>2.3093978494623656E-2</v>
      </c>
      <c r="W4" s="217">
        <f>MIN(V3:V163)</f>
        <v>2.7620632279534109E-5</v>
      </c>
      <c r="X4" s="16" t="s">
        <v>191</v>
      </c>
      <c r="AA4" s="215">
        <v>0</v>
      </c>
      <c r="AC4" s="215">
        <f ca="1">IFERROR(__xludf.DUMMYFUNCTION("""COMPUTED_VALUE"""),9300000)</f>
        <v>9300000</v>
      </c>
      <c r="AF4" s="16">
        <v>0.1</v>
      </c>
      <c r="AH4" s="73">
        <v>2</v>
      </c>
      <c r="AI4">
        <f t="shared" si="3"/>
        <v>1.2</v>
      </c>
    </row>
    <row r="5" spans="1:35" ht="15.75" customHeight="1">
      <c r="A5" s="11">
        <v>2.0526315789473677</v>
      </c>
      <c r="B5" s="11">
        <v>2.0999999999999996</v>
      </c>
      <c r="F5" s="214"/>
      <c r="G5" s="215"/>
      <c r="H5" s="16">
        <v>0.2</v>
      </c>
      <c r="I5">
        <f t="shared" si="0"/>
        <v>12704.800000000001</v>
      </c>
      <c r="J5" s="214">
        <f t="shared" si="2"/>
        <v>7</v>
      </c>
      <c r="K5" s="216">
        <v>1.6</v>
      </c>
      <c r="L5" s="215" t="str">
        <f t="shared" si="1"/>
        <v/>
      </c>
      <c r="M5" s="215">
        <v>0</v>
      </c>
      <c r="P5" s="16" t="s">
        <v>188</v>
      </c>
      <c r="Q5" s="16">
        <v>4</v>
      </c>
      <c r="S5" s="217">
        <v>1</v>
      </c>
      <c r="V5" s="217">
        <v>5.4997347480106103E-2</v>
      </c>
      <c r="X5" s="16" t="s">
        <v>210</v>
      </c>
      <c r="AA5" s="215">
        <v>0</v>
      </c>
      <c r="AC5" s="215">
        <f ca="1">IFERROR(__xludf.DUMMYFUNCTION("""COMPUTED_VALUE"""),377000)</f>
        <v>377000</v>
      </c>
      <c r="AF5" s="16">
        <v>0.15</v>
      </c>
      <c r="AH5" s="73">
        <v>3</v>
      </c>
      <c r="AI5">
        <f t="shared" si="3"/>
        <v>1.4</v>
      </c>
    </row>
    <row r="6" spans="1:35" ht="15.75" customHeight="1">
      <c r="A6" s="11">
        <v>3.5964912280701755</v>
      </c>
      <c r="B6" s="11">
        <v>3.2</v>
      </c>
      <c r="F6" s="214"/>
      <c r="G6" s="215"/>
      <c r="H6" s="16">
        <v>0.25</v>
      </c>
      <c r="I6">
        <f t="shared" si="0"/>
        <v>19793</v>
      </c>
      <c r="J6" s="214">
        <f t="shared" si="2"/>
        <v>8</v>
      </c>
      <c r="K6" s="216">
        <v>1.8</v>
      </c>
      <c r="L6" s="215">
        <f t="shared" si="1"/>
        <v>140</v>
      </c>
      <c r="M6" s="215">
        <v>140</v>
      </c>
      <c r="P6" s="16" t="s">
        <v>262</v>
      </c>
      <c r="Q6" s="16">
        <v>5</v>
      </c>
      <c r="S6" s="217">
        <v>1</v>
      </c>
      <c r="V6" s="217">
        <v>5.5526738581592842E-2</v>
      </c>
      <c r="X6" s="16" t="s">
        <v>226</v>
      </c>
      <c r="AA6" s="215">
        <v>0</v>
      </c>
      <c r="AC6" s="215">
        <f ca="1">IFERROR(__xludf.DUMMYFUNCTION("""COMPUTED_VALUE"""),435700)</f>
        <v>435700</v>
      </c>
      <c r="AF6" s="16">
        <v>0.2</v>
      </c>
      <c r="AH6" s="73">
        <v>4</v>
      </c>
      <c r="AI6">
        <f t="shared" si="3"/>
        <v>1.6</v>
      </c>
    </row>
    <row r="7" spans="1:35" ht="15.75" customHeight="1">
      <c r="A7" s="11">
        <v>2.4035087719298236</v>
      </c>
      <c r="B7" s="11">
        <v>2.3499999999999996</v>
      </c>
      <c r="F7" s="214"/>
      <c r="G7" s="215"/>
      <c r="H7" s="16">
        <v>0.3</v>
      </c>
      <c r="I7">
        <f t="shared" si="0"/>
        <v>43421.599999999991</v>
      </c>
      <c r="J7" s="214">
        <f t="shared" si="2"/>
        <v>7</v>
      </c>
      <c r="K7" s="216">
        <v>2.1</v>
      </c>
      <c r="L7" s="215" t="str">
        <f t="shared" si="1"/>
        <v/>
      </c>
      <c r="M7" s="215">
        <v>0</v>
      </c>
      <c r="P7" s="16" t="s">
        <v>273</v>
      </c>
      <c r="Q7" s="16">
        <v>6</v>
      </c>
      <c r="S7" s="217">
        <v>2.3093978494623656E-2</v>
      </c>
      <c r="V7" s="217">
        <v>2.6085454545454547E-2</v>
      </c>
      <c r="X7" s="16" t="s">
        <v>241</v>
      </c>
      <c r="AA7" s="215">
        <v>9300000</v>
      </c>
      <c r="AC7" s="215">
        <f ca="1">IFERROR(__xludf.DUMMYFUNCTION("""COMPUTED_VALUE"""),550000)</f>
        <v>550000</v>
      </c>
      <c r="AF7" s="16">
        <v>0.25</v>
      </c>
      <c r="AH7" s="73">
        <v>5</v>
      </c>
      <c r="AI7">
        <f t="shared" si="3"/>
        <v>1.8</v>
      </c>
    </row>
    <row r="8" spans="1:35" ht="15.75" customHeight="1">
      <c r="A8" s="11">
        <v>1.6315789473684208</v>
      </c>
      <c r="B8" s="11">
        <v>1.7999999999999998</v>
      </c>
      <c r="F8" s="214"/>
      <c r="G8" s="215"/>
      <c r="H8" s="16">
        <v>0.35</v>
      </c>
      <c r="I8">
        <f t="shared" si="0"/>
        <v>55716.999999999993</v>
      </c>
      <c r="J8" s="214">
        <f t="shared" si="2"/>
        <v>7</v>
      </c>
      <c r="K8" s="216">
        <v>2.2999999999999998</v>
      </c>
      <c r="L8" s="215" t="str">
        <f t="shared" si="1"/>
        <v/>
      </c>
      <c r="M8" s="215">
        <v>0</v>
      </c>
      <c r="P8" s="16" t="s">
        <v>284</v>
      </c>
      <c r="Q8" s="16">
        <v>7</v>
      </c>
      <c r="S8" s="217">
        <v>1</v>
      </c>
      <c r="V8" s="217">
        <v>1.8367545481077926E-3</v>
      </c>
      <c r="X8" s="16" t="s">
        <v>251</v>
      </c>
      <c r="AA8" s="215">
        <v>0</v>
      </c>
      <c r="AC8" s="215">
        <f ca="1">IFERROR(__xludf.DUMMYFUNCTION("""COMPUTED_VALUE"""),513950)</f>
        <v>513950</v>
      </c>
      <c r="AF8" s="16">
        <v>0.3</v>
      </c>
      <c r="AH8" s="73">
        <v>6</v>
      </c>
      <c r="AI8">
        <f t="shared" si="3"/>
        <v>2.1</v>
      </c>
    </row>
    <row r="9" spans="1:35" ht="15.75" customHeight="1">
      <c r="A9" s="11">
        <v>1.7719298245614032</v>
      </c>
      <c r="B9" s="11">
        <v>1.9</v>
      </c>
      <c r="F9" s="214"/>
      <c r="G9" s="215"/>
      <c r="H9" s="16">
        <v>0.4</v>
      </c>
      <c r="I9">
        <f t="shared" si="0"/>
        <v>70914.400000000009</v>
      </c>
      <c r="J9" s="214">
        <f t="shared" si="2"/>
        <v>8</v>
      </c>
      <c r="K9" s="216">
        <v>2.5</v>
      </c>
      <c r="L9" s="215">
        <f t="shared" si="1"/>
        <v>2183575</v>
      </c>
      <c r="M9" s="215">
        <v>2183575</v>
      </c>
      <c r="P9" s="16" t="s">
        <v>689</v>
      </c>
      <c r="Q9" s="16">
        <v>8</v>
      </c>
      <c r="S9" s="217">
        <v>1</v>
      </c>
      <c r="V9" s="217">
        <v>2.7775000000000001E-2</v>
      </c>
      <c r="X9" s="16" t="s">
        <v>263</v>
      </c>
      <c r="AA9" s="215">
        <v>0</v>
      </c>
      <c r="AC9" s="215">
        <f ca="1">IFERROR(__xludf.DUMMYFUNCTION("""COMPUTED_VALUE"""),200000)</f>
        <v>200000</v>
      </c>
      <c r="AF9" s="16">
        <v>0.35</v>
      </c>
      <c r="AH9" s="73">
        <v>7</v>
      </c>
      <c r="AI9">
        <f t="shared" si="3"/>
        <v>2.2999999999999998</v>
      </c>
    </row>
    <row r="10" spans="1:35" ht="15.75" customHeight="1">
      <c r="A10" s="11">
        <v>1.2105263157894735</v>
      </c>
      <c r="B10" s="11">
        <v>1.5</v>
      </c>
      <c r="F10" s="214"/>
      <c r="G10" s="215"/>
      <c r="H10" s="16">
        <v>0.45</v>
      </c>
      <c r="I10">
        <f t="shared" si="0"/>
        <v>96419.600000000035</v>
      </c>
      <c r="J10" s="214">
        <f t="shared" si="2"/>
        <v>7</v>
      </c>
      <c r="K10" s="216">
        <v>2.7</v>
      </c>
      <c r="L10" s="215" t="str">
        <f t="shared" si="1"/>
        <v/>
      </c>
      <c r="M10" s="215">
        <v>0</v>
      </c>
      <c r="P10" s="16" t="s">
        <v>690</v>
      </c>
      <c r="Q10" s="16">
        <v>9</v>
      </c>
      <c r="S10" s="217">
        <v>1</v>
      </c>
      <c r="V10" s="217">
        <v>2.8198979591836735E-2</v>
      </c>
      <c r="X10" s="16" t="s">
        <v>275</v>
      </c>
      <c r="AA10" s="215">
        <v>0</v>
      </c>
      <c r="AC10" s="215">
        <f ca="1">IFERROR(__xludf.DUMMYFUNCTION("""COMPUTED_VALUE"""),4900000)</f>
        <v>4900000</v>
      </c>
      <c r="AF10" s="16">
        <v>0.4</v>
      </c>
      <c r="AH10" s="73">
        <v>8</v>
      </c>
      <c r="AI10">
        <f t="shared" si="3"/>
        <v>2.5</v>
      </c>
    </row>
    <row r="11" spans="1:35" ht="15.75" customHeight="1">
      <c r="A11" s="11">
        <v>1.9824561403508767</v>
      </c>
      <c r="B11" s="11">
        <v>2.0499999999999998</v>
      </c>
      <c r="F11" s="214"/>
      <c r="G11" s="215"/>
      <c r="H11" s="16">
        <v>0.5</v>
      </c>
      <c r="I11">
        <f t="shared" si="0"/>
        <v>129750</v>
      </c>
      <c r="J11" s="214">
        <f t="shared" si="2"/>
        <v>8</v>
      </c>
      <c r="K11" s="216">
        <v>2.9</v>
      </c>
      <c r="L11" s="215">
        <f t="shared" si="1"/>
        <v>1258601</v>
      </c>
      <c r="M11" s="215">
        <v>1258601</v>
      </c>
      <c r="P11" s="16" t="s">
        <v>693</v>
      </c>
      <c r="Q11" s="16">
        <v>10</v>
      </c>
      <c r="S11" s="217">
        <v>1</v>
      </c>
      <c r="V11" s="217">
        <v>7.9777634596416874E-2</v>
      </c>
      <c r="X11" s="16" t="s">
        <v>285</v>
      </c>
      <c r="AA11" s="215">
        <v>0</v>
      </c>
      <c r="AC11" s="215">
        <f ca="1">IFERROR(__xludf.DUMMYFUNCTION("""COMPUTED_VALUE"""),3274790)</f>
        <v>3274790</v>
      </c>
      <c r="AF11" s="16">
        <v>0.45</v>
      </c>
      <c r="AH11" s="73">
        <v>9</v>
      </c>
      <c r="AI11">
        <f t="shared" si="3"/>
        <v>2.7</v>
      </c>
    </row>
    <row r="12" spans="1:35" ht="15.75" customHeight="1">
      <c r="A12" s="11">
        <v>2.8245614035087714</v>
      </c>
      <c r="B12" s="11">
        <v>2.65</v>
      </c>
      <c r="F12" s="214"/>
      <c r="G12" s="215"/>
      <c r="H12" s="16">
        <v>0.55000000000000004</v>
      </c>
      <c r="I12">
        <f t="shared" si="0"/>
        <v>194766.20000000004</v>
      </c>
      <c r="J12" s="214">
        <f t="shared" si="2"/>
        <v>7</v>
      </c>
      <c r="K12" s="216">
        <v>3.1</v>
      </c>
      <c r="L12" s="215">
        <f t="shared" si="1"/>
        <v>853807</v>
      </c>
      <c r="M12" s="215">
        <v>853807</v>
      </c>
      <c r="P12" s="16" t="s">
        <v>695</v>
      </c>
      <c r="Q12" s="16">
        <v>11</v>
      </c>
      <c r="S12" s="217">
        <v>5.4997347480106103E-2</v>
      </c>
      <c r="V12" s="217">
        <v>6.1416666666666668E-3</v>
      </c>
      <c r="X12" s="16" t="s">
        <v>240</v>
      </c>
      <c r="AA12" s="215">
        <v>377000</v>
      </c>
      <c r="AC12" s="215">
        <f ca="1">IFERROR(__xludf.DUMMYFUNCTION("""COMPUTED_VALUE"""),600000)</f>
        <v>600000</v>
      </c>
      <c r="AF12" s="16">
        <v>0.5</v>
      </c>
      <c r="AH12" s="73">
        <v>10</v>
      </c>
      <c r="AI12">
        <f t="shared" si="3"/>
        <v>2.9</v>
      </c>
    </row>
    <row r="13" spans="1:35" ht="15.75" customHeight="1">
      <c r="A13" s="11">
        <v>2.192982456140351</v>
      </c>
      <c r="B13" s="11">
        <v>2.2000000000000002</v>
      </c>
      <c r="F13" s="214"/>
      <c r="G13" s="215"/>
      <c r="H13" s="16">
        <v>0.6</v>
      </c>
      <c r="I13">
        <f t="shared" si="0"/>
        <v>284651.39999999997</v>
      </c>
      <c r="J13" s="214">
        <f t="shared" si="2"/>
        <v>7</v>
      </c>
      <c r="K13" s="216">
        <v>3.3</v>
      </c>
      <c r="L13" s="215" t="str">
        <f t="shared" si="1"/>
        <v/>
      </c>
      <c r="M13" s="215">
        <v>0</v>
      </c>
      <c r="P13" s="16" t="s">
        <v>698</v>
      </c>
      <c r="Q13" s="16">
        <v>12</v>
      </c>
      <c r="S13" s="217">
        <v>1</v>
      </c>
      <c r="V13" s="217">
        <v>1.07326E-2</v>
      </c>
      <c r="AA13" s="215">
        <v>0</v>
      </c>
      <c r="AC13" s="215">
        <f ca="1">IFERROR(__xludf.DUMMYFUNCTION("""COMPUTED_VALUE"""),5000000)</f>
        <v>5000000</v>
      </c>
      <c r="AF13" s="16">
        <v>0.55000000000000004</v>
      </c>
      <c r="AH13" s="73">
        <v>11</v>
      </c>
      <c r="AI13">
        <f t="shared" si="3"/>
        <v>3.1</v>
      </c>
    </row>
    <row r="14" spans="1:35" ht="15.75" customHeight="1">
      <c r="A14" s="11">
        <v>2.6140350877192979</v>
      </c>
      <c r="B14" s="11">
        <v>2.5</v>
      </c>
      <c r="F14" s="214"/>
      <c r="G14" s="215"/>
      <c r="H14" s="16">
        <v>0.65</v>
      </c>
      <c r="I14">
        <f t="shared" si="0"/>
        <v>327412.60000000003</v>
      </c>
      <c r="J14" s="214">
        <f t="shared" si="2"/>
        <v>8</v>
      </c>
      <c r="K14" s="216">
        <v>3.5</v>
      </c>
      <c r="L14" s="215">
        <f t="shared" si="1"/>
        <v>1282750</v>
      </c>
      <c r="M14" s="215">
        <v>1282750</v>
      </c>
      <c r="S14" s="217">
        <v>5.5526738581592842E-2</v>
      </c>
      <c r="V14" s="217">
        <v>4.437E-3</v>
      </c>
      <c r="AA14" s="215">
        <v>435700</v>
      </c>
      <c r="AC14" s="215">
        <f ca="1">IFERROR(__xludf.DUMMYFUNCTION("""COMPUTED_VALUE"""),2000000)</f>
        <v>2000000</v>
      </c>
      <c r="AF14" s="16">
        <v>0.6</v>
      </c>
      <c r="AH14" s="73">
        <v>12</v>
      </c>
      <c r="AI14">
        <f t="shared" si="3"/>
        <v>3.3</v>
      </c>
    </row>
    <row r="15" spans="1:35" ht="15.75" customHeight="1">
      <c r="A15" s="11">
        <v>2.8245614035087714</v>
      </c>
      <c r="B15" s="11">
        <v>2.65</v>
      </c>
      <c r="F15" s="214"/>
      <c r="G15" s="215"/>
      <c r="H15" s="16">
        <v>0.7</v>
      </c>
      <c r="I15">
        <f t="shared" si="0"/>
        <v>406815.79999999993</v>
      </c>
      <c r="J15" s="214">
        <f t="shared" si="2"/>
        <v>7</v>
      </c>
      <c r="K15" s="216">
        <v>3.7</v>
      </c>
      <c r="L15" s="215" t="str">
        <f t="shared" si="1"/>
        <v/>
      </c>
      <c r="M15" s="215">
        <v>0</v>
      </c>
      <c r="S15" s="217">
        <v>2.6085454545454547E-2</v>
      </c>
      <c r="V15" s="217">
        <v>5.8742222222222225E-3</v>
      </c>
      <c r="AA15" s="215">
        <v>550000</v>
      </c>
      <c r="AC15" s="215">
        <f ca="1">IFERROR(__xludf.DUMMYFUNCTION("""COMPUTED_VALUE"""),4500000)</f>
        <v>4500000</v>
      </c>
      <c r="AF15" s="16">
        <v>0.65</v>
      </c>
      <c r="AH15" s="73">
        <v>13</v>
      </c>
      <c r="AI15">
        <f t="shared" si="3"/>
        <v>3.5</v>
      </c>
    </row>
    <row r="16" spans="1:35" ht="15.75" customHeight="1">
      <c r="A16" s="11">
        <v>3.0350877192982453</v>
      </c>
      <c r="B16" s="11">
        <v>2.8</v>
      </c>
      <c r="F16" s="214"/>
      <c r="G16" s="215"/>
      <c r="H16" s="16">
        <v>0.75</v>
      </c>
      <c r="I16">
        <f t="shared" si="0"/>
        <v>594135</v>
      </c>
      <c r="J16" s="214">
        <f t="shared" si="2"/>
        <v>8</v>
      </c>
      <c r="K16" s="216">
        <v>3.9</v>
      </c>
      <c r="L16" s="215">
        <f t="shared" si="1"/>
        <v>489576</v>
      </c>
      <c r="M16" s="215">
        <v>489576</v>
      </c>
      <c r="S16" s="217">
        <v>1</v>
      </c>
      <c r="V16" s="217">
        <v>1.5789999999999998E-2</v>
      </c>
      <c r="AA16" s="215">
        <v>0</v>
      </c>
      <c r="AC16" s="215">
        <f ca="1">IFERROR(__xludf.DUMMYFUNCTION("""COMPUTED_VALUE"""),1715889)</f>
        <v>1715889</v>
      </c>
      <c r="AF16" s="16">
        <v>0.7</v>
      </c>
      <c r="AH16" s="73">
        <v>14</v>
      </c>
      <c r="AI16">
        <f t="shared" si="3"/>
        <v>3.7</v>
      </c>
    </row>
    <row r="17" spans="1:35" ht="13.2">
      <c r="A17" s="11">
        <v>1.2105263157894735</v>
      </c>
      <c r="B17" s="11">
        <v>1.5</v>
      </c>
      <c r="F17" s="214"/>
      <c r="G17" s="215"/>
      <c r="H17" s="16">
        <v>0.8</v>
      </c>
      <c r="I17">
        <f t="shared" si="0"/>
        <v>829690.60000000021</v>
      </c>
      <c r="J17" s="214">
        <f t="shared" si="2"/>
        <v>7</v>
      </c>
      <c r="K17" s="216">
        <v>4.2</v>
      </c>
      <c r="L17" s="215">
        <f t="shared" si="1"/>
        <v>244163</v>
      </c>
      <c r="M17" s="215">
        <v>244163</v>
      </c>
      <c r="S17" s="217">
        <v>1</v>
      </c>
      <c r="V17" s="217">
        <v>1.9922034583822149E-2</v>
      </c>
      <c r="AA17" s="215">
        <v>0</v>
      </c>
      <c r="AC17" s="215">
        <f ca="1">IFERROR(__xludf.DUMMYFUNCTION("""COMPUTED_VALUE"""),1000000)</f>
        <v>1000000</v>
      </c>
      <c r="AF17" s="16">
        <v>0.75</v>
      </c>
      <c r="AH17" s="73">
        <v>15</v>
      </c>
      <c r="AI17">
        <f t="shared" si="3"/>
        <v>3.9</v>
      </c>
    </row>
    <row r="18" spans="1:35" ht="13.2">
      <c r="A18" s="11">
        <v>2.192982456140351</v>
      </c>
      <c r="B18" s="11">
        <v>2.2000000000000002</v>
      </c>
      <c r="F18" s="214"/>
      <c r="G18" s="215"/>
      <c r="H18" s="16">
        <v>0.85</v>
      </c>
      <c r="I18">
        <f t="shared" si="0"/>
        <v>1277920.2</v>
      </c>
      <c r="J18" s="214">
        <f t="shared" si="2"/>
        <v>7</v>
      </c>
      <c r="K18" s="216">
        <v>4.4000000000000004</v>
      </c>
      <c r="L18" s="215">
        <f t="shared" si="1"/>
        <v>492684</v>
      </c>
      <c r="M18" s="215">
        <v>492684</v>
      </c>
      <c r="S18" s="217">
        <v>1</v>
      </c>
      <c r="V18" s="217">
        <v>1.11E-4</v>
      </c>
      <c r="AA18" s="215">
        <v>0</v>
      </c>
      <c r="AC18" s="215">
        <f ca="1">IFERROR(__xludf.DUMMYFUNCTION("""COMPUTED_VALUE"""),944500)</f>
        <v>944500</v>
      </c>
      <c r="AF18" s="16">
        <v>0.8</v>
      </c>
      <c r="AH18" s="73">
        <v>16</v>
      </c>
      <c r="AI18">
        <f t="shared" si="3"/>
        <v>4.2</v>
      </c>
    </row>
    <row r="19" spans="1:35" ht="13.2">
      <c r="A19" s="11">
        <v>3.0350877192982453</v>
      </c>
      <c r="B19" s="11">
        <v>2.8</v>
      </c>
      <c r="F19" s="214"/>
      <c r="G19" s="215"/>
      <c r="H19" s="16">
        <v>0.9</v>
      </c>
      <c r="I19">
        <f t="shared" si="0"/>
        <v>2106278.2000000016</v>
      </c>
      <c r="J19" s="214">
        <f t="shared" si="2"/>
        <v>8</v>
      </c>
      <c r="K19" s="216">
        <v>4.5999999999999996</v>
      </c>
      <c r="L19" s="215">
        <f t="shared" si="1"/>
        <v>52525</v>
      </c>
      <c r="M19" s="215">
        <v>52525</v>
      </c>
      <c r="S19" s="217">
        <v>1.8367545481077926E-3</v>
      </c>
      <c r="V19" s="217">
        <v>1.4938062466913711E-2</v>
      </c>
      <c r="AA19" s="215">
        <v>513950</v>
      </c>
      <c r="AC19" s="215">
        <f ca="1">IFERROR(__xludf.DUMMYFUNCTION("""COMPUTED_VALUE"""),85605)</f>
        <v>85605</v>
      </c>
      <c r="AF19" s="16">
        <v>0.85</v>
      </c>
      <c r="AH19" s="73">
        <v>17</v>
      </c>
      <c r="AI19">
        <f t="shared" si="3"/>
        <v>4.4000000000000004</v>
      </c>
    </row>
    <row r="20" spans="1:35" ht="13.2">
      <c r="A20" s="11">
        <v>2.8245614035087714</v>
      </c>
      <c r="B20" s="11">
        <v>2.65</v>
      </c>
      <c r="F20" s="214"/>
      <c r="G20" s="215"/>
      <c r="H20" s="16">
        <v>0.95</v>
      </c>
      <c r="I20">
        <f t="shared" si="0"/>
        <v>2878936.3999999994</v>
      </c>
      <c r="J20" s="214">
        <f t="shared" si="2"/>
        <v>7</v>
      </c>
      <c r="K20" s="216">
        <v>4.8</v>
      </c>
      <c r="L20" s="215">
        <f t="shared" si="1"/>
        <v>56258</v>
      </c>
      <c r="M20" s="215">
        <v>56258</v>
      </c>
      <c r="S20" s="217">
        <v>2.7775000000000001E-2</v>
      </c>
      <c r="V20" s="217">
        <v>4.7578996553939608E-2</v>
      </c>
      <c r="AA20" s="215">
        <v>200000</v>
      </c>
      <c r="AC20" s="215">
        <f ca="1">IFERROR(__xludf.DUMMYFUNCTION("""COMPUTED_VALUE"""),15000)</f>
        <v>15000</v>
      </c>
      <c r="AF20" s="16">
        <v>0.9</v>
      </c>
      <c r="AH20" s="73">
        <v>18</v>
      </c>
      <c r="AI20">
        <f t="shared" si="3"/>
        <v>4.5999999999999996</v>
      </c>
    </row>
    <row r="21" spans="1:35" ht="13.2">
      <c r="A21" s="11">
        <v>2.192982456140351</v>
      </c>
      <c r="B21" s="11">
        <v>2.2000000000000002</v>
      </c>
      <c r="F21" s="214"/>
      <c r="G21" s="215"/>
      <c r="H21" s="16">
        <v>1</v>
      </c>
      <c r="I21">
        <f t="shared" si="0"/>
        <v>18442226</v>
      </c>
      <c r="J21" s="214">
        <f t="shared" si="2"/>
        <v>8</v>
      </c>
      <c r="K21" s="216">
        <v>5</v>
      </c>
      <c r="L21" s="215" t="str">
        <f t="shared" si="1"/>
        <v/>
      </c>
      <c r="M21" s="215">
        <v>0</v>
      </c>
      <c r="S21" s="217">
        <v>2.8198979591836735E-2</v>
      </c>
      <c r="V21" s="217">
        <v>1.5666666666666666E-2</v>
      </c>
      <c r="AA21" s="215">
        <v>4900000</v>
      </c>
      <c r="AC21" s="215">
        <f ca="1">IFERROR(__xludf.DUMMYFUNCTION("""COMPUTED_VALUE"""),5100)</f>
        <v>5100</v>
      </c>
      <c r="AF21" s="16">
        <v>0.95</v>
      </c>
      <c r="AH21" s="73">
        <v>19</v>
      </c>
      <c r="AI21">
        <f t="shared" si="3"/>
        <v>4.8</v>
      </c>
    </row>
    <row r="22" spans="1:35" ht="13.2">
      <c r="A22" s="11">
        <v>3.7368421052631575</v>
      </c>
      <c r="B22" s="11">
        <v>3.3</v>
      </c>
      <c r="F22" s="214"/>
      <c r="G22" s="215"/>
      <c r="J22" s="215"/>
      <c r="K22" s="215"/>
      <c r="L22" s="215">
        <f t="shared" si="1"/>
        <v>4428320</v>
      </c>
      <c r="M22" s="215">
        <v>4428320</v>
      </c>
      <c r="S22" s="217">
        <v>7.9777634596416874E-2</v>
      </c>
      <c r="V22" s="217">
        <v>3.7647058823529408E-2</v>
      </c>
      <c r="AA22" s="215">
        <v>3274790</v>
      </c>
      <c r="AC22" s="215">
        <f ca="1">IFERROR(__xludf.DUMMYFUNCTION("""COMPUTED_VALUE"""),1150000)</f>
        <v>1150000</v>
      </c>
      <c r="AF22" s="16">
        <v>1</v>
      </c>
      <c r="AH22" s="73">
        <v>20</v>
      </c>
      <c r="AI22">
        <f t="shared" si="3"/>
        <v>5</v>
      </c>
    </row>
    <row r="23" spans="1:35" ht="13.2">
      <c r="A23" s="11">
        <v>2.4035087719298245</v>
      </c>
      <c r="B23" s="11">
        <v>2.35</v>
      </c>
      <c r="F23" s="214"/>
      <c r="G23" s="215"/>
      <c r="J23" s="215"/>
      <c r="K23" s="215"/>
      <c r="L23" s="215" t="str">
        <f t="shared" si="1"/>
        <v/>
      </c>
      <c r="M23" s="215">
        <v>0</v>
      </c>
      <c r="S23" s="217">
        <v>6.1416666666666668E-3</v>
      </c>
      <c r="V23" s="217">
        <v>1.6899130434782608E-2</v>
      </c>
      <c r="AA23" s="215">
        <v>600000</v>
      </c>
      <c r="AC23" s="215">
        <f ca="1">IFERROR(__xludf.DUMMYFUNCTION("""COMPUTED_VALUE"""),3121096)</f>
        <v>3121096</v>
      </c>
    </row>
    <row r="24" spans="1:35" ht="13.2">
      <c r="A24" s="11">
        <v>2.4035087719298245</v>
      </c>
      <c r="B24" s="11">
        <v>2.35</v>
      </c>
      <c r="F24" s="214"/>
      <c r="G24" s="215"/>
      <c r="J24" s="215"/>
      <c r="K24" s="215"/>
      <c r="L24" s="215" t="str">
        <f t="shared" si="1"/>
        <v/>
      </c>
      <c r="M24" s="215">
        <v>0</v>
      </c>
      <c r="S24" s="217">
        <v>1.07326E-2</v>
      </c>
      <c r="V24" s="217">
        <v>9.6958000000000003E-2</v>
      </c>
      <c r="AA24" s="215">
        <v>5000000</v>
      </c>
      <c r="AC24" s="215">
        <f ca="1">IFERROR(__xludf.DUMMYFUNCTION("""COMPUTED_VALUE"""),234790)</f>
        <v>234790</v>
      </c>
    </row>
    <row r="25" spans="1:35" ht="13.2">
      <c r="A25" s="11">
        <v>3.5263157894736841</v>
      </c>
      <c r="B25" s="11">
        <v>3.15</v>
      </c>
      <c r="F25" s="214"/>
      <c r="G25" s="215"/>
      <c r="J25" s="215"/>
      <c r="K25" s="215"/>
      <c r="L25" s="215">
        <f t="shared" si="1"/>
        <v>26316</v>
      </c>
      <c r="M25" s="215">
        <v>26316</v>
      </c>
      <c r="S25" s="217">
        <v>1</v>
      </c>
      <c r="V25" s="217">
        <v>1.2258193916495999E-2</v>
      </c>
      <c r="AA25" s="215">
        <v>0</v>
      </c>
      <c r="AC25" s="215">
        <f ca="1">IFERROR(__xludf.DUMMYFUNCTION("""COMPUTED_VALUE"""),1320000)</f>
        <v>1320000</v>
      </c>
    </row>
    <row r="26" spans="1:35" ht="13.2">
      <c r="A26" s="11">
        <v>2.5438596491228074</v>
      </c>
      <c r="B26" s="11">
        <v>2.4500000000000002</v>
      </c>
      <c r="F26" s="214"/>
      <c r="G26" s="215"/>
      <c r="J26" s="215"/>
      <c r="K26" s="215"/>
      <c r="L26" s="215" t="str">
        <f t="shared" si="1"/>
        <v/>
      </c>
      <c r="M26" s="54">
        <v>0</v>
      </c>
      <c r="S26" s="217">
        <v>4.437E-3</v>
      </c>
      <c r="V26" s="217">
        <v>4.3868989309595813E-3</v>
      </c>
      <c r="AA26" s="54">
        <v>2000000</v>
      </c>
      <c r="AC26" s="215">
        <f ca="1">IFERROR(__xludf.DUMMYFUNCTION("""COMPUTED_VALUE"""),570000)</f>
        <v>570000</v>
      </c>
    </row>
    <row r="27" spans="1:35" ht="13.2">
      <c r="A27" s="11">
        <v>1.9824561403508767</v>
      </c>
      <c r="B27" s="11">
        <v>2.0499999999999998</v>
      </c>
      <c r="F27" s="214"/>
      <c r="G27" s="215"/>
      <c r="J27" s="215"/>
      <c r="K27" s="215"/>
      <c r="L27" s="215" t="str">
        <f t="shared" si="1"/>
        <v/>
      </c>
      <c r="M27" s="54">
        <v>0</v>
      </c>
      <c r="S27" s="217">
        <v>5.8742222222222225E-3</v>
      </c>
      <c r="V27" s="217">
        <v>8.6243939393939401E-2</v>
      </c>
      <c r="AA27" s="54">
        <v>4500000</v>
      </c>
      <c r="AC27" s="215">
        <f ca="1">IFERROR(__xludf.DUMMYFUNCTION("""COMPUTED_VALUE"""),4601100)</f>
        <v>4601100</v>
      </c>
    </row>
    <row r="28" spans="1:35" ht="13.2">
      <c r="A28" s="11">
        <v>1</v>
      </c>
      <c r="B28" s="11">
        <v>1.35</v>
      </c>
      <c r="F28" s="214"/>
      <c r="G28" s="215"/>
      <c r="J28" s="215"/>
      <c r="K28" s="215"/>
      <c r="L28" s="215" t="str">
        <f t="shared" si="1"/>
        <v/>
      </c>
      <c r="M28" s="54">
        <v>0</v>
      </c>
      <c r="S28" s="217">
        <v>1</v>
      </c>
      <c r="V28" s="217">
        <v>1.5800000000000002E-2</v>
      </c>
      <c r="AA28" s="54">
        <v>0</v>
      </c>
      <c r="AC28" s="215">
        <f ca="1">IFERROR(__xludf.DUMMYFUNCTION("""COMPUTED_VALUE"""),2788940)</f>
        <v>2788940</v>
      </c>
    </row>
    <row r="29" spans="1:35" ht="13.2">
      <c r="A29" s="11">
        <v>4.087719298245613</v>
      </c>
      <c r="B29" s="11">
        <v>3.55</v>
      </c>
      <c r="F29" s="214"/>
      <c r="G29" s="215"/>
      <c r="J29" s="215"/>
      <c r="K29" s="215"/>
      <c r="L29" s="215" t="str">
        <f t="shared" si="1"/>
        <v/>
      </c>
      <c r="M29" s="54">
        <v>0</v>
      </c>
      <c r="S29" s="217">
        <v>1.5789999999999998E-2</v>
      </c>
      <c r="V29" s="217">
        <v>7.6674999999999993E-2</v>
      </c>
      <c r="AA29" s="54">
        <v>200000</v>
      </c>
      <c r="AC29" s="215">
        <f ca="1">IFERROR(__xludf.DUMMYFUNCTION("""COMPUTED_VALUE"""),1600000)</f>
        <v>1600000</v>
      </c>
    </row>
    <row r="30" spans="1:35" ht="13.2">
      <c r="A30" s="11">
        <v>2.192982456140351</v>
      </c>
      <c r="B30" s="11">
        <v>2.2000000000000002</v>
      </c>
      <c r="F30" s="214"/>
      <c r="G30" s="215"/>
      <c r="J30" s="215"/>
      <c r="K30" s="215"/>
      <c r="L30" s="215">
        <f t="shared" si="1"/>
        <v>16172</v>
      </c>
      <c r="M30" s="54">
        <v>16172</v>
      </c>
      <c r="S30" s="217">
        <v>1.9922034583822149E-2</v>
      </c>
      <c r="V30" s="217">
        <v>1.3819956097454957E-2</v>
      </c>
      <c r="AA30" s="54">
        <v>1715889</v>
      </c>
      <c r="AC30" s="215">
        <f ca="1">IFERROR(__xludf.DUMMYFUNCTION("""COMPUTED_VALUE"""),1234000)</f>
        <v>1234000</v>
      </c>
    </row>
    <row r="31" spans="1:35" ht="13.2">
      <c r="A31" s="11">
        <v>3.5964912280701755</v>
      </c>
      <c r="B31" s="11">
        <v>3.2</v>
      </c>
      <c r="F31" s="73"/>
      <c r="G31" s="215"/>
      <c r="J31" s="215"/>
      <c r="K31" s="215"/>
      <c r="L31" s="215" t="str">
        <f t="shared" si="1"/>
        <v/>
      </c>
      <c r="M31" s="54">
        <v>0</v>
      </c>
      <c r="S31" s="217">
        <v>1.11E-4</v>
      </c>
      <c r="V31" s="217">
        <v>2.2706834854819394E-2</v>
      </c>
      <c r="AA31" s="54">
        <v>1000000</v>
      </c>
      <c r="AC31" s="215">
        <f ca="1">IFERROR(__xludf.DUMMYFUNCTION("""COMPUTED_VALUE"""),1140000)</f>
        <v>1140000</v>
      </c>
    </row>
    <row r="32" spans="1:35" ht="13.2">
      <c r="A32" s="11">
        <v>3.0350877192982453</v>
      </c>
      <c r="B32" s="11">
        <v>2.8</v>
      </c>
      <c r="F32" s="73"/>
      <c r="G32" s="215"/>
      <c r="J32" s="215"/>
      <c r="K32" s="215"/>
      <c r="L32" s="215" t="str">
        <f t="shared" si="1"/>
        <v/>
      </c>
      <c r="M32" s="54">
        <v>0</v>
      </c>
      <c r="S32" s="217">
        <v>1</v>
      </c>
      <c r="V32" s="217">
        <v>4.8468749999999998E-2</v>
      </c>
      <c r="AA32" s="54">
        <v>0</v>
      </c>
      <c r="AC32" s="215">
        <f ca="1">IFERROR(__xludf.DUMMYFUNCTION("""COMPUTED_VALUE"""),800000)</f>
        <v>800000</v>
      </c>
    </row>
    <row r="33" spans="1:29" ht="13.2">
      <c r="A33" s="11">
        <v>2.192982456140351</v>
      </c>
      <c r="B33" s="11">
        <v>2.2000000000000002</v>
      </c>
      <c r="F33" s="73"/>
      <c r="G33" s="215"/>
      <c r="J33" s="215"/>
      <c r="K33" s="215"/>
      <c r="L33" s="215">
        <f t="shared" si="1"/>
        <v>286000</v>
      </c>
      <c r="M33" s="54">
        <v>286000</v>
      </c>
      <c r="S33" s="217">
        <v>1</v>
      </c>
      <c r="V33" s="217">
        <v>4.5352512155591572E-2</v>
      </c>
      <c r="AA33" s="54">
        <v>0</v>
      </c>
      <c r="AC33" s="215">
        <f ca="1">IFERROR(__xludf.DUMMYFUNCTION("""COMPUTED_VALUE"""),1300000)</f>
        <v>1300000</v>
      </c>
    </row>
    <row r="34" spans="1:29" ht="13.2">
      <c r="A34" s="11">
        <v>2.6140350877192979</v>
      </c>
      <c r="B34" s="11">
        <v>2.5</v>
      </c>
      <c r="F34" s="73"/>
      <c r="G34" s="215"/>
      <c r="J34" s="215"/>
      <c r="K34" s="215"/>
      <c r="L34" s="215" t="str">
        <f t="shared" si="1"/>
        <v/>
      </c>
      <c r="M34" s="54">
        <v>0</v>
      </c>
      <c r="S34" s="217">
        <v>1</v>
      </c>
      <c r="V34" s="217">
        <v>4.3549122807017546E-2</v>
      </c>
      <c r="AA34" s="54">
        <v>0</v>
      </c>
      <c r="AC34" s="215">
        <f ca="1">IFERROR(__xludf.DUMMYFUNCTION("""COMPUTED_VALUE"""),491578)</f>
        <v>491578</v>
      </c>
    </row>
    <row r="35" spans="1:29" ht="13.2">
      <c r="A35" s="11">
        <v>2.8245614035087714</v>
      </c>
      <c r="B35" s="11">
        <v>2.65</v>
      </c>
      <c r="F35" s="73"/>
      <c r="G35" s="215"/>
      <c r="J35" s="215"/>
      <c r="K35" s="215"/>
      <c r="L35" s="215" t="str">
        <f t="shared" si="1"/>
        <v/>
      </c>
      <c r="M35" s="54">
        <v>0</v>
      </c>
      <c r="S35" s="217">
        <v>1</v>
      </c>
      <c r="V35" s="217">
        <v>8.1890000000000004E-2</v>
      </c>
      <c r="AA35" s="54">
        <v>0</v>
      </c>
      <c r="AC35" s="215">
        <f ca="1">IFERROR(__xludf.DUMMYFUNCTION("""COMPUTED_VALUE"""),500000)</f>
        <v>500000</v>
      </c>
    </row>
    <row r="36" spans="1:29" ht="13.2">
      <c r="A36" s="11">
        <v>3.1052631578947367</v>
      </c>
      <c r="B36" s="11">
        <v>2.85</v>
      </c>
      <c r="F36" s="73"/>
      <c r="G36" s="215"/>
      <c r="J36" s="215"/>
      <c r="K36" s="215"/>
      <c r="L36" s="215" t="str">
        <f t="shared" si="1"/>
        <v/>
      </c>
      <c r="M36" s="54">
        <v>0</v>
      </c>
      <c r="S36" s="217">
        <v>1</v>
      </c>
      <c r="V36" s="217">
        <v>1.0821538461538462E-2</v>
      </c>
      <c r="AA36" s="54">
        <v>0</v>
      </c>
      <c r="AC36" s="215">
        <f ca="1">IFERROR(__xludf.DUMMYFUNCTION("""COMPUTED_VALUE"""),10020)</f>
        <v>10020</v>
      </c>
    </row>
    <row r="37" spans="1:29" ht="13.2">
      <c r="A37" s="11">
        <v>2.4035087719298236</v>
      </c>
      <c r="B37" s="11">
        <v>2.3499999999999996</v>
      </c>
      <c r="F37" s="73"/>
      <c r="G37" s="215"/>
      <c r="J37" s="215"/>
      <c r="K37" s="215"/>
      <c r="L37" s="215">
        <f t="shared" si="1"/>
        <v>19606</v>
      </c>
      <c r="M37" s="54">
        <v>19606</v>
      </c>
      <c r="S37" s="217">
        <v>1</v>
      </c>
      <c r="V37" s="217">
        <v>2.6237952064575715E-2</v>
      </c>
      <c r="AA37" s="54">
        <v>0</v>
      </c>
      <c r="AC37" s="215">
        <f ca="1">IFERROR(__xludf.DUMMYFUNCTION("""COMPUTED_VALUE"""),215000)</f>
        <v>215000</v>
      </c>
    </row>
    <row r="38" spans="1:29" ht="13.2">
      <c r="A38" s="11">
        <v>1</v>
      </c>
      <c r="B38" s="11">
        <v>1.35</v>
      </c>
      <c r="F38" s="73"/>
      <c r="G38" s="215"/>
      <c r="J38" s="215"/>
      <c r="K38" s="215"/>
      <c r="L38" s="215" t="str">
        <f t="shared" si="1"/>
        <v/>
      </c>
      <c r="M38" s="54">
        <v>0</v>
      </c>
      <c r="S38" s="217">
        <v>1</v>
      </c>
      <c r="V38" s="217">
        <v>3.5111999999999997E-2</v>
      </c>
      <c r="AA38" s="54">
        <v>0</v>
      </c>
      <c r="AC38" s="215">
        <f ca="1">IFERROR(__xludf.DUMMYFUNCTION("""COMPUTED_VALUE"""),3000000)</f>
        <v>3000000</v>
      </c>
    </row>
    <row r="39" spans="1:29" ht="13.2">
      <c r="A39" s="11">
        <v>2.8245614035087714</v>
      </c>
      <c r="B39" s="11">
        <v>2.65</v>
      </c>
      <c r="F39" s="73"/>
      <c r="G39" s="215"/>
      <c r="J39" s="215"/>
      <c r="K39" s="215"/>
      <c r="L39" s="215">
        <f t="shared" si="1"/>
        <v>3953</v>
      </c>
      <c r="M39" s="54">
        <v>3953</v>
      </c>
      <c r="S39" s="217">
        <v>1.4938062466913711E-2</v>
      </c>
      <c r="V39" s="217">
        <v>9.1339999999999998E-3</v>
      </c>
      <c r="AA39" s="54">
        <v>944500</v>
      </c>
      <c r="AC39" s="215">
        <f ca="1">IFERROR(__xludf.DUMMYFUNCTION("""COMPUTED_VALUE"""),35000)</f>
        <v>35000</v>
      </c>
    </row>
    <row r="40" spans="1:29" ht="13.2">
      <c r="A40" s="11">
        <v>2.4035087719298245</v>
      </c>
      <c r="B40" s="11">
        <v>2.35</v>
      </c>
      <c r="F40" s="214"/>
      <c r="G40" s="215"/>
      <c r="J40" s="215"/>
      <c r="K40" s="215"/>
      <c r="L40" s="215" t="str">
        <f t="shared" si="1"/>
        <v/>
      </c>
      <c r="M40" s="54">
        <v>0</v>
      </c>
      <c r="S40" s="217">
        <v>4.7578996553939608E-2</v>
      </c>
      <c r="V40" s="217">
        <v>0.20169660678642715</v>
      </c>
      <c r="AA40" s="54">
        <v>85605</v>
      </c>
      <c r="AC40" s="215">
        <f ca="1">IFERROR(__xludf.DUMMYFUNCTION("""COMPUTED_VALUE"""),344000)</f>
        <v>344000</v>
      </c>
    </row>
    <row r="41" spans="1:29" ht="13.2">
      <c r="A41" s="11">
        <v>2.192982456140351</v>
      </c>
      <c r="B41" s="11">
        <v>2.2000000000000002</v>
      </c>
      <c r="G41" s="215"/>
      <c r="J41" s="215"/>
      <c r="K41" s="215"/>
      <c r="L41" s="215" t="str">
        <f t="shared" si="1"/>
        <v/>
      </c>
      <c r="M41" s="54">
        <v>0</v>
      </c>
      <c r="S41" s="217">
        <v>1.5666666666666666E-2</v>
      </c>
      <c r="V41" s="217">
        <v>3.1616249999999999E-2</v>
      </c>
      <c r="AA41" s="54">
        <v>15000</v>
      </c>
      <c r="AC41" s="215">
        <f ca="1">IFERROR(__xludf.DUMMYFUNCTION("""COMPUTED_VALUE"""),250000)</f>
        <v>250000</v>
      </c>
    </row>
    <row r="42" spans="1:29" ht="13.2">
      <c r="A42" s="11">
        <v>1.4210526315789471</v>
      </c>
      <c r="B42" s="11">
        <v>1.65</v>
      </c>
      <c r="F42" s="214"/>
      <c r="G42" s="215"/>
      <c r="J42" s="215"/>
      <c r="K42" s="215"/>
      <c r="L42" s="215">
        <f t="shared" si="1"/>
        <v>317558</v>
      </c>
      <c r="M42" s="54">
        <v>317558</v>
      </c>
      <c r="S42" s="217">
        <v>1</v>
      </c>
      <c r="V42" s="217">
        <v>6.5292666666666666E-2</v>
      </c>
      <c r="AA42" s="54">
        <v>0</v>
      </c>
      <c r="AC42" s="215">
        <f ca="1">IFERROR(__xludf.DUMMYFUNCTION("""COMPUTED_VALUE"""),592741)</f>
        <v>592741</v>
      </c>
    </row>
    <row r="43" spans="1:29" ht="13.2">
      <c r="A43" s="11">
        <v>2.192982456140351</v>
      </c>
      <c r="B43" s="11">
        <v>2.2000000000000002</v>
      </c>
      <c r="G43" s="215"/>
      <c r="J43" s="215"/>
      <c r="K43" s="215"/>
      <c r="L43" s="215">
        <f t="shared" si="1"/>
        <v>2175</v>
      </c>
      <c r="M43" s="54">
        <v>2175</v>
      </c>
      <c r="S43" s="217">
        <v>1</v>
      </c>
      <c r="V43" s="217">
        <v>6.357142857142857E-2</v>
      </c>
      <c r="AA43" s="54">
        <v>0</v>
      </c>
      <c r="AC43" s="215">
        <f ca="1">IFERROR(__xludf.DUMMYFUNCTION("""COMPUTED_VALUE"""),2440000)</f>
        <v>2440000</v>
      </c>
    </row>
    <row r="44" spans="1:29" ht="13.2">
      <c r="A44" s="11">
        <v>2.6140350877192979</v>
      </c>
      <c r="B44" s="11">
        <v>2.5</v>
      </c>
      <c r="F44" s="214"/>
      <c r="G44" s="215"/>
      <c r="J44" s="215"/>
      <c r="K44" s="215"/>
      <c r="L44" s="215" t="str">
        <f t="shared" si="1"/>
        <v/>
      </c>
      <c r="M44" s="54">
        <v>0</v>
      </c>
      <c r="S44" s="217">
        <v>3.7647058823529408E-2</v>
      </c>
      <c r="V44" s="217">
        <v>4.867441860465116E-2</v>
      </c>
      <c r="AA44" s="54">
        <v>5100</v>
      </c>
      <c r="AC44" s="215">
        <f ca="1">IFERROR(__xludf.DUMMYFUNCTION("""COMPUTED_VALUE"""),1050000)</f>
        <v>1050000</v>
      </c>
    </row>
    <row r="45" spans="1:29" ht="13.2">
      <c r="A45" s="11">
        <v>3.7368421052631575</v>
      </c>
      <c r="B45" s="11">
        <v>3.3</v>
      </c>
      <c r="G45" s="215"/>
      <c r="J45" s="215"/>
      <c r="K45" s="215"/>
      <c r="L45" s="215" t="str">
        <f t="shared" si="1"/>
        <v/>
      </c>
      <c r="M45" s="54">
        <v>0</v>
      </c>
      <c r="S45" s="217">
        <v>1</v>
      </c>
      <c r="V45" s="217">
        <v>1.1560000000000001E-2</v>
      </c>
      <c r="AA45" s="54">
        <v>0</v>
      </c>
      <c r="AC45" s="215">
        <f ca="1">IFERROR(__xludf.DUMMYFUNCTION("""COMPUTED_VALUE"""),1800000)</f>
        <v>1800000</v>
      </c>
    </row>
    <row r="46" spans="1:29" ht="13.2">
      <c r="A46" s="11">
        <v>3.2456140350877192</v>
      </c>
      <c r="B46" s="11">
        <v>2.95</v>
      </c>
      <c r="F46" s="214"/>
      <c r="G46" s="215"/>
      <c r="J46" s="215"/>
      <c r="K46" s="215"/>
      <c r="L46" s="215">
        <f t="shared" si="1"/>
        <v>64847</v>
      </c>
      <c r="M46" s="54">
        <v>64847</v>
      </c>
      <c r="S46" s="217">
        <v>1.6899130434782608E-2</v>
      </c>
      <c r="V46" s="217">
        <v>1.6963333333333333E-3</v>
      </c>
      <c r="AA46" s="54">
        <v>1150000</v>
      </c>
      <c r="AC46" s="215">
        <f ca="1">IFERROR(__xludf.DUMMYFUNCTION("""COMPUTED_VALUE"""),5674579)</f>
        <v>5674579</v>
      </c>
    </row>
    <row r="47" spans="1:29" ht="13.2">
      <c r="A47" s="11">
        <v>3.3859649122807021</v>
      </c>
      <c r="B47" s="11">
        <v>3.0500000000000003</v>
      </c>
      <c r="G47" s="215"/>
      <c r="J47" s="215"/>
      <c r="K47" s="215"/>
      <c r="L47" s="215">
        <f t="shared" si="1"/>
        <v>2536240</v>
      </c>
      <c r="M47" s="54">
        <v>2536240</v>
      </c>
      <c r="S47" s="217">
        <v>9.6958000000000003E-2</v>
      </c>
      <c r="V47" s="217">
        <v>4.8874634958607551E-3</v>
      </c>
      <c r="AA47" s="54">
        <v>1000000</v>
      </c>
      <c r="AC47" s="215">
        <f ca="1">IFERROR(__xludf.DUMMYFUNCTION("""COMPUTED_VALUE"""),40000)</f>
        <v>40000</v>
      </c>
    </row>
    <row r="48" spans="1:29" ht="13.2">
      <c r="A48" s="11">
        <v>2.6140350877192979</v>
      </c>
      <c r="B48" s="11">
        <v>2.5</v>
      </c>
      <c r="F48" s="214"/>
      <c r="G48" s="215"/>
      <c r="J48" s="215"/>
      <c r="K48" s="215"/>
      <c r="L48" s="215" t="str">
        <f t="shared" si="1"/>
        <v/>
      </c>
      <c r="M48" s="54">
        <v>0</v>
      </c>
      <c r="S48" s="217">
        <v>1.2258193916495999E-2</v>
      </c>
      <c r="V48" s="217">
        <v>0.10162400000000001</v>
      </c>
      <c r="AA48" s="54">
        <v>3121096</v>
      </c>
      <c r="AC48" s="215">
        <f ca="1">IFERROR(__xludf.DUMMYFUNCTION("""COMPUTED_VALUE"""),675789)</f>
        <v>675789</v>
      </c>
    </row>
    <row r="49" spans="1:29" ht="13.2">
      <c r="A49" s="11">
        <v>2.192982456140351</v>
      </c>
      <c r="B49" s="11">
        <v>2.2000000000000002</v>
      </c>
      <c r="F49" s="214"/>
      <c r="G49" s="215"/>
      <c r="J49" s="215"/>
      <c r="K49" s="215"/>
      <c r="L49" s="215">
        <f t="shared" si="1"/>
        <v>61265</v>
      </c>
      <c r="M49" s="54">
        <v>61265</v>
      </c>
      <c r="S49" s="217">
        <v>4.3868989309595813E-3</v>
      </c>
      <c r="V49" s="217">
        <v>5.5043852459016392E-2</v>
      </c>
      <c r="AA49" s="54">
        <v>234790</v>
      </c>
      <c r="AC49" s="215">
        <f ca="1">IFERROR(__xludf.DUMMYFUNCTION("""COMPUTED_VALUE"""),131876)</f>
        <v>131876</v>
      </c>
    </row>
    <row r="50" spans="1:29" ht="13.2">
      <c r="A50" s="11">
        <v>2.8245614035087714</v>
      </c>
      <c r="B50" s="11">
        <v>2.65</v>
      </c>
      <c r="F50" s="214"/>
      <c r="G50" s="215"/>
      <c r="J50" s="215"/>
      <c r="K50" s="215"/>
      <c r="L50" s="215">
        <f t="shared" si="1"/>
        <v>369422</v>
      </c>
      <c r="M50" s="54">
        <v>369422</v>
      </c>
      <c r="S50" s="217">
        <v>1</v>
      </c>
      <c r="V50" s="217">
        <v>1.6968333333333332E-2</v>
      </c>
      <c r="AA50" s="54">
        <v>0</v>
      </c>
      <c r="AC50" s="215">
        <f ca="1">IFERROR(__xludf.DUMMYFUNCTION("""COMPUTED_VALUE"""),1400000)</f>
        <v>1400000</v>
      </c>
    </row>
    <row r="51" spans="1:29" ht="13.2">
      <c r="A51" s="11">
        <v>2.8245614035087714</v>
      </c>
      <c r="B51" s="11">
        <v>2.65</v>
      </c>
      <c r="F51" s="214"/>
      <c r="G51" s="215"/>
      <c r="J51" s="215"/>
      <c r="K51" s="215"/>
      <c r="L51" s="215" t="str">
        <f t="shared" si="1"/>
        <v/>
      </c>
      <c r="M51" s="54">
        <v>0</v>
      </c>
      <c r="S51" s="217">
        <v>1</v>
      </c>
      <c r="V51" s="217">
        <v>1.4060952380952381E-2</v>
      </c>
      <c r="AA51" s="54">
        <v>0</v>
      </c>
      <c r="AC51" s="215">
        <f ca="1">IFERROR(__xludf.DUMMYFUNCTION("""COMPUTED_VALUE"""),9000000)</f>
        <v>9000000</v>
      </c>
    </row>
    <row r="52" spans="1:29" ht="13.2">
      <c r="A52" s="11">
        <v>2.6140350877192979</v>
      </c>
      <c r="B52" s="11">
        <v>2.5</v>
      </c>
      <c r="F52" s="214"/>
      <c r="G52" s="215"/>
      <c r="J52" s="215"/>
      <c r="K52" s="215"/>
      <c r="L52" s="215">
        <f t="shared" si="1"/>
        <v>10481</v>
      </c>
      <c r="M52" s="54">
        <v>10481</v>
      </c>
      <c r="S52" s="217">
        <v>8.6243939393939401E-2</v>
      </c>
      <c r="V52" s="217">
        <v>1.9422777777777778E-2</v>
      </c>
      <c r="AA52" s="54">
        <v>1320000</v>
      </c>
      <c r="AC52" s="215">
        <f ca="1">IFERROR(__xludf.DUMMYFUNCTION("""COMPUTED_VALUE"""),3200000)</f>
        <v>3200000</v>
      </c>
    </row>
    <row r="53" spans="1:29" ht="13.2">
      <c r="A53" s="11">
        <v>2.192982456140351</v>
      </c>
      <c r="B53" s="11">
        <v>2.2000000000000002</v>
      </c>
      <c r="F53" s="214"/>
      <c r="G53" s="215"/>
      <c r="J53" s="215"/>
      <c r="K53" s="215"/>
      <c r="L53" s="215">
        <f t="shared" si="1"/>
        <v>214993</v>
      </c>
      <c r="M53" s="54">
        <v>214993</v>
      </c>
      <c r="S53" s="217">
        <v>1.5800000000000002E-2</v>
      </c>
      <c r="V53" s="217">
        <v>1.3181947066029039E-2</v>
      </c>
      <c r="AA53" s="54">
        <v>570000</v>
      </c>
      <c r="AC53" s="215">
        <f ca="1">IFERROR(__xludf.DUMMYFUNCTION("""COMPUTED_VALUE"""),44421)</f>
        <v>44421</v>
      </c>
    </row>
    <row r="54" spans="1:29" ht="13.2">
      <c r="A54" s="11">
        <v>2.8947368421052633</v>
      </c>
      <c r="B54" s="11">
        <v>2.7</v>
      </c>
      <c r="F54" s="214"/>
      <c r="G54" s="215"/>
      <c r="J54" s="215"/>
      <c r="K54" s="215"/>
      <c r="L54" s="215">
        <f t="shared" si="1"/>
        <v>3896701</v>
      </c>
      <c r="M54" s="54">
        <v>3896701</v>
      </c>
      <c r="S54" s="217">
        <v>1</v>
      </c>
      <c r="V54" s="217">
        <v>6.3799999999999996E-2</v>
      </c>
      <c r="AA54" s="54">
        <v>0</v>
      </c>
      <c r="AC54" s="215">
        <f ca="1">IFERROR(__xludf.DUMMYFUNCTION("""COMPUTED_VALUE"""),975000)</f>
        <v>975000</v>
      </c>
    </row>
    <row r="55" spans="1:29" ht="13.2">
      <c r="A55" s="11">
        <v>2.8245614035087714</v>
      </c>
      <c r="B55" s="11">
        <v>2.65</v>
      </c>
      <c r="F55" s="214"/>
      <c r="G55" s="215"/>
      <c r="J55" s="215"/>
      <c r="K55" s="215"/>
      <c r="L55" s="215" t="str">
        <f t="shared" si="1"/>
        <v/>
      </c>
      <c r="M55" s="54">
        <v>0</v>
      </c>
      <c r="S55" s="217">
        <v>1</v>
      </c>
      <c r="V55" s="217">
        <v>1.9923378450966204E-2</v>
      </c>
      <c r="AA55" s="54">
        <v>0</v>
      </c>
      <c r="AC55" s="215">
        <f ca="1">IFERROR(__xludf.DUMMYFUNCTION("""COMPUTED_VALUE"""),173798)</f>
        <v>173798</v>
      </c>
    </row>
    <row r="56" spans="1:29" ht="13.2">
      <c r="A56" s="11">
        <v>3.0350877192982453</v>
      </c>
      <c r="B56" s="11">
        <v>2.8</v>
      </c>
      <c r="F56" s="214"/>
      <c r="G56" s="215"/>
      <c r="J56" s="215"/>
      <c r="K56" s="215"/>
      <c r="L56" s="215">
        <f t="shared" si="1"/>
        <v>4682528</v>
      </c>
      <c r="M56" s="54">
        <v>4682528</v>
      </c>
      <c r="S56" s="217">
        <v>7.6674999999999993E-2</v>
      </c>
      <c r="V56" s="217">
        <v>2.5383571428571429E-2</v>
      </c>
      <c r="AA56" s="54">
        <v>5000000</v>
      </c>
      <c r="AC56" s="215">
        <f ca="1">IFERROR(__xludf.DUMMYFUNCTION("""COMPUTED_VALUE"""),20000)</f>
        <v>20000</v>
      </c>
    </row>
    <row r="57" spans="1:29" ht="13.2">
      <c r="A57" s="11">
        <v>3.807017543859649</v>
      </c>
      <c r="B57" s="11">
        <v>3.35</v>
      </c>
      <c r="F57" s="214"/>
      <c r="G57" s="215"/>
      <c r="J57" s="215"/>
      <c r="K57" s="215"/>
      <c r="L57" s="215">
        <f t="shared" si="1"/>
        <v>396749</v>
      </c>
      <c r="M57" s="54">
        <v>396749</v>
      </c>
      <c r="S57" s="217">
        <v>1.3819956097454957E-2</v>
      </c>
      <c r="V57" s="217">
        <v>6.6463333333333331E-3</v>
      </c>
      <c r="AA57" s="54">
        <v>4601100</v>
      </c>
      <c r="AC57" s="215">
        <f ca="1">IFERROR(__xludf.DUMMYFUNCTION("""COMPUTED_VALUE"""),465000)</f>
        <v>465000</v>
      </c>
    </row>
    <row r="58" spans="1:29" ht="13.2">
      <c r="A58" s="11">
        <v>2.192982456140351</v>
      </c>
      <c r="B58" s="11">
        <v>2.2000000000000002</v>
      </c>
      <c r="F58" s="214"/>
      <c r="G58" s="215"/>
      <c r="J58" s="215"/>
      <c r="K58" s="215"/>
      <c r="L58" s="215">
        <f t="shared" si="1"/>
        <v>950796</v>
      </c>
      <c r="M58" s="54">
        <v>950796</v>
      </c>
      <c r="S58" s="217">
        <v>2.2706834854819394E-2</v>
      </c>
      <c r="V58" s="217">
        <v>2.7109062499999999E-2</v>
      </c>
      <c r="AA58" s="54">
        <v>2788940</v>
      </c>
      <c r="AC58" s="215">
        <f ca="1">IFERROR(__xludf.DUMMYFUNCTION("""COMPUTED_VALUE"""),440000)</f>
        <v>440000</v>
      </c>
    </row>
    <row r="59" spans="1:29" ht="13.2">
      <c r="A59" s="11">
        <v>3.1052631578947367</v>
      </c>
      <c r="B59" s="11">
        <v>2.85</v>
      </c>
      <c r="F59" s="214"/>
      <c r="G59" s="215"/>
      <c r="J59" s="215"/>
      <c r="K59" s="215"/>
      <c r="L59" s="215">
        <f t="shared" si="1"/>
        <v>2038139</v>
      </c>
      <c r="M59" s="54">
        <v>2038139</v>
      </c>
      <c r="S59" s="217">
        <v>4.8468749999999998E-2</v>
      </c>
      <c r="V59" s="217">
        <v>3.3587717520992322E-2</v>
      </c>
      <c r="AA59" s="54">
        <v>1600000</v>
      </c>
      <c r="AC59" s="215">
        <f ca="1">IFERROR(__xludf.DUMMYFUNCTION("""COMPUTED_VALUE"""),171000)</f>
        <v>171000</v>
      </c>
    </row>
    <row r="60" spans="1:29" ht="13.2">
      <c r="A60" s="11">
        <v>2.192982456140351</v>
      </c>
      <c r="B60" s="11">
        <v>2.2000000000000002</v>
      </c>
      <c r="F60" s="214"/>
      <c r="G60" s="215"/>
      <c r="J60" s="215"/>
      <c r="K60" s="215"/>
      <c r="L60" s="215">
        <f t="shared" si="1"/>
        <v>118457</v>
      </c>
      <c r="M60" s="54">
        <v>118457</v>
      </c>
      <c r="S60" s="217">
        <v>4.5352512155591572E-2</v>
      </c>
      <c r="V60" s="217">
        <v>6.9681025641025643E-2</v>
      </c>
      <c r="AA60" s="54">
        <v>1234000</v>
      </c>
      <c r="AC60" s="215">
        <f ca="1">IFERROR(__xludf.DUMMYFUNCTION("""COMPUTED_VALUE"""),1200000)</f>
        <v>1200000</v>
      </c>
    </row>
    <row r="61" spans="1:29" ht="13.2">
      <c r="A61" s="11">
        <v>2.6140350877192979</v>
      </c>
      <c r="B61" s="11">
        <v>2.5</v>
      </c>
      <c r="F61" s="214"/>
      <c r="G61" s="215"/>
      <c r="J61" s="215"/>
      <c r="K61" s="215"/>
      <c r="L61" s="215" t="str">
        <f t="shared" si="1"/>
        <v/>
      </c>
      <c r="M61" s="54">
        <v>0</v>
      </c>
      <c r="S61" s="217">
        <v>4.3549122807017546E-2</v>
      </c>
      <c r="V61" s="217">
        <v>6.7555437922185532E-2</v>
      </c>
      <c r="AA61" s="54">
        <v>1140000</v>
      </c>
      <c r="AC61" s="215">
        <f ca="1">IFERROR(__xludf.DUMMYFUNCTION("""COMPUTED_VALUE"""),3005000)</f>
        <v>3005000</v>
      </c>
    </row>
    <row r="62" spans="1:29" ht="13.2">
      <c r="A62" s="11">
        <v>3.2456140350877192</v>
      </c>
      <c r="B62" s="11">
        <v>2.95</v>
      </c>
      <c r="F62" s="214"/>
      <c r="G62" s="215"/>
      <c r="J62" s="215"/>
      <c r="K62" s="215"/>
      <c r="L62" s="215">
        <f t="shared" si="1"/>
        <v>622601</v>
      </c>
      <c r="M62" s="54">
        <v>622601</v>
      </c>
      <c r="S62" s="217">
        <v>8.1890000000000004E-2</v>
      </c>
      <c r="V62" s="217">
        <v>6.5708000000000003E-2</v>
      </c>
      <c r="AA62" s="54">
        <v>800000</v>
      </c>
      <c r="AC62" s="215">
        <f ca="1">IFERROR(__xludf.DUMMYFUNCTION("""COMPUTED_VALUE"""),192000)</f>
        <v>192000</v>
      </c>
    </row>
    <row r="63" spans="1:29" ht="13.2">
      <c r="A63" s="11">
        <v>3.0350877192982453</v>
      </c>
      <c r="B63" s="11">
        <v>2.8</v>
      </c>
      <c r="F63" s="214"/>
      <c r="G63" s="215"/>
      <c r="J63" s="215"/>
      <c r="K63" s="215"/>
      <c r="L63" s="215" t="str">
        <f t="shared" si="1"/>
        <v/>
      </c>
      <c r="M63" s="54">
        <v>0</v>
      </c>
      <c r="S63" s="217">
        <v>1.0821538461538462E-2</v>
      </c>
      <c r="V63" s="217">
        <v>2.7735652173913043E-2</v>
      </c>
      <c r="AA63" s="54">
        <v>1300000</v>
      </c>
      <c r="AC63" s="215">
        <f ca="1">IFERROR(__xludf.DUMMYFUNCTION("""COMPUTED_VALUE"""),500686)</f>
        <v>500686</v>
      </c>
    </row>
    <row r="64" spans="1:29" ht="13.2">
      <c r="A64" s="11">
        <v>3.0350877192982453</v>
      </c>
      <c r="B64" s="11">
        <v>2.8</v>
      </c>
      <c r="F64" s="214"/>
      <c r="G64" s="215"/>
      <c r="J64" s="215"/>
      <c r="K64" s="215"/>
      <c r="L64" s="215">
        <f t="shared" si="1"/>
        <v>56277</v>
      </c>
      <c r="M64" s="54">
        <v>56277</v>
      </c>
      <c r="S64" s="217">
        <v>2.6237952064575715E-2</v>
      </c>
      <c r="V64" s="217">
        <v>6.1850000000000002E-2</v>
      </c>
      <c r="AA64" s="54">
        <v>491578</v>
      </c>
      <c r="AC64" s="215">
        <f ca="1">IFERROR(__xludf.DUMMYFUNCTION("""COMPUTED_VALUE"""),3182473)</f>
        <v>3182473</v>
      </c>
    </row>
    <row r="65" spans="1:29" ht="13.2">
      <c r="A65" s="11">
        <v>3.807017543859649</v>
      </c>
      <c r="B65" s="11">
        <v>3.35</v>
      </c>
      <c r="F65" s="214"/>
      <c r="G65" s="215"/>
      <c r="J65" s="215"/>
      <c r="K65" s="215"/>
      <c r="L65" s="215">
        <f t="shared" si="1"/>
        <v>418213</v>
      </c>
      <c r="M65" s="54">
        <v>418213</v>
      </c>
      <c r="S65" s="217">
        <v>3.5111999999999997E-2</v>
      </c>
      <c r="V65" s="217">
        <v>9.7741935483870973E-2</v>
      </c>
      <c r="AA65" s="54">
        <v>2000000</v>
      </c>
      <c r="AC65" s="215">
        <f ca="1">IFERROR(__xludf.DUMMYFUNCTION("""COMPUTED_VALUE"""),466986)</f>
        <v>466986</v>
      </c>
    </row>
    <row r="66" spans="1:29" ht="13.2">
      <c r="A66" s="11">
        <v>2.4035087719298245</v>
      </c>
      <c r="B66" s="11">
        <v>2.35</v>
      </c>
      <c r="F66" s="214"/>
      <c r="G66" s="215"/>
      <c r="J66" s="215"/>
      <c r="K66" s="215"/>
      <c r="L66" s="215" t="str">
        <f t="shared" si="1"/>
        <v/>
      </c>
      <c r="M66" s="54">
        <v>0</v>
      </c>
      <c r="S66" s="217">
        <v>9.1339999999999998E-3</v>
      </c>
      <c r="V66" s="217">
        <v>3.4695454545454543E-2</v>
      </c>
      <c r="AA66" s="54">
        <v>500000</v>
      </c>
      <c r="AC66" s="215">
        <f ca="1">IFERROR(__xludf.DUMMYFUNCTION("""COMPUTED_VALUE"""),917981)</f>
        <v>917981</v>
      </c>
    </row>
    <row r="67" spans="1:29" ht="13.2">
      <c r="A67" s="11">
        <v>2.192982456140351</v>
      </c>
      <c r="B67" s="11">
        <v>2.2000000000000002</v>
      </c>
      <c r="F67" s="214"/>
      <c r="G67" s="215"/>
      <c r="J67" s="215"/>
      <c r="K67" s="215"/>
      <c r="L67" s="215" t="str">
        <f t="shared" si="1"/>
        <v/>
      </c>
      <c r="M67" s="54">
        <v>0</v>
      </c>
      <c r="S67" s="217">
        <v>0.20169660678642715</v>
      </c>
      <c r="V67" s="217">
        <v>7.145614035087719E-2</v>
      </c>
      <c r="AA67" s="54">
        <v>10020</v>
      </c>
      <c r="AC67" s="215">
        <f ca="1">IFERROR(__xludf.DUMMYFUNCTION("""COMPUTED_VALUE"""),21700)</f>
        <v>21700</v>
      </c>
    </row>
    <row r="68" spans="1:29" ht="13.2">
      <c r="A68" s="11">
        <v>3.0350877192982453</v>
      </c>
      <c r="B68" s="11">
        <v>2.8</v>
      </c>
      <c r="F68" s="214"/>
      <c r="G68" s="215"/>
      <c r="J68" s="215"/>
      <c r="K68" s="215"/>
      <c r="L68" s="215" t="str">
        <f t="shared" si="1"/>
        <v/>
      </c>
      <c r="M68" s="54">
        <v>0</v>
      </c>
      <c r="S68" s="217">
        <v>1</v>
      </c>
      <c r="V68" s="217">
        <v>8.8083333333333329E-4</v>
      </c>
      <c r="AA68" s="54">
        <v>215000</v>
      </c>
      <c r="AC68" s="215">
        <f ca="1">IFERROR(__xludf.DUMMYFUNCTION("""COMPUTED_VALUE"""),36207)</f>
        <v>36207</v>
      </c>
    </row>
    <row r="69" spans="1:29" ht="13.2">
      <c r="A69" s="11">
        <v>4.9298245614035086</v>
      </c>
      <c r="B69" s="11">
        <v>4.1500000000000004</v>
      </c>
      <c r="F69" s="214"/>
      <c r="G69" s="215"/>
      <c r="J69" s="215"/>
      <c r="K69" s="215"/>
      <c r="L69" s="215" t="str">
        <f t="shared" si="1"/>
        <v/>
      </c>
      <c r="M69" s="54">
        <v>0</v>
      </c>
      <c r="S69" s="217">
        <v>1</v>
      </c>
      <c r="V69" s="217">
        <v>2.7620632279534109E-5</v>
      </c>
      <c r="AA69" s="54">
        <v>0</v>
      </c>
      <c r="AC69" s="215">
        <f ca="1">IFERROR(__xludf.DUMMYFUNCTION("""COMPUTED_VALUE"""),1602500)</f>
        <v>1602500</v>
      </c>
    </row>
    <row r="70" spans="1:29" ht="13.2">
      <c r="A70" s="11">
        <v>3.3859649122807021</v>
      </c>
      <c r="B70" s="11">
        <v>3.0500000000000003</v>
      </c>
      <c r="F70" s="214"/>
      <c r="G70" s="215"/>
      <c r="J70" s="215"/>
      <c r="K70" s="215"/>
      <c r="L70" s="215">
        <f t="shared" si="1"/>
        <v>41866</v>
      </c>
      <c r="M70" s="54">
        <v>41866</v>
      </c>
      <c r="S70" s="217">
        <v>1</v>
      </c>
      <c r="V70" s="217">
        <v>2.6296875000000001E-2</v>
      </c>
      <c r="AA70" s="54">
        <v>0</v>
      </c>
      <c r="AC70" s="215">
        <f ca="1">IFERROR(__xludf.DUMMYFUNCTION("""COMPUTED_VALUE"""),98560)</f>
        <v>98560</v>
      </c>
    </row>
    <row r="71" spans="1:29" ht="13.2">
      <c r="A71" s="11">
        <v>3.4561403508771922</v>
      </c>
      <c r="B71" s="11">
        <v>3.0999999999999996</v>
      </c>
      <c r="F71" s="214"/>
      <c r="G71" s="215"/>
      <c r="J71" s="215"/>
      <c r="K71" s="215"/>
      <c r="L71" s="215" t="str">
        <f t="shared" si="1"/>
        <v/>
      </c>
      <c r="M71" s="54">
        <v>0</v>
      </c>
      <c r="S71" s="217">
        <v>1</v>
      </c>
      <c r="V71" s="217">
        <v>4.8429554651018801E-2</v>
      </c>
      <c r="AA71" s="54">
        <v>0</v>
      </c>
      <c r="AC71" s="215">
        <f ca="1">IFERROR(__xludf.DUMMYFUNCTION("""COMPUTED_VALUE"""),50000)</f>
        <v>50000</v>
      </c>
    </row>
    <row r="72" spans="1:29" ht="13.2">
      <c r="A72" s="11">
        <v>2.8245614035087714</v>
      </c>
      <c r="B72" s="11">
        <v>2.65</v>
      </c>
      <c r="F72" s="214"/>
      <c r="G72" s="215"/>
      <c r="J72" s="215"/>
      <c r="K72" s="215"/>
      <c r="L72" s="215">
        <f t="shared" si="1"/>
        <v>10623</v>
      </c>
      <c r="M72" s="54">
        <v>10623</v>
      </c>
      <c r="S72" s="217">
        <v>1</v>
      </c>
      <c r="V72" s="217">
        <v>1.9733081788910699E-3</v>
      </c>
      <c r="AA72" s="54">
        <v>0</v>
      </c>
      <c r="AC72" s="215">
        <f ca="1">IFERROR(__xludf.DUMMYFUNCTION("""COMPUTED_VALUE"""),134619)</f>
        <v>134619</v>
      </c>
    </row>
    <row r="73" spans="1:29" ht="13.2">
      <c r="A73" s="11">
        <v>2.192982456140351</v>
      </c>
      <c r="B73" s="11">
        <v>2.2000000000000002</v>
      </c>
      <c r="F73" s="214"/>
      <c r="G73" s="215"/>
      <c r="J73" s="215"/>
      <c r="K73" s="215"/>
      <c r="L73" s="215">
        <f t="shared" si="1"/>
        <v>3400</v>
      </c>
      <c r="M73" s="54">
        <v>3400</v>
      </c>
      <c r="S73" s="217">
        <v>3.1616249999999999E-2</v>
      </c>
      <c r="V73" s="217">
        <v>1.4797017469474459E-3</v>
      </c>
      <c r="AA73" s="54">
        <v>1600000</v>
      </c>
      <c r="AC73" s="215">
        <f ca="1">IFERROR(__xludf.DUMMYFUNCTION("""COMPUTED_VALUE"""),235000)</f>
        <v>235000</v>
      </c>
    </row>
    <row r="74" spans="1:29" ht="13.2">
      <c r="A74" s="11">
        <v>1.6315789473684208</v>
      </c>
      <c r="B74" s="11">
        <v>1.7999999999999998</v>
      </c>
      <c r="F74" s="214"/>
      <c r="G74" s="215"/>
      <c r="J74" s="215"/>
      <c r="K74" s="215"/>
      <c r="L74" s="215">
        <f t="shared" si="1"/>
        <v>131164</v>
      </c>
      <c r="M74" s="54">
        <v>131164</v>
      </c>
      <c r="S74" s="217">
        <v>1</v>
      </c>
      <c r="V74" s="217">
        <v>6.1173379405456106E-2</v>
      </c>
      <c r="AA74" s="54">
        <v>0</v>
      </c>
      <c r="AC74" s="215">
        <f ca="1">IFERROR(__xludf.DUMMYFUNCTION("""COMPUTED_VALUE"""),4513039)</f>
        <v>4513039</v>
      </c>
    </row>
    <row r="75" spans="1:29" ht="13.2">
      <c r="A75" s="11">
        <v>3.0350877192982453</v>
      </c>
      <c r="B75" s="11">
        <v>2.8</v>
      </c>
      <c r="F75" s="214"/>
      <c r="G75" s="215"/>
      <c r="J75" s="215"/>
      <c r="K75" s="215"/>
      <c r="L75" s="215">
        <f t="shared" si="1"/>
        <v>18442226</v>
      </c>
      <c r="M75" s="54">
        <v>18442226</v>
      </c>
      <c r="S75" s="217">
        <v>6.5292666666666666E-2</v>
      </c>
      <c r="V75" s="217">
        <v>2.3199933714475103E-2</v>
      </c>
      <c r="AA75" s="54">
        <v>3000000</v>
      </c>
      <c r="AC75" s="215">
        <f ca="1">IFERROR(__xludf.DUMMYFUNCTION("""COMPUTED_VALUE"""),723992)</f>
        <v>723992</v>
      </c>
    </row>
    <row r="76" spans="1:29" ht="13.2">
      <c r="A76" s="11">
        <v>2.6140350877192979</v>
      </c>
      <c r="B76" s="11">
        <v>2.5</v>
      </c>
      <c r="F76" s="214"/>
      <c r="G76" s="215"/>
      <c r="J76" s="215"/>
      <c r="K76" s="215"/>
      <c r="L76" s="215">
        <f t="shared" si="1"/>
        <v>191851</v>
      </c>
      <c r="M76" s="54">
        <v>191851</v>
      </c>
      <c r="S76" s="217">
        <v>6.357142857142857E-2</v>
      </c>
      <c r="V76" s="217">
        <v>1.7365366614664587E-2</v>
      </c>
      <c r="AA76" s="54">
        <v>35000</v>
      </c>
      <c r="AC76" s="215">
        <f ca="1">IFERROR(__xludf.DUMMYFUNCTION("""COMPUTED_VALUE"""),136000)</f>
        <v>136000</v>
      </c>
    </row>
    <row r="77" spans="1:29" ht="13.2">
      <c r="A77" s="11">
        <v>3.0350877192982453</v>
      </c>
      <c r="B77" s="11">
        <v>2.8</v>
      </c>
      <c r="F77" s="214"/>
      <c r="G77" s="215"/>
      <c r="J77" s="215"/>
      <c r="K77" s="215"/>
      <c r="L77" s="215" t="str">
        <f t="shared" si="1"/>
        <v/>
      </c>
      <c r="M77" s="54">
        <v>0</v>
      </c>
      <c r="S77" s="217">
        <v>1</v>
      </c>
      <c r="V77" s="217">
        <v>4.0584415584415587E-4</v>
      </c>
      <c r="AA77" s="54">
        <v>0</v>
      </c>
      <c r="AC77" s="215">
        <f ca="1">IFERROR(__xludf.DUMMYFUNCTION("""COMPUTED_VALUE"""),54238)</f>
        <v>54238</v>
      </c>
    </row>
    <row r="78" spans="1:29" ht="13.2">
      <c r="A78" s="11">
        <v>4.087719298245613</v>
      </c>
      <c r="B78" s="11">
        <v>3.55</v>
      </c>
      <c r="F78" s="214"/>
      <c r="G78" s="215"/>
      <c r="J78" s="215"/>
      <c r="K78" s="215"/>
      <c r="L78" s="215" t="str">
        <f t="shared" si="1"/>
        <v/>
      </c>
      <c r="M78" s="54">
        <v>0</v>
      </c>
      <c r="S78" s="217">
        <v>1</v>
      </c>
      <c r="V78" s="217">
        <v>1.6661838224916244E-2</v>
      </c>
      <c r="AA78" s="54">
        <v>0</v>
      </c>
      <c r="AC78" s="215">
        <f ca="1">IFERROR(__xludf.DUMMYFUNCTION("""COMPUTED_VALUE"""),565000)</f>
        <v>565000</v>
      </c>
    </row>
    <row r="79" spans="1:29" ht="13.2">
      <c r="A79" s="11">
        <v>3.4561403508771922</v>
      </c>
      <c r="B79" s="11">
        <v>3.0999999999999996</v>
      </c>
      <c r="F79" s="214"/>
      <c r="G79" s="215"/>
      <c r="J79" s="215"/>
      <c r="K79" s="215"/>
      <c r="L79" s="215">
        <f t="shared" si="1"/>
        <v>72715</v>
      </c>
      <c r="M79" s="54">
        <v>72715</v>
      </c>
      <c r="S79" s="217">
        <v>4.867441860465116E-2</v>
      </c>
      <c r="V79" s="217">
        <v>1.0170212765957446E-2</v>
      </c>
      <c r="AA79" s="54">
        <v>344000</v>
      </c>
      <c r="AC79" s="215">
        <f ca="1">IFERROR(__xludf.DUMMYFUNCTION("""COMPUTED_VALUE"""),10613)</f>
        <v>10613</v>
      </c>
    </row>
    <row r="80" spans="1:29" ht="13.2">
      <c r="A80" s="11">
        <v>2.8245614035087714</v>
      </c>
      <c r="B80" s="11">
        <v>2.65</v>
      </c>
      <c r="F80" s="214"/>
      <c r="G80" s="215"/>
      <c r="J80" s="215"/>
      <c r="K80" s="215"/>
      <c r="L80" s="215" t="str">
        <f t="shared" si="1"/>
        <v/>
      </c>
      <c r="M80" s="54">
        <v>0</v>
      </c>
      <c r="S80" s="217">
        <v>1.1560000000000001E-2</v>
      </c>
      <c r="V80" s="217">
        <v>9.2744444444444445E-3</v>
      </c>
      <c r="AA80" s="54">
        <v>250000</v>
      </c>
      <c r="AC80" s="215">
        <f ca="1">IFERROR(__xludf.DUMMYFUNCTION("""COMPUTED_VALUE"""),615901)</f>
        <v>615901</v>
      </c>
    </row>
    <row r="81" spans="1:29" ht="13.2">
      <c r="A81" s="11">
        <v>2.4035087719298245</v>
      </c>
      <c r="B81" s="11">
        <v>2.35</v>
      </c>
      <c r="F81" s="214"/>
      <c r="G81" s="215"/>
      <c r="J81" s="215"/>
      <c r="K81" s="215"/>
      <c r="L81" s="215">
        <f t="shared" si="1"/>
        <v>329427</v>
      </c>
      <c r="M81" s="54">
        <v>329427</v>
      </c>
      <c r="S81" s="217">
        <v>1</v>
      </c>
      <c r="V81" s="217">
        <v>1.3458337054033879E-2</v>
      </c>
      <c r="AA81" s="54">
        <v>0</v>
      </c>
      <c r="AC81" s="215">
        <f ca="1">IFERROR(__xludf.DUMMYFUNCTION("""COMPUTED_VALUE"""),1362263)</f>
        <v>1362263</v>
      </c>
    </row>
    <row r="82" spans="1:29" ht="13.2">
      <c r="A82" s="11">
        <v>4.2280701754385959</v>
      </c>
      <c r="B82" s="11">
        <v>3.65</v>
      </c>
      <c r="F82" s="214"/>
      <c r="G82" s="215"/>
      <c r="J82" s="215"/>
      <c r="K82" s="215"/>
      <c r="L82" s="215" t="str">
        <f t="shared" si="1"/>
        <v/>
      </c>
      <c r="M82" s="54">
        <v>0</v>
      </c>
      <c r="S82" s="217">
        <v>1.6963333333333333E-3</v>
      </c>
      <c r="V82" s="217">
        <v>2.0766804053083461E-2</v>
      </c>
      <c r="AA82" s="54">
        <v>3000000</v>
      </c>
      <c r="AC82" s="215">
        <f ca="1">IFERROR(__xludf.DUMMYFUNCTION("""COMPUTED_VALUE"""),360200)</f>
        <v>360200</v>
      </c>
    </row>
    <row r="83" spans="1:29" ht="13.2">
      <c r="A83" s="11">
        <v>2.6140350877192979</v>
      </c>
      <c r="B83" s="11">
        <v>2.5</v>
      </c>
      <c r="F83" s="214"/>
      <c r="G83" s="215"/>
      <c r="J83" s="215"/>
      <c r="K83" s="215"/>
      <c r="L83" s="215">
        <f t="shared" si="1"/>
        <v>727179</v>
      </c>
      <c r="M83" s="54">
        <v>727179</v>
      </c>
      <c r="S83" s="217">
        <v>4.8874634958607551E-3</v>
      </c>
      <c r="V83" s="217">
        <v>8.1485294117647059E-2</v>
      </c>
      <c r="AA83" s="54">
        <v>592741</v>
      </c>
      <c r="AC83" s="215">
        <f ca="1">IFERROR(__xludf.DUMMYFUNCTION("""COMPUTED_VALUE"""),526402)</f>
        <v>526402</v>
      </c>
    </row>
    <row r="84" spans="1:29" ht="13.2">
      <c r="A84" s="11">
        <v>3.0350877192982453</v>
      </c>
      <c r="B84" s="11">
        <v>2.8</v>
      </c>
      <c r="F84" s="214"/>
      <c r="G84" s="215"/>
      <c r="J84" s="215"/>
      <c r="K84" s="215"/>
      <c r="L84" s="215" t="str">
        <f t="shared" si="1"/>
        <v/>
      </c>
      <c r="M84" s="54">
        <v>0</v>
      </c>
      <c r="S84" s="217">
        <v>1</v>
      </c>
      <c r="V84" s="217">
        <v>3.1140528780559756E-2</v>
      </c>
      <c r="AA84" s="54">
        <v>0</v>
      </c>
      <c r="AC84" s="215">
        <f ca="1">IFERROR(__xludf.DUMMYFUNCTION("""COMPUTED_VALUE"""),2006203)</f>
        <v>2006203</v>
      </c>
    </row>
    <row r="85" spans="1:29" ht="13.2">
      <c r="A85" s="11">
        <v>2.8245614035087714</v>
      </c>
      <c r="B85" s="11">
        <v>2.65</v>
      </c>
      <c r="F85" s="214"/>
      <c r="G85" s="215"/>
      <c r="J85" s="215"/>
      <c r="K85" s="215"/>
      <c r="L85" s="215" t="str">
        <f t="shared" si="1"/>
        <v/>
      </c>
      <c r="M85" s="54">
        <v>0</v>
      </c>
      <c r="S85" s="217">
        <v>1</v>
      </c>
      <c r="V85" s="217">
        <v>6.0400000000000002E-2</v>
      </c>
      <c r="AA85" s="54">
        <v>0</v>
      </c>
      <c r="AC85" s="215">
        <f ca="1">IFERROR(__xludf.DUMMYFUNCTION("""COMPUTED_VALUE"""),114028)</f>
        <v>114028</v>
      </c>
    </row>
    <row r="86" spans="1:29" ht="13.2">
      <c r="A86" s="11">
        <v>3.0350877192982453</v>
      </c>
      <c r="B86" s="11">
        <v>2.8</v>
      </c>
      <c r="F86" s="214"/>
      <c r="G86" s="215"/>
      <c r="J86" s="215"/>
      <c r="K86" s="215"/>
      <c r="L86" s="215">
        <f t="shared" si="1"/>
        <v>17162</v>
      </c>
      <c r="M86" s="54">
        <v>17162</v>
      </c>
      <c r="S86" s="217">
        <v>0.10162400000000001</v>
      </c>
      <c r="V86" s="217">
        <v>3.8349194384245736E-2</v>
      </c>
      <c r="AA86" s="54">
        <v>500000</v>
      </c>
      <c r="AC86" s="215">
        <f ca="1">IFERROR(__xludf.DUMMYFUNCTION("""COMPUTED_VALUE"""),24902)</f>
        <v>24902</v>
      </c>
    </row>
    <row r="87" spans="1:29" ht="13.2">
      <c r="A87" s="11">
        <v>3.5964912280701755</v>
      </c>
      <c r="B87" s="11">
        <v>3.2</v>
      </c>
      <c r="F87" s="214"/>
      <c r="G87" s="215"/>
      <c r="J87" s="215"/>
      <c r="K87" s="215"/>
      <c r="L87" s="215" t="str">
        <f t="shared" si="1"/>
        <v/>
      </c>
      <c r="M87" s="54">
        <v>0</v>
      </c>
      <c r="S87" s="217">
        <v>5.5043852459016392E-2</v>
      </c>
      <c r="V87" s="217">
        <v>0.91877753080446367</v>
      </c>
      <c r="AA87" s="54">
        <v>2440000</v>
      </c>
      <c r="AC87" s="215">
        <f ca="1">IFERROR(__xludf.DUMMYFUNCTION("""COMPUTED_VALUE"""),104707)</f>
        <v>104707</v>
      </c>
    </row>
    <row r="88" spans="1:29" ht="13.2">
      <c r="A88" s="11">
        <v>2.192982456140351</v>
      </c>
      <c r="B88" s="11">
        <v>2.2000000000000002</v>
      </c>
      <c r="F88" s="214"/>
      <c r="G88" s="215"/>
      <c r="J88" s="215"/>
      <c r="K88" s="215"/>
      <c r="L88" s="215" t="str">
        <f t="shared" si="1"/>
        <v/>
      </c>
      <c r="M88" s="54">
        <v>0</v>
      </c>
      <c r="S88" s="217">
        <v>1.6968333333333332E-2</v>
      </c>
      <c r="V88" s="217">
        <v>4.032261024486461E-2</v>
      </c>
      <c r="AA88" s="54">
        <v>600000</v>
      </c>
      <c r="AC88" s="215">
        <f ca="1">IFERROR(__xludf.DUMMYFUNCTION("""COMPUTED_VALUE"""),1045000)</f>
        <v>1045000</v>
      </c>
    </row>
    <row r="89" spans="1:29" ht="13.2">
      <c r="A89" s="11">
        <v>3.3859649122807021</v>
      </c>
      <c r="B89" s="11">
        <v>3.0500000000000003</v>
      </c>
      <c r="F89" s="214"/>
      <c r="G89" s="215"/>
      <c r="J89" s="215"/>
      <c r="K89" s="215"/>
      <c r="L89" s="215">
        <f t="shared" si="1"/>
        <v>184942</v>
      </c>
      <c r="M89" s="54">
        <v>184942</v>
      </c>
      <c r="S89" s="217">
        <v>1.4060952380952381E-2</v>
      </c>
      <c r="V89" s="217">
        <v>6.3925833333333335E-2</v>
      </c>
      <c r="AA89" s="54">
        <v>1050000</v>
      </c>
      <c r="AC89" s="215">
        <f ca="1">IFERROR(__xludf.DUMMYFUNCTION("""COMPUTED_VALUE"""),570230)</f>
        <v>570230</v>
      </c>
    </row>
    <row r="90" spans="1:29" ht="13.2">
      <c r="A90" s="11">
        <v>2.6140350877192979</v>
      </c>
      <c r="B90" s="11">
        <v>2.5</v>
      </c>
      <c r="F90" s="214"/>
      <c r="G90" s="215"/>
      <c r="J90" s="215"/>
      <c r="K90" s="215"/>
      <c r="L90" s="215" t="str">
        <f t="shared" si="1"/>
        <v/>
      </c>
      <c r="M90" s="54">
        <v>0</v>
      </c>
      <c r="S90" s="217">
        <v>1.9422777777777778E-2</v>
      </c>
      <c r="V90" s="217">
        <v>1.5574680732926153E-3</v>
      </c>
      <c r="AA90" s="54">
        <v>1800000</v>
      </c>
      <c r="AC90" s="215">
        <f ca="1">IFERROR(__xludf.DUMMYFUNCTION("""COMPUTED_VALUE"""),93618)</f>
        <v>93618</v>
      </c>
    </row>
    <row r="91" spans="1:29" ht="13.2">
      <c r="A91" s="11">
        <v>1.6315789473684208</v>
      </c>
      <c r="B91" s="11">
        <v>1.7999999999999998</v>
      </c>
      <c r="F91" s="214"/>
      <c r="G91" s="215"/>
      <c r="J91" s="215"/>
      <c r="K91" s="215"/>
      <c r="L91" s="215" t="str">
        <f t="shared" si="1"/>
        <v/>
      </c>
      <c r="M91" s="54">
        <v>0</v>
      </c>
      <c r="S91" s="217">
        <v>1</v>
      </c>
      <c r="V91" s="217">
        <v>2.3406066086375053E-2</v>
      </c>
      <c r="AA91" s="54">
        <v>0</v>
      </c>
      <c r="AC91" s="215">
        <f ca="1">IFERROR(__xludf.DUMMYFUNCTION("""COMPUTED_VALUE"""),286233)</f>
        <v>286233</v>
      </c>
    </row>
    <row r="92" spans="1:29" ht="13.2">
      <c r="A92" s="11">
        <v>1</v>
      </c>
      <c r="B92" s="11">
        <v>1.35</v>
      </c>
      <c r="F92" s="214"/>
      <c r="G92" s="215"/>
      <c r="J92" s="215"/>
      <c r="K92" s="215"/>
      <c r="L92" s="215" t="str">
        <f t="shared" si="1"/>
        <v/>
      </c>
      <c r="M92" s="54">
        <v>0</v>
      </c>
      <c r="S92" s="217">
        <v>1</v>
      </c>
      <c r="V92" s="217">
        <v>7.0541216417281796E-2</v>
      </c>
      <c r="AA92" s="54">
        <v>0</v>
      </c>
      <c r="AC92" s="215">
        <f ca="1">IFERROR(__xludf.DUMMYFUNCTION("""COMPUTED_VALUE"""),1476214)</f>
        <v>1476214</v>
      </c>
    </row>
    <row r="93" spans="1:29" ht="13.2">
      <c r="A93" s="11">
        <v>3.1052631578947367</v>
      </c>
      <c r="B93" s="11">
        <v>2.85</v>
      </c>
      <c r="F93" s="214"/>
      <c r="G93" s="215"/>
      <c r="J93" s="215"/>
      <c r="K93" s="215"/>
      <c r="L93" s="215" t="str">
        <f t="shared" si="1"/>
        <v/>
      </c>
      <c r="M93" s="54">
        <v>0</v>
      </c>
      <c r="S93" s="217">
        <v>1</v>
      </c>
      <c r="V93" s="217">
        <v>1.6171466657312238E-2</v>
      </c>
      <c r="AA93" s="54">
        <v>0</v>
      </c>
      <c r="AC93" s="215">
        <f ca="1">IFERROR(__xludf.DUMMYFUNCTION("""COMPUTED_VALUE"""),953579)</f>
        <v>953579</v>
      </c>
    </row>
    <row r="94" spans="1:29" ht="13.2">
      <c r="A94" s="11">
        <v>2.0526315789473677</v>
      </c>
      <c r="B94" s="11">
        <v>2.0999999999999996</v>
      </c>
      <c r="F94" s="214"/>
      <c r="G94" s="215"/>
      <c r="J94" s="215"/>
      <c r="K94" s="215"/>
      <c r="L94" s="215" t="str">
        <f t="shared" si="1"/>
        <v/>
      </c>
      <c r="M94" s="54">
        <v>0</v>
      </c>
      <c r="S94" s="217">
        <v>1</v>
      </c>
      <c r="V94" s="217">
        <v>8.2081760501164572E-2</v>
      </c>
      <c r="AA94" s="54">
        <v>0</v>
      </c>
      <c r="AC94" s="215">
        <f ca="1">IFERROR(__xludf.DUMMYFUNCTION("""COMPUTED_VALUE"""),10000)</f>
        <v>10000</v>
      </c>
    </row>
    <row r="95" spans="1:29" ht="13.2">
      <c r="A95" s="11">
        <v>2.192982456140351</v>
      </c>
      <c r="B95" s="11">
        <v>2.2000000000000002</v>
      </c>
      <c r="F95" s="214"/>
      <c r="G95" s="215"/>
      <c r="J95" s="215"/>
      <c r="K95" s="215"/>
      <c r="L95" s="215" t="str">
        <f t="shared" si="1"/>
        <v/>
      </c>
      <c r="M95" s="54">
        <v>0</v>
      </c>
      <c r="S95" s="217">
        <v>1</v>
      </c>
      <c r="V95" s="217">
        <v>3.0847985330493665E-3</v>
      </c>
      <c r="AA95" s="54">
        <v>0</v>
      </c>
      <c r="AC95" s="215">
        <f ca="1">IFERROR(__xludf.DUMMYFUNCTION("""COMPUTED_VALUE"""),87700)</f>
        <v>87700</v>
      </c>
    </row>
    <row r="96" spans="1:29" ht="13.2">
      <c r="A96" s="11">
        <v>1.4210526315789471</v>
      </c>
      <c r="B96" s="11">
        <v>1.65</v>
      </c>
      <c r="F96" s="214"/>
      <c r="G96" s="215"/>
      <c r="J96" s="215"/>
      <c r="K96" s="215"/>
      <c r="L96" s="215" t="str">
        <f t="shared" si="1"/>
        <v/>
      </c>
      <c r="M96" s="54">
        <v>0</v>
      </c>
      <c r="S96" s="217">
        <v>1</v>
      </c>
      <c r="V96" s="217">
        <v>4.250430622009569E-2</v>
      </c>
      <c r="AA96" s="54">
        <v>0</v>
      </c>
      <c r="AC96" s="215">
        <f ca="1">IFERROR(__xludf.DUMMYFUNCTION("""COMPUTED_VALUE"""),63078)</f>
        <v>63078</v>
      </c>
    </row>
    <row r="97" spans="1:29" ht="13.2">
      <c r="A97" s="11">
        <v>2.192982456140351</v>
      </c>
      <c r="B97" s="11">
        <v>2.2000000000000002</v>
      </c>
      <c r="F97" s="214"/>
      <c r="G97" s="215"/>
      <c r="J97" s="215"/>
      <c r="K97" s="215"/>
      <c r="L97" s="215">
        <f t="shared" si="1"/>
        <v>68</v>
      </c>
      <c r="M97" s="54">
        <v>68</v>
      </c>
      <c r="S97" s="217">
        <v>1</v>
      </c>
      <c r="V97" s="217">
        <v>2.5919365869912142E-2</v>
      </c>
      <c r="AA97" s="54">
        <v>0</v>
      </c>
      <c r="AC97" s="215">
        <f ca="1">IFERROR(__xludf.DUMMYFUNCTION("""COMPUTED_VALUE"""),238214)</f>
        <v>238214</v>
      </c>
    </row>
    <row r="98" spans="1:29" ht="13.2">
      <c r="A98" s="11">
        <v>3.1052631578947367</v>
      </c>
      <c r="B98" s="11">
        <v>2.85</v>
      </c>
      <c r="F98" s="214"/>
      <c r="G98" s="215"/>
      <c r="J98" s="215"/>
      <c r="K98" s="215"/>
      <c r="L98" s="215">
        <f t="shared" si="1"/>
        <v>1943802</v>
      </c>
      <c r="M98" s="54">
        <v>1943802</v>
      </c>
      <c r="S98" s="217">
        <v>1.3181947066029039E-2</v>
      </c>
      <c r="V98" s="217">
        <v>6.1782990450554381E-2</v>
      </c>
      <c r="AA98" s="54">
        <v>5674579</v>
      </c>
      <c r="AC98" s="215">
        <f ca="1">IFERROR(__xludf.DUMMYFUNCTION("""COMPUTED_VALUE"""),6595370)</f>
        <v>6595370</v>
      </c>
    </row>
    <row r="99" spans="1:29" ht="13.2">
      <c r="A99" s="11">
        <v>1</v>
      </c>
      <c r="B99" s="11">
        <v>1.35</v>
      </c>
      <c r="F99" s="214"/>
      <c r="G99" s="215"/>
      <c r="J99" s="215"/>
      <c r="K99" s="215"/>
      <c r="L99" s="215" t="str">
        <f t="shared" si="1"/>
        <v/>
      </c>
      <c r="M99" s="54">
        <v>0</v>
      </c>
      <c r="S99" s="217">
        <v>1</v>
      </c>
      <c r="V99" s="217">
        <v>8.6639206520561923E-2</v>
      </c>
      <c r="AA99" s="54">
        <v>0</v>
      </c>
      <c r="AC99" s="215">
        <f ca="1">IFERROR(__xludf.DUMMYFUNCTION("""COMPUTED_VALUE"""),6991019)</f>
        <v>6991019</v>
      </c>
    </row>
    <row r="100" spans="1:29" ht="13.2">
      <c r="A100" s="11">
        <v>2.6140350877192979</v>
      </c>
      <c r="B100" s="11">
        <v>2.5</v>
      </c>
      <c r="F100" s="214"/>
      <c r="G100" s="215"/>
      <c r="J100" s="215"/>
      <c r="K100" s="215"/>
      <c r="L100" s="215" t="str">
        <f t="shared" si="1"/>
        <v/>
      </c>
      <c r="M100" s="54">
        <v>0</v>
      </c>
      <c r="S100" s="217">
        <v>1</v>
      </c>
      <c r="V100" s="217">
        <v>5.178788441242259E-3</v>
      </c>
      <c r="AA100" s="54">
        <v>0</v>
      </c>
      <c r="AC100" s="215">
        <f ca="1">IFERROR(__xludf.DUMMYFUNCTION("""COMPUTED_VALUE"""),870000)</f>
        <v>870000</v>
      </c>
    </row>
    <row r="101" spans="1:29" ht="13.2">
      <c r="A101" s="11">
        <v>3.1052631578947367</v>
      </c>
      <c r="B101" s="11">
        <v>2.85</v>
      </c>
      <c r="F101" s="214"/>
      <c r="G101" s="215"/>
      <c r="J101" s="215"/>
      <c r="K101" s="215"/>
      <c r="L101" s="215">
        <f t="shared" si="1"/>
        <v>21045</v>
      </c>
      <c r="M101" s="54">
        <v>21045</v>
      </c>
      <c r="S101" s="217">
        <v>6.3799999999999996E-2</v>
      </c>
      <c r="V101" s="217">
        <v>2.5849982015124073E-3</v>
      </c>
      <c r="AA101" s="54">
        <v>40000</v>
      </c>
      <c r="AC101" s="215">
        <f ca="1">IFERROR(__xludf.DUMMYFUNCTION("""COMPUTED_VALUE"""),240655)</f>
        <v>240655</v>
      </c>
    </row>
    <row r="102" spans="1:29" ht="13.2">
      <c r="A102" s="11">
        <v>1.6315789473684208</v>
      </c>
      <c r="B102" s="11">
        <v>1.7999999999999998</v>
      </c>
      <c r="F102" s="214"/>
      <c r="G102" s="215"/>
      <c r="J102" s="215"/>
      <c r="K102" s="215"/>
      <c r="L102" s="215">
        <f t="shared" si="1"/>
        <v>9301</v>
      </c>
      <c r="M102" s="54">
        <v>9301</v>
      </c>
      <c r="S102" s="217">
        <v>1.9923378450966204E-2</v>
      </c>
      <c r="V102" s="217">
        <v>8.3299999999999999E-2</v>
      </c>
      <c r="AA102" s="54">
        <v>675789</v>
      </c>
      <c r="AC102" s="215">
        <f ca="1">IFERROR(__xludf.DUMMYFUNCTION("""COMPUTED_VALUE"""),224685)</f>
        <v>224685</v>
      </c>
    </row>
    <row r="103" spans="1:29" ht="13.2">
      <c r="A103" s="11">
        <v>2.5438596491228074</v>
      </c>
      <c r="B103" s="11">
        <v>2.4500000000000002</v>
      </c>
      <c r="F103" s="214"/>
      <c r="G103" s="215"/>
      <c r="J103" s="215"/>
      <c r="K103" s="215"/>
      <c r="L103" s="215">
        <f t="shared" si="1"/>
        <v>510377</v>
      </c>
      <c r="M103" s="54">
        <v>510377</v>
      </c>
      <c r="S103" s="217">
        <v>1</v>
      </c>
      <c r="V103" s="217">
        <v>2.5793462062842828E-2</v>
      </c>
      <c r="AA103" s="54">
        <v>131876</v>
      </c>
      <c r="AC103" s="215">
        <f ca="1">IFERROR(__xludf.DUMMYFUNCTION("""COMPUTED_VALUE"""),2396006)</f>
        <v>2396006</v>
      </c>
    </row>
    <row r="104" spans="1:29" ht="13.2">
      <c r="A104" s="11">
        <v>1</v>
      </c>
      <c r="B104" s="11">
        <v>1.35</v>
      </c>
      <c r="F104" s="214"/>
      <c r="G104" s="215"/>
      <c r="J104" s="215"/>
      <c r="K104" s="215"/>
      <c r="L104" s="215" t="str">
        <f t="shared" si="1"/>
        <v/>
      </c>
      <c r="M104" s="54">
        <v>0</v>
      </c>
      <c r="S104" s="217">
        <v>1</v>
      </c>
      <c r="V104" s="217">
        <v>5.8680000000000003E-2</v>
      </c>
      <c r="AA104" s="54">
        <v>0</v>
      </c>
      <c r="AC104" s="215">
        <f ca="1">IFERROR(__xludf.DUMMYFUNCTION("""COMPUTED_VALUE"""),288392)</f>
        <v>288392</v>
      </c>
    </row>
    <row r="105" spans="1:29" ht="13.2">
      <c r="A105" s="11">
        <v>2.192982456140351</v>
      </c>
      <c r="B105" s="11">
        <v>2.2000000000000002</v>
      </c>
      <c r="F105" s="214"/>
      <c r="G105" s="215"/>
      <c r="J105" s="215"/>
      <c r="K105" s="215"/>
      <c r="L105" s="215">
        <f t="shared" si="1"/>
        <v>2388</v>
      </c>
      <c r="M105" s="54">
        <v>2388</v>
      </c>
      <c r="S105" s="217">
        <v>1</v>
      </c>
      <c r="V105" s="217">
        <v>3.2966666666666665E-3</v>
      </c>
      <c r="AA105" s="54">
        <v>0</v>
      </c>
      <c r="AC105" s="215">
        <f ca="1">IFERROR(__xludf.DUMMYFUNCTION("""COMPUTED_VALUE"""),1921581)</f>
        <v>1921581</v>
      </c>
    </row>
    <row r="106" spans="1:29" ht="13.2">
      <c r="A106" s="11">
        <v>2.192982456140351</v>
      </c>
      <c r="B106" s="11">
        <v>2.2000000000000002</v>
      </c>
      <c r="F106" s="214"/>
      <c r="G106" s="215"/>
      <c r="J106" s="215"/>
      <c r="K106" s="215"/>
      <c r="L106" s="215">
        <f t="shared" si="1"/>
        <v>86992</v>
      </c>
      <c r="M106" s="54">
        <v>86992</v>
      </c>
      <c r="S106" s="217">
        <v>2.5383571428571429E-2</v>
      </c>
      <c r="V106" s="217">
        <v>2.8722073429773228E-2</v>
      </c>
      <c r="AA106" s="54">
        <v>1400000</v>
      </c>
      <c r="AC106" s="215">
        <f ca="1">IFERROR(__xludf.DUMMYFUNCTION("""COMPUTED_VALUE"""),1552290)</f>
        <v>1552290</v>
      </c>
    </row>
    <row r="107" spans="1:29" ht="13.2">
      <c r="A107" s="11">
        <v>2.192982456140351</v>
      </c>
      <c r="B107" s="11">
        <v>2.2000000000000002</v>
      </c>
      <c r="F107" s="214"/>
      <c r="G107" s="215"/>
      <c r="J107" s="215"/>
      <c r="K107" s="215"/>
      <c r="L107" s="215">
        <f t="shared" si="1"/>
        <v>906604</v>
      </c>
      <c r="M107" s="54">
        <v>906604</v>
      </c>
      <c r="S107" s="217">
        <v>1</v>
      </c>
      <c r="V107" s="217">
        <v>4.7997762066419321E-2</v>
      </c>
      <c r="AA107" s="54">
        <v>0</v>
      </c>
      <c r="AC107" s="215">
        <f ca="1">IFERROR(__xludf.DUMMYFUNCTION("""COMPUTED_VALUE"""),100000)</f>
        <v>100000</v>
      </c>
    </row>
    <row r="108" spans="1:29" ht="13.2">
      <c r="A108" s="11">
        <v>2.8245614035087714</v>
      </c>
      <c r="B108" s="11">
        <v>2.65</v>
      </c>
      <c r="F108" s="214"/>
      <c r="G108" s="215"/>
      <c r="J108" s="215"/>
      <c r="K108" s="215"/>
      <c r="L108" s="215" t="str">
        <f t="shared" si="1"/>
        <v/>
      </c>
      <c r="M108" s="54">
        <v>0</v>
      </c>
      <c r="S108" s="217">
        <v>1</v>
      </c>
      <c r="V108" s="217">
        <v>2.4553216061921731E-2</v>
      </c>
      <c r="AA108" s="54">
        <v>0</v>
      </c>
      <c r="AC108" s="215">
        <f ca="1">IFERROR(__xludf.DUMMYFUNCTION("""COMPUTED_VALUE"""),329757)</f>
        <v>329757</v>
      </c>
    </row>
    <row r="109" spans="1:29" ht="13.2">
      <c r="A109" s="11">
        <v>2.192982456140351</v>
      </c>
      <c r="B109" s="11">
        <v>2.2000000000000002</v>
      </c>
      <c r="F109" s="214"/>
      <c r="G109" s="215"/>
      <c r="J109" s="215"/>
      <c r="K109" s="215"/>
      <c r="L109" s="215">
        <f t="shared" si="1"/>
        <v>4642737</v>
      </c>
      <c r="M109" s="54">
        <v>4642737</v>
      </c>
      <c r="S109" s="217">
        <v>6.6463333333333331E-3</v>
      </c>
      <c r="V109" s="217">
        <v>1.5879310344827587E-2</v>
      </c>
      <c r="AA109" s="54">
        <v>9000000</v>
      </c>
      <c r="AC109" s="215">
        <f ca="1">IFERROR(__xludf.DUMMYFUNCTION("""COMPUTED_VALUE"""),170166)</f>
        <v>170166</v>
      </c>
    </row>
    <row r="110" spans="1:29" ht="13.2">
      <c r="A110" s="11">
        <v>2.192982456140351</v>
      </c>
      <c r="B110" s="11">
        <v>2.2000000000000002</v>
      </c>
      <c r="F110" s="214"/>
      <c r="G110" s="215"/>
      <c r="J110" s="215"/>
      <c r="K110" s="215"/>
      <c r="L110" s="215">
        <f t="shared" si="1"/>
        <v>110</v>
      </c>
      <c r="M110" s="54">
        <v>110</v>
      </c>
      <c r="S110" s="217">
        <v>1</v>
      </c>
      <c r="V110" s="217">
        <v>2.0153331532692029E-2</v>
      </c>
      <c r="AA110" s="54">
        <v>0</v>
      </c>
      <c r="AC110" s="215">
        <f ca="1">IFERROR(__xludf.DUMMYFUNCTION("""COMPUTED_VALUE"""),238800)</f>
        <v>238800</v>
      </c>
    </row>
    <row r="111" spans="1:29" ht="13.2">
      <c r="A111" s="11">
        <v>2.6140350877192979</v>
      </c>
      <c r="B111" s="11">
        <v>2.5</v>
      </c>
      <c r="F111" s="214"/>
      <c r="G111" s="215"/>
      <c r="J111" s="215"/>
      <c r="K111" s="215"/>
      <c r="L111" s="215">
        <f t="shared" si="1"/>
        <v>2667891</v>
      </c>
      <c r="M111" s="54">
        <v>2667891</v>
      </c>
      <c r="S111" s="217">
        <v>2.7109062499999999E-2</v>
      </c>
      <c r="V111" s="217">
        <v>1.2363976233393418E-2</v>
      </c>
      <c r="AA111" s="54">
        <v>3200000</v>
      </c>
      <c r="AC111" s="215">
        <f ca="1">IFERROR(__xludf.DUMMYFUNCTION("""COMPUTED_VALUE"""),234080)</f>
        <v>234080</v>
      </c>
    </row>
    <row r="112" spans="1:29" ht="13.2">
      <c r="A112" s="11">
        <v>1</v>
      </c>
      <c r="B112" s="11">
        <v>1.35</v>
      </c>
      <c r="F112" s="214"/>
      <c r="G112" s="215"/>
      <c r="J112" s="215"/>
      <c r="K112" s="215"/>
      <c r="L112" s="215">
        <f t="shared" si="1"/>
        <v>6211</v>
      </c>
      <c r="M112" s="54">
        <v>6211</v>
      </c>
      <c r="S112" s="217">
        <v>1</v>
      </c>
      <c r="V112" s="217">
        <v>2.9110945465078135E-2</v>
      </c>
      <c r="AA112" s="54">
        <v>0</v>
      </c>
      <c r="AC112" s="215">
        <f ca="1">IFERROR(__xludf.DUMMYFUNCTION("""COMPUTED_VALUE"""),3711000)</f>
        <v>3711000</v>
      </c>
    </row>
    <row r="113" spans="1:29" ht="13.2">
      <c r="A113" s="11">
        <v>1</v>
      </c>
      <c r="B113" s="11">
        <v>1.35</v>
      </c>
      <c r="F113" s="214"/>
      <c r="G113" s="215"/>
      <c r="J113" s="215"/>
      <c r="K113" s="215"/>
      <c r="L113" s="215" t="str">
        <f t="shared" si="1"/>
        <v/>
      </c>
      <c r="M113" s="54">
        <v>0</v>
      </c>
      <c r="S113" s="217">
        <v>1</v>
      </c>
      <c r="V113" s="217">
        <v>2.4386945546339703E-2</v>
      </c>
      <c r="AA113" s="54">
        <v>0</v>
      </c>
      <c r="AC113" s="215">
        <f ca="1">IFERROR(__xludf.DUMMYFUNCTION("""COMPUTED_VALUE"""),700000)</f>
        <v>700000</v>
      </c>
    </row>
    <row r="114" spans="1:29" ht="13.2">
      <c r="A114" s="11">
        <v>3.2456140350877192</v>
      </c>
      <c r="B114" s="11">
        <v>2.95</v>
      </c>
      <c r="F114" s="214"/>
      <c r="G114" s="215"/>
      <c r="J114" s="215"/>
      <c r="K114" s="215"/>
      <c r="L114" s="215">
        <f t="shared" si="1"/>
        <v>1020</v>
      </c>
      <c r="M114" s="54">
        <v>1020</v>
      </c>
      <c r="S114" s="217">
        <v>3.3587717520992322E-2</v>
      </c>
      <c r="V114" s="217">
        <v>1.4319458820627389E-2</v>
      </c>
      <c r="AA114" s="54">
        <v>44421</v>
      </c>
      <c r="AC114" s="215">
        <f ca="1">IFERROR(__xludf.DUMMYFUNCTION("""COMPUTED_VALUE"""),537500)</f>
        <v>537500</v>
      </c>
    </row>
    <row r="115" spans="1:29" ht="13.2">
      <c r="A115" s="11">
        <v>1.6315789473684208</v>
      </c>
      <c r="B115" s="11">
        <v>1.7999999999999998</v>
      </c>
      <c r="F115" s="214"/>
      <c r="G115" s="215"/>
      <c r="J115" s="215"/>
      <c r="K115" s="215"/>
      <c r="L115" s="215">
        <f t="shared" si="1"/>
        <v>647</v>
      </c>
      <c r="M115" s="54">
        <v>647</v>
      </c>
      <c r="S115" s="217">
        <v>6.9681025641025643E-2</v>
      </c>
      <c r="V115" s="217">
        <v>1.4106900128197696E-2</v>
      </c>
      <c r="AA115" s="54">
        <v>975000</v>
      </c>
      <c r="AC115" s="215">
        <f ca="1">IFERROR(__xludf.DUMMYFUNCTION("""COMPUTED_VALUE"""),11000)</f>
        <v>11000</v>
      </c>
    </row>
    <row r="116" spans="1:29" ht="13.2">
      <c r="A116" s="11">
        <v>1.7719298245614032</v>
      </c>
      <c r="B116" s="11">
        <v>1.9</v>
      </c>
      <c r="F116" s="214"/>
      <c r="G116" s="215"/>
      <c r="J116" s="215"/>
      <c r="K116" s="215"/>
      <c r="L116" s="215">
        <f t="shared" si="1"/>
        <v>255128</v>
      </c>
      <c r="M116" s="54">
        <v>255128</v>
      </c>
      <c r="S116" s="217">
        <v>1</v>
      </c>
      <c r="V116" s="217">
        <v>1.3429999999999999E-2</v>
      </c>
      <c r="AA116" s="54">
        <v>0</v>
      </c>
      <c r="AC116" s="215">
        <f ca="1">IFERROR(__xludf.DUMMYFUNCTION("""COMPUTED_VALUE"""),81000)</f>
        <v>81000</v>
      </c>
    </row>
    <row r="117" spans="1:29" ht="13.2">
      <c r="A117" s="11">
        <v>2.192982456140351</v>
      </c>
      <c r="B117" s="11">
        <v>2.2000000000000002</v>
      </c>
      <c r="F117" s="214"/>
      <c r="G117" s="215"/>
      <c r="J117" s="215"/>
      <c r="K117" s="215"/>
      <c r="L117" s="215">
        <f t="shared" si="1"/>
        <v>8008</v>
      </c>
      <c r="M117" s="54">
        <v>8008</v>
      </c>
      <c r="S117" s="217">
        <v>1</v>
      </c>
      <c r="V117" s="217">
        <v>3.7639837819970462E-2</v>
      </c>
      <c r="AA117" s="54">
        <v>0</v>
      </c>
      <c r="AC117" s="215">
        <f ca="1">IFERROR(__xludf.DUMMYFUNCTION("""COMPUTED_VALUE"""),63063)</f>
        <v>63063</v>
      </c>
    </row>
    <row r="118" spans="1:29" ht="13.2">
      <c r="A118" s="11">
        <v>2.6140350877192979</v>
      </c>
      <c r="B118" s="11">
        <v>2.5</v>
      </c>
      <c r="F118" s="214"/>
      <c r="G118" s="215"/>
      <c r="J118" s="215"/>
      <c r="K118" s="215"/>
      <c r="L118" s="215">
        <f t="shared" si="1"/>
        <v>11163</v>
      </c>
      <c r="M118" s="54">
        <v>11163</v>
      </c>
      <c r="S118" s="217">
        <v>6.7555437922185532E-2</v>
      </c>
      <c r="V118" s="217">
        <v>9.8315762255679756E-3</v>
      </c>
      <c r="AA118" s="54">
        <v>173798</v>
      </c>
      <c r="AC118" s="215">
        <f ca="1">IFERROR(__xludf.DUMMYFUNCTION("""COMPUTED_VALUE"""),320080)</f>
        <v>320080</v>
      </c>
    </row>
    <row r="119" spans="1:29" ht="13.2">
      <c r="A119" s="11">
        <v>3.5263157894736841</v>
      </c>
      <c r="B119" s="11">
        <v>3.15</v>
      </c>
      <c r="F119" s="214"/>
      <c r="G119" s="215"/>
      <c r="J119" s="215"/>
      <c r="K119" s="215"/>
      <c r="L119" s="215">
        <f t="shared" si="1"/>
        <v>79000</v>
      </c>
      <c r="M119" s="54">
        <v>79000</v>
      </c>
      <c r="S119" s="217">
        <v>6.5708000000000003E-2</v>
      </c>
      <c r="V119" s="217">
        <v>2.7351111111111111E-2</v>
      </c>
      <c r="AA119" s="54">
        <v>250000</v>
      </c>
      <c r="AC119" s="215">
        <f ca="1">IFERROR(__xludf.DUMMYFUNCTION("""COMPUTED_VALUE"""),925000)</f>
        <v>925000</v>
      </c>
    </row>
    <row r="120" spans="1:29" ht="13.2">
      <c r="A120" s="11">
        <v>1.7719298245614032</v>
      </c>
      <c r="B120" s="11">
        <v>1.9</v>
      </c>
      <c r="F120" s="214"/>
      <c r="G120" s="215"/>
      <c r="J120" s="215"/>
      <c r="K120" s="215"/>
      <c r="L120" s="215">
        <f t="shared" si="1"/>
        <v>156079</v>
      </c>
      <c r="M120" s="54">
        <v>156079</v>
      </c>
      <c r="S120" s="217">
        <v>1</v>
      </c>
      <c r="V120" s="217">
        <v>3.1641541038525962E-2</v>
      </c>
      <c r="AA120" s="54">
        <v>0</v>
      </c>
      <c r="AC120" s="215">
        <f ca="1">IFERROR(__xludf.DUMMYFUNCTION("""COMPUTED_VALUE"""),99933)</f>
        <v>99933</v>
      </c>
    </row>
    <row r="121" spans="1:29" ht="13.2">
      <c r="A121" s="11">
        <v>2.192982456140351</v>
      </c>
      <c r="B121" s="11">
        <v>2.2000000000000002</v>
      </c>
      <c r="F121" s="214"/>
      <c r="G121" s="215"/>
      <c r="J121" s="215"/>
      <c r="K121" s="215"/>
      <c r="L121" s="215">
        <f t="shared" si="1"/>
        <v>27916</v>
      </c>
      <c r="M121" s="54">
        <v>27916</v>
      </c>
      <c r="S121" s="217">
        <v>2.7735652173913043E-2</v>
      </c>
      <c r="V121" s="217">
        <v>9.1848940533151065E-3</v>
      </c>
      <c r="AA121" s="54">
        <v>1150000</v>
      </c>
      <c r="AC121" s="215">
        <f ca="1">IFERROR(__xludf.DUMMYFUNCTION("""COMPUTED_VALUE"""),106803)</f>
        <v>106803</v>
      </c>
    </row>
    <row r="122" spans="1:29" ht="13.2">
      <c r="A122" s="11">
        <v>1</v>
      </c>
      <c r="B122" s="11">
        <v>1.35</v>
      </c>
      <c r="F122" s="214"/>
      <c r="G122" s="215"/>
      <c r="J122" s="215"/>
      <c r="K122" s="215"/>
      <c r="L122" s="215" t="str">
        <f t="shared" si="1"/>
        <v/>
      </c>
      <c r="M122" s="54">
        <v>0</v>
      </c>
      <c r="S122" s="217">
        <v>6.1850000000000002E-2</v>
      </c>
      <c r="V122" s="217">
        <v>3.1583670169765564E-2</v>
      </c>
      <c r="AA122" s="54">
        <v>20000</v>
      </c>
      <c r="AC122" s="215">
        <f ca="1">IFERROR(__xludf.DUMMYFUNCTION("""COMPUTED_VALUE"""),165974)</f>
        <v>165974</v>
      </c>
    </row>
    <row r="123" spans="1:29" ht="13.2">
      <c r="A123" s="11">
        <v>1.6315789473684208</v>
      </c>
      <c r="B123" s="11">
        <v>1.7999999999999998</v>
      </c>
      <c r="F123" s="214"/>
      <c r="G123" s="215"/>
      <c r="J123" s="215"/>
      <c r="K123" s="215"/>
      <c r="L123" s="215" t="str">
        <f t="shared" si="1"/>
        <v/>
      </c>
      <c r="M123" s="54">
        <v>0</v>
      </c>
      <c r="S123" s="217">
        <v>9.7741935483870973E-2</v>
      </c>
      <c r="V123" s="217">
        <v>3.5211428571428574E-2</v>
      </c>
      <c r="AA123" s="54">
        <v>465000</v>
      </c>
      <c r="AC123" s="215">
        <f ca="1">IFERROR(__xludf.DUMMYFUNCTION("""COMPUTED_VALUE"""),339124)</f>
        <v>339124</v>
      </c>
    </row>
    <row r="124" spans="1:29" ht="13.2">
      <c r="A124" s="11">
        <v>2.6140350877192979</v>
      </c>
      <c r="B124" s="11">
        <v>2.5</v>
      </c>
      <c r="F124" s="214"/>
      <c r="G124" s="215"/>
      <c r="J124" s="215"/>
      <c r="K124" s="215"/>
      <c r="L124" s="215" t="str">
        <f t="shared" si="1"/>
        <v/>
      </c>
      <c r="M124" s="54">
        <v>0</v>
      </c>
      <c r="S124" s="217">
        <v>1</v>
      </c>
      <c r="V124" s="217">
        <v>1.8813023255813955E-2</v>
      </c>
      <c r="AA124" s="54">
        <v>0</v>
      </c>
      <c r="AC124" s="215">
        <f ca="1">IFERROR(__xludf.DUMMYFUNCTION("""COMPUTED_VALUE"""),292186)</f>
        <v>292186</v>
      </c>
    </row>
    <row r="125" spans="1:29" ht="13.2">
      <c r="A125" s="11">
        <v>3.5964912280701751</v>
      </c>
      <c r="B125" s="11">
        <v>3.1999999999999997</v>
      </c>
      <c r="F125" s="214"/>
      <c r="G125" s="215"/>
      <c r="J125" s="215"/>
      <c r="K125" s="215"/>
      <c r="L125" s="215" t="str">
        <f t="shared" si="1"/>
        <v/>
      </c>
      <c r="M125" s="54">
        <v>0</v>
      </c>
      <c r="S125" s="217">
        <v>1</v>
      </c>
      <c r="V125" s="217">
        <v>0.84090909090909094</v>
      </c>
      <c r="AA125" s="54">
        <v>0</v>
      </c>
      <c r="AC125" s="215">
        <f ca="1">IFERROR(__xludf.DUMMYFUNCTION("""COMPUTED_VALUE"""),4035000)</f>
        <v>4035000</v>
      </c>
    </row>
    <row r="126" spans="1:29" ht="13.2">
      <c r="A126" s="11">
        <v>3.0350877192982453</v>
      </c>
      <c r="B126" s="11">
        <v>2.8</v>
      </c>
      <c r="F126" s="214"/>
      <c r="G126" s="215"/>
      <c r="J126" s="215"/>
      <c r="K126" s="215"/>
      <c r="L126" s="215" t="str">
        <f t="shared" si="1"/>
        <v/>
      </c>
      <c r="M126" s="54">
        <v>0</v>
      </c>
      <c r="S126" s="217">
        <v>3.4695454545454543E-2</v>
      </c>
      <c r="V126" s="217">
        <v>7.3987654320987653E-2</v>
      </c>
      <c r="AA126" s="54">
        <v>440000</v>
      </c>
      <c r="AC126" s="215">
        <f ca="1">IFERROR(__xludf.DUMMYFUNCTION("""COMPUTED_VALUE"""),5831485)</f>
        <v>5831485</v>
      </c>
    </row>
    <row r="127" spans="1:29" ht="13.2">
      <c r="A127" s="11">
        <v>2.6140350877192979</v>
      </c>
      <c r="B127" s="11">
        <v>2.5</v>
      </c>
      <c r="F127" s="214"/>
      <c r="G127" s="215"/>
      <c r="J127" s="215"/>
      <c r="K127" s="215"/>
      <c r="L127" s="215" t="str">
        <f t="shared" si="1"/>
        <v/>
      </c>
      <c r="M127" s="54">
        <v>0</v>
      </c>
      <c r="S127" s="217">
        <v>7.145614035087719E-2</v>
      </c>
      <c r="V127" s="217">
        <v>7.5464218321361173E-2</v>
      </c>
      <c r="AA127" s="54">
        <v>171000</v>
      </c>
      <c r="AC127" s="215">
        <f ca="1">IFERROR(__xludf.DUMMYFUNCTION("""COMPUTED_VALUE"""),86793)</f>
        <v>86793</v>
      </c>
    </row>
    <row r="128" spans="1:29" ht="13.2">
      <c r="A128" s="11">
        <v>2.8245614035087714</v>
      </c>
      <c r="B128" s="11">
        <v>2.65</v>
      </c>
      <c r="F128" s="214"/>
      <c r="G128" s="215"/>
      <c r="J128" s="215"/>
      <c r="K128" s="215"/>
      <c r="L128" s="215" t="str">
        <f t="shared" si="1"/>
        <v/>
      </c>
      <c r="M128" s="54">
        <v>0</v>
      </c>
      <c r="S128" s="217">
        <v>1</v>
      </c>
      <c r="V128" s="217">
        <v>4.815983504123969E-2</v>
      </c>
      <c r="AA128" s="54">
        <v>0</v>
      </c>
      <c r="AC128" s="215">
        <f ca="1">IFERROR(__xludf.DUMMYFUNCTION("""COMPUTED_VALUE"""),68428)</f>
        <v>68428</v>
      </c>
    </row>
    <row r="129" spans="1:29" ht="13.2">
      <c r="A129" s="11">
        <v>3.807017543859649</v>
      </c>
      <c r="B129" s="11">
        <v>3.35</v>
      </c>
      <c r="F129" s="214"/>
      <c r="G129" s="215"/>
      <c r="J129" s="215"/>
      <c r="K129" s="215"/>
      <c r="L129" s="215" t="str">
        <f t="shared" si="1"/>
        <v/>
      </c>
      <c r="M129" s="54">
        <v>0</v>
      </c>
      <c r="S129" s="217">
        <v>8.8083333333333329E-4</v>
      </c>
      <c r="V129" s="217">
        <v>2.0758918918918918E-2</v>
      </c>
      <c r="AA129" s="54">
        <v>1200000</v>
      </c>
      <c r="AC129" s="215">
        <f ca="1">IFERROR(__xludf.DUMMYFUNCTION("""COMPUTED_VALUE"""),481341)</f>
        <v>481341</v>
      </c>
    </row>
    <row r="130" spans="1:29" ht="13.2">
      <c r="A130" s="11">
        <v>3.5964912280701751</v>
      </c>
      <c r="B130" s="11">
        <v>3.1999999999999997</v>
      </c>
      <c r="F130" s="214"/>
      <c r="G130" s="215"/>
      <c r="J130" s="215"/>
      <c r="K130" s="215"/>
      <c r="L130" s="215" t="str">
        <f t="shared" si="1"/>
        <v/>
      </c>
      <c r="M130" s="54">
        <v>0</v>
      </c>
      <c r="S130" s="217">
        <v>2.7620632279534109E-5</v>
      </c>
      <c r="V130" s="217">
        <v>3.0210240861377122E-2</v>
      </c>
      <c r="AA130" s="54">
        <v>3005000</v>
      </c>
      <c r="AC130" s="215">
        <f ca="1">IFERROR(__xludf.DUMMYFUNCTION("""COMPUTED_VALUE"""),300000)</f>
        <v>300000</v>
      </c>
    </row>
    <row r="131" spans="1:29" ht="13.2">
      <c r="A131" s="11">
        <v>2.6140350877192979</v>
      </c>
      <c r="B131" s="11">
        <v>2.5</v>
      </c>
      <c r="F131" s="214"/>
      <c r="G131" s="215"/>
      <c r="J131" s="215"/>
      <c r="K131" s="215"/>
      <c r="L131" s="215" t="str">
        <f t="shared" si="1"/>
        <v/>
      </c>
      <c r="M131" s="54">
        <v>0</v>
      </c>
      <c r="S131" s="217">
        <v>1</v>
      </c>
      <c r="V131" s="217">
        <v>0.17987322453489135</v>
      </c>
      <c r="AA131" s="54">
        <v>0</v>
      </c>
      <c r="AC131" s="215">
        <f ca="1">IFERROR(__xludf.DUMMYFUNCTION("""COMPUTED_VALUE"""),160000)</f>
        <v>160000</v>
      </c>
    </row>
    <row r="132" spans="1:29" ht="13.2">
      <c r="A132" s="11">
        <v>2.333333333333333</v>
      </c>
      <c r="B132" s="11">
        <v>2.2999999999999998</v>
      </c>
      <c r="F132" s="214"/>
      <c r="G132" s="215"/>
      <c r="J132" s="215"/>
      <c r="K132" s="215"/>
      <c r="L132" s="215">
        <f t="shared" si="1"/>
        <v>305370</v>
      </c>
      <c r="M132" s="54">
        <v>305370</v>
      </c>
      <c r="S132" s="217">
        <v>1</v>
      </c>
      <c r="V132" s="217">
        <v>8.6754551917770248E-2</v>
      </c>
      <c r="AA132" s="54">
        <v>0</v>
      </c>
      <c r="AC132" s="215">
        <f ca="1">IFERROR(__xludf.DUMMYFUNCTION("""COMPUTED_VALUE"""),2100000)</f>
        <v>2100000</v>
      </c>
    </row>
    <row r="133" spans="1:29" ht="13.2">
      <c r="A133" s="11">
        <v>3.3859649122807012</v>
      </c>
      <c r="B133" s="11">
        <v>3.05</v>
      </c>
      <c r="F133" s="214"/>
      <c r="G133" s="215"/>
      <c r="J133" s="215"/>
      <c r="K133" s="215"/>
      <c r="L133" s="215" t="str">
        <f t="shared" si="1"/>
        <v/>
      </c>
      <c r="M133" s="54">
        <v>0</v>
      </c>
      <c r="S133" s="217">
        <v>1</v>
      </c>
      <c r="V133" s="217">
        <v>7.3501138226725327E-2</v>
      </c>
      <c r="AA133" s="54">
        <v>0</v>
      </c>
      <c r="AC133" s="215">
        <f ca="1">IFERROR(__xludf.DUMMYFUNCTION("""COMPUTED_VALUE"""),25032)</f>
        <v>25032</v>
      </c>
    </row>
    <row r="134" spans="1:29" ht="13.2">
      <c r="A134" s="11">
        <v>3.0350877192982453</v>
      </c>
      <c r="B134" s="11">
        <v>2.8</v>
      </c>
      <c r="F134" s="214"/>
      <c r="G134" s="215"/>
      <c r="J134" s="215"/>
      <c r="K134" s="215"/>
      <c r="L134" s="215">
        <f t="shared" si="1"/>
        <v>2293</v>
      </c>
      <c r="M134" s="54">
        <v>2293</v>
      </c>
      <c r="S134" s="217">
        <v>2.6296875000000001E-2</v>
      </c>
      <c r="V134" s="217">
        <v>2.3847822962085794E-2</v>
      </c>
      <c r="AA134" s="54">
        <v>192000</v>
      </c>
      <c r="AC134" s="215">
        <f ca="1">IFERROR(__xludf.DUMMYFUNCTION("""COMPUTED_VALUE"""),1410090)</f>
        <v>1410090</v>
      </c>
    </row>
    <row r="135" spans="1:29" ht="13.2">
      <c r="A135" s="11">
        <v>3.1754385964912277</v>
      </c>
      <c r="B135" s="11">
        <v>2.9</v>
      </c>
      <c r="F135" s="214"/>
      <c r="G135" s="215"/>
      <c r="J135" s="215"/>
      <c r="K135" s="215"/>
      <c r="L135" s="215">
        <f t="shared" si="1"/>
        <v>782715</v>
      </c>
      <c r="M135" s="54">
        <v>782715</v>
      </c>
      <c r="S135" s="217">
        <v>1</v>
      </c>
      <c r="V135" s="217">
        <v>1.8770508054522926E-2</v>
      </c>
      <c r="AA135" s="54">
        <v>0</v>
      </c>
      <c r="AC135" s="215">
        <f ca="1">IFERROR(__xludf.DUMMYFUNCTION("""COMPUTED_VALUE"""),203768)</f>
        <v>203768</v>
      </c>
    </row>
    <row r="136" spans="1:29" ht="13.2">
      <c r="A136" s="11">
        <v>2.6140350877192979</v>
      </c>
      <c r="B136" s="11">
        <v>2.5</v>
      </c>
      <c r="F136" s="214"/>
      <c r="G136" s="215"/>
      <c r="J136" s="215"/>
      <c r="K136" s="215"/>
      <c r="L136" s="215" t="str">
        <f t="shared" si="1"/>
        <v/>
      </c>
      <c r="M136" s="54">
        <v>0</v>
      </c>
      <c r="S136" s="217">
        <v>4.8429554651018801E-2</v>
      </c>
      <c r="V136" s="217">
        <v>1.4256059991580189E-2</v>
      </c>
      <c r="AA136" s="54">
        <v>500686</v>
      </c>
      <c r="AC136" s="215">
        <f ca="1">IFERROR(__xludf.DUMMYFUNCTION("""COMPUTED_VALUE"""),18148)</f>
        <v>18148</v>
      </c>
    </row>
    <row r="137" spans="1:29" ht="13.2">
      <c r="A137" s="11">
        <v>2.192982456140351</v>
      </c>
      <c r="B137" s="11">
        <v>2.2000000000000002</v>
      </c>
      <c r="F137" s="214"/>
      <c r="G137" s="215"/>
      <c r="J137" s="215"/>
      <c r="K137" s="215"/>
      <c r="L137" s="215" t="str">
        <f t="shared" si="1"/>
        <v/>
      </c>
      <c r="M137" s="54">
        <v>0</v>
      </c>
      <c r="S137" s="217">
        <v>1</v>
      </c>
      <c r="V137" s="217">
        <v>1.3514914797276277E-2</v>
      </c>
      <c r="AA137" s="54">
        <v>0</v>
      </c>
      <c r="AC137" s="215">
        <f ca="1">IFERROR(__xludf.DUMMYFUNCTION("""COMPUTED_VALUE"""),5000)</f>
        <v>5000</v>
      </c>
    </row>
    <row r="138" spans="1:29" ht="13.2">
      <c r="A138" s="11">
        <v>3.5263157894736841</v>
      </c>
      <c r="B138" s="11">
        <v>3.15</v>
      </c>
      <c r="F138" s="214"/>
      <c r="G138" s="215"/>
      <c r="J138" s="215"/>
      <c r="K138" s="215"/>
      <c r="L138" s="215">
        <f t="shared" si="1"/>
        <v>813613</v>
      </c>
      <c r="M138" s="54">
        <v>813613</v>
      </c>
      <c r="S138" s="217">
        <v>1.9733081788910699E-3</v>
      </c>
      <c r="V138" s="217">
        <v>9.3733559361664817E-2</v>
      </c>
      <c r="AA138" s="54">
        <v>3182473</v>
      </c>
      <c r="AC138" s="215">
        <f ca="1">IFERROR(__xludf.DUMMYFUNCTION("""COMPUTED_VALUE"""),1796000)</f>
        <v>1796000</v>
      </c>
    </row>
    <row r="139" spans="1:29" ht="13.2">
      <c r="A139" s="11">
        <v>2.192982456140351</v>
      </c>
      <c r="B139" s="11">
        <v>2.2000000000000002</v>
      </c>
      <c r="F139" s="214"/>
      <c r="G139" s="215"/>
      <c r="J139" s="215"/>
      <c r="K139" s="215"/>
      <c r="L139" s="215">
        <f t="shared" si="1"/>
        <v>759911</v>
      </c>
      <c r="M139" s="54">
        <v>759911</v>
      </c>
      <c r="S139" s="217">
        <v>1.4797017469474459E-3</v>
      </c>
      <c r="V139" s="217">
        <v>5.5823210572130775E-3</v>
      </c>
      <c r="AA139" s="54">
        <v>466986</v>
      </c>
      <c r="AC139" s="215">
        <f ca="1">IFERROR(__xludf.DUMMYFUNCTION("""COMPUTED_VALUE"""),3476667)</f>
        <v>3476667</v>
      </c>
    </row>
    <row r="140" spans="1:29" ht="13.2">
      <c r="A140" s="11">
        <v>2.192982456140351</v>
      </c>
      <c r="B140" s="11">
        <v>2.2000000000000002</v>
      </c>
      <c r="F140" s="214"/>
      <c r="G140" s="215"/>
      <c r="J140" s="215"/>
      <c r="K140" s="215"/>
      <c r="L140" s="215">
        <f t="shared" si="1"/>
        <v>500</v>
      </c>
      <c r="M140" s="54">
        <v>500</v>
      </c>
      <c r="S140" s="217">
        <v>1</v>
      </c>
      <c r="V140" s="217">
        <v>5.1873333333333334E-2</v>
      </c>
      <c r="AA140" s="54">
        <v>0</v>
      </c>
      <c r="AC140" s="215">
        <f ca="1">IFERROR(__xludf.DUMMYFUNCTION("""COMPUTED_VALUE"""),13815635)</f>
        <v>13815635</v>
      </c>
    </row>
    <row r="141" spans="1:29" ht="13.2">
      <c r="A141" s="11">
        <v>2.4035087719298245</v>
      </c>
      <c r="B141" s="11">
        <v>2.35</v>
      </c>
      <c r="F141" s="214"/>
      <c r="G141" s="215"/>
      <c r="J141" s="215"/>
      <c r="K141" s="215"/>
      <c r="L141" s="215">
        <f t="shared" si="1"/>
        <v>72144</v>
      </c>
      <c r="M141" s="54">
        <v>72144</v>
      </c>
      <c r="S141" s="217">
        <v>6.1173379405456106E-2</v>
      </c>
      <c r="V141" s="217">
        <v>2.6337142857142858E-2</v>
      </c>
      <c r="AA141" s="54">
        <v>917981</v>
      </c>
      <c r="AC141" s="215">
        <f ca="1">IFERROR(__xludf.DUMMYFUNCTION("""COMPUTED_VALUE"""),1243450)</f>
        <v>1243450</v>
      </c>
    </row>
    <row r="142" spans="1:29" ht="13.2">
      <c r="A142" s="11">
        <v>2.8245614035087714</v>
      </c>
      <c r="B142" s="11">
        <v>2.65</v>
      </c>
      <c r="F142" s="214"/>
      <c r="G142" s="215"/>
      <c r="J142" s="215"/>
      <c r="K142" s="215"/>
      <c r="L142" s="215" t="str">
        <f t="shared" si="1"/>
        <v/>
      </c>
      <c r="M142" s="54">
        <v>0</v>
      </c>
      <c r="S142" s="217">
        <v>1</v>
      </c>
      <c r="V142" s="217">
        <v>0.21380632790028764</v>
      </c>
      <c r="AA142" s="54">
        <v>21700</v>
      </c>
      <c r="AC142" s="215">
        <f ca="1">IFERROR(__xludf.DUMMYFUNCTION("""COMPUTED_VALUE"""),25000)</f>
        <v>25000</v>
      </c>
    </row>
    <row r="143" spans="1:29" ht="13.2">
      <c r="A143" s="11">
        <v>1.6315789473684208</v>
      </c>
      <c r="B143" s="11">
        <v>1.7999999999999998</v>
      </c>
      <c r="F143" s="214"/>
      <c r="G143" s="215"/>
      <c r="J143" s="215"/>
      <c r="K143" s="215"/>
      <c r="L143" s="215">
        <f t="shared" si="1"/>
        <v>109413</v>
      </c>
      <c r="M143" s="54">
        <v>109413</v>
      </c>
      <c r="S143" s="217">
        <v>1</v>
      </c>
      <c r="V143" s="217">
        <v>2.0349764908622853E-2</v>
      </c>
      <c r="AA143" s="54">
        <v>0</v>
      </c>
      <c r="AC143" s="215">
        <f ca="1">IFERROR(__xludf.DUMMYFUNCTION("""COMPUTED_VALUE"""),4154770)</f>
        <v>4154770</v>
      </c>
    </row>
    <row r="144" spans="1:29" ht="13.2">
      <c r="A144" s="11">
        <v>3.0350877192982453</v>
      </c>
      <c r="B144" s="11">
        <v>2.8</v>
      </c>
      <c r="F144" s="214"/>
      <c r="G144" s="215"/>
      <c r="J144" s="215"/>
      <c r="K144" s="215"/>
      <c r="L144" s="215">
        <f t="shared" si="1"/>
        <v>199139</v>
      </c>
      <c r="M144" s="54">
        <v>199139</v>
      </c>
      <c r="S144" s="217">
        <v>2.3199933714475103E-2</v>
      </c>
      <c r="V144" s="217">
        <v>9.2251972831847981E-2</v>
      </c>
      <c r="AA144" s="54">
        <v>36207</v>
      </c>
      <c r="AC144" s="215">
        <f ca="1">IFERROR(__xludf.DUMMYFUNCTION("""COMPUTED_VALUE"""),1235000)</f>
        <v>1235000</v>
      </c>
    </row>
    <row r="145" spans="1:29" ht="13.2">
      <c r="A145" s="11">
        <v>2.192982456140351</v>
      </c>
      <c r="B145" s="11">
        <v>2.2000000000000002</v>
      </c>
      <c r="F145" s="214"/>
      <c r="G145" s="215"/>
      <c r="J145" s="215"/>
      <c r="K145" s="215"/>
      <c r="L145" s="215">
        <f t="shared" si="1"/>
        <v>12142</v>
      </c>
      <c r="M145" s="54">
        <v>12142</v>
      </c>
      <c r="S145" s="217">
        <v>1.7365366614664587E-2</v>
      </c>
      <c r="V145" s="217">
        <v>5.4606568216883401E-2</v>
      </c>
      <c r="AA145" s="54">
        <v>1602500</v>
      </c>
      <c r="AC145" s="215">
        <f ca="1">IFERROR(__xludf.DUMMYFUNCTION("""COMPUTED_VALUE"""),737283)</f>
        <v>737283</v>
      </c>
    </row>
    <row r="146" spans="1:29" ht="13.2">
      <c r="A146" s="11">
        <v>1.9122807017543857</v>
      </c>
      <c r="B146" s="11">
        <v>2</v>
      </c>
      <c r="F146" s="214"/>
      <c r="G146" s="215"/>
      <c r="J146" s="215"/>
      <c r="K146" s="215"/>
      <c r="L146" s="215" t="str">
        <f t="shared" si="1"/>
        <v/>
      </c>
      <c r="M146" s="54">
        <v>0</v>
      </c>
      <c r="S146" s="217">
        <v>4.0584415584415587E-4</v>
      </c>
      <c r="V146" s="217">
        <v>0.62160000000000004</v>
      </c>
      <c r="AA146" s="54">
        <v>98560</v>
      </c>
      <c r="AC146" s="215">
        <f ca="1">IFERROR(__xludf.DUMMYFUNCTION("""COMPUTED_VALUE"""),118736)</f>
        <v>118736</v>
      </c>
    </row>
    <row r="147" spans="1:29" ht="13.2">
      <c r="A147" s="11">
        <v>2.8245614035087714</v>
      </c>
      <c r="B147" s="11">
        <v>2.65</v>
      </c>
      <c r="F147" s="214"/>
      <c r="G147" s="215"/>
      <c r="J147" s="215"/>
      <c r="K147" s="215"/>
      <c r="L147" s="215" t="str">
        <f t="shared" si="1"/>
        <v/>
      </c>
      <c r="M147" s="54">
        <v>0</v>
      </c>
      <c r="S147" s="217">
        <v>1</v>
      </c>
      <c r="V147" s="217">
        <v>1.3546770601336304E-3</v>
      </c>
      <c r="AA147" s="54">
        <v>50000</v>
      </c>
      <c r="AC147" s="215">
        <f ca="1">IFERROR(__xludf.DUMMYFUNCTION("""COMPUTED_VALUE"""),140294)</f>
        <v>140294</v>
      </c>
    </row>
    <row r="148" spans="1:29" ht="13.2">
      <c r="A148" s="11">
        <v>3.4561403508771922</v>
      </c>
      <c r="B148" s="11">
        <v>3.0999999999999996</v>
      </c>
      <c r="F148" s="214"/>
      <c r="G148" s="215"/>
      <c r="J148" s="215"/>
      <c r="K148" s="215"/>
      <c r="L148" s="215" t="str">
        <f t="shared" si="1"/>
        <v/>
      </c>
      <c r="M148" s="54">
        <v>0</v>
      </c>
      <c r="S148" s="217">
        <v>1.6661838224916244E-2</v>
      </c>
      <c r="V148" s="217">
        <v>3.6271808602894667E-2</v>
      </c>
      <c r="AA148" s="54">
        <v>134619</v>
      </c>
      <c r="AC148" s="215">
        <f ca="1">IFERROR(__xludf.DUMMYFUNCTION("""COMPUTED_VALUE"""),30099)</f>
        <v>30099</v>
      </c>
    </row>
    <row r="149" spans="1:29" ht="13.2">
      <c r="A149" s="11">
        <v>2.8245614035087714</v>
      </c>
      <c r="B149" s="11">
        <v>2.65</v>
      </c>
      <c r="F149" s="214"/>
      <c r="G149" s="215"/>
      <c r="J149" s="215"/>
      <c r="K149" s="215"/>
      <c r="L149" s="215">
        <f t="shared" si="1"/>
        <v>258659</v>
      </c>
      <c r="M149" s="54">
        <v>258659</v>
      </c>
      <c r="S149" s="217">
        <v>1.0170212765957446E-2</v>
      </c>
      <c r="V149" s="217">
        <v>4.4466666666666668E-2</v>
      </c>
      <c r="AA149" s="54">
        <v>235000</v>
      </c>
      <c r="AC149" s="215">
        <f ca="1">IFERROR(__xludf.DUMMYFUNCTION("""COMPUTED_VALUE"""),5870)</f>
        <v>5870</v>
      </c>
    </row>
    <row r="150" spans="1:29" ht="13.2">
      <c r="A150" s="11">
        <v>2.192982456140351</v>
      </c>
      <c r="B150" s="11">
        <v>2.2000000000000002</v>
      </c>
      <c r="F150" s="214"/>
      <c r="G150" s="215"/>
      <c r="J150" s="215"/>
      <c r="K150" s="215"/>
      <c r="L150" s="215">
        <f t="shared" si="1"/>
        <v>4717684</v>
      </c>
      <c r="M150" s="54">
        <v>4717684</v>
      </c>
      <c r="S150" s="217">
        <v>9.2744444444444445E-3</v>
      </c>
      <c r="V150" s="217">
        <v>1.0744421085241467E-2</v>
      </c>
      <c r="AA150" s="54">
        <v>1800000</v>
      </c>
      <c r="AC150" s="215">
        <f ca="1">IFERROR(__xludf.DUMMYFUNCTION("""COMPUTED_VALUE"""),353664)</f>
        <v>353664</v>
      </c>
    </row>
    <row r="151" spans="1:29" ht="13.2">
      <c r="A151" s="11">
        <v>3.3859649122807021</v>
      </c>
      <c r="B151" s="11">
        <v>3.0500000000000003</v>
      </c>
      <c r="F151" s="214"/>
      <c r="G151" s="215"/>
      <c r="J151" s="215"/>
      <c r="K151" s="215"/>
      <c r="L151" s="215">
        <f t="shared" si="1"/>
        <v>313961</v>
      </c>
      <c r="M151" s="54">
        <v>313961</v>
      </c>
      <c r="S151" s="217">
        <v>1.3458337054033879E-2</v>
      </c>
      <c r="V151" s="217">
        <v>1.6923076923076923E-2</v>
      </c>
      <c r="AA151" s="54">
        <v>4513039</v>
      </c>
      <c r="AC151" s="215">
        <f ca="1">IFERROR(__xludf.DUMMYFUNCTION("""COMPUTED_VALUE"""),21865751)</f>
        <v>21865751</v>
      </c>
    </row>
    <row r="152" spans="1:29" ht="13.2">
      <c r="A152" s="11">
        <v>3.7368421052631575</v>
      </c>
      <c r="B152" s="11">
        <v>3.3</v>
      </c>
      <c r="F152" s="214"/>
      <c r="G152" s="215"/>
      <c r="J152" s="215"/>
      <c r="K152" s="215"/>
      <c r="L152" s="215">
        <f t="shared" si="1"/>
        <v>234</v>
      </c>
      <c r="M152" s="54">
        <v>234</v>
      </c>
      <c r="S152" s="217">
        <v>2.0766804053083461E-2</v>
      </c>
      <c r="V152" s="217">
        <v>1.8960000000000001E-2</v>
      </c>
      <c r="AA152" s="54">
        <v>723992</v>
      </c>
      <c r="AC152" s="215">
        <f ca="1">IFERROR(__xludf.DUMMYFUNCTION("""COMPUTED_VALUE"""),60000)</f>
        <v>60000</v>
      </c>
    </row>
    <row r="153" spans="1:29" ht="13.2">
      <c r="A153" s="11">
        <v>3.5964912280701751</v>
      </c>
      <c r="B153" s="11">
        <v>3.1999999999999997</v>
      </c>
      <c r="F153" s="214"/>
      <c r="G153" s="215"/>
      <c r="J153" s="215"/>
      <c r="K153" s="215"/>
      <c r="L153" s="215" t="str">
        <f t="shared" si="1"/>
        <v/>
      </c>
      <c r="M153" s="54">
        <v>0</v>
      </c>
      <c r="S153" s="217">
        <v>1</v>
      </c>
      <c r="V153" s="217">
        <v>2.7492255889014314E-2</v>
      </c>
      <c r="AA153" s="54">
        <v>0</v>
      </c>
    </row>
    <row r="154" spans="1:29" ht="13.2">
      <c r="A154" s="11">
        <v>4.0175438596491224</v>
      </c>
      <c r="B154" s="11">
        <v>3.5</v>
      </c>
      <c r="F154" s="214"/>
      <c r="G154" s="215"/>
      <c r="J154" s="215"/>
      <c r="K154" s="215"/>
      <c r="L154" s="215">
        <f t="shared" si="1"/>
        <v>334811</v>
      </c>
      <c r="M154" s="54">
        <v>334811</v>
      </c>
      <c r="S154" s="217">
        <v>8.1485294117647059E-2</v>
      </c>
      <c r="V154" s="217">
        <v>7.1809302325581401E-2</v>
      </c>
      <c r="AA154" s="54">
        <v>136000</v>
      </c>
    </row>
    <row r="155" spans="1:29" ht="13.2">
      <c r="A155" s="11">
        <v>2.8245614035087714</v>
      </c>
      <c r="B155" s="11">
        <v>2.65</v>
      </c>
      <c r="F155" s="214"/>
      <c r="G155" s="215"/>
      <c r="J155" s="215"/>
      <c r="K155" s="215"/>
      <c r="L155" s="215" t="str">
        <f t="shared" si="1"/>
        <v/>
      </c>
      <c r="M155" s="54">
        <v>0</v>
      </c>
      <c r="S155" s="217">
        <v>3.1140528780559756E-2</v>
      </c>
      <c r="V155" s="217">
        <v>1.6019433198380569E-2</v>
      </c>
      <c r="AA155" s="54">
        <v>54238</v>
      </c>
    </row>
    <row r="156" spans="1:29" ht="13.2">
      <c r="A156" s="11">
        <v>2.8245614035087714</v>
      </c>
      <c r="B156" s="11">
        <v>2.65</v>
      </c>
      <c r="F156" s="214"/>
      <c r="G156" s="215"/>
      <c r="J156" s="215"/>
      <c r="K156" s="215"/>
      <c r="L156" s="215">
        <f t="shared" si="1"/>
        <v>1565135</v>
      </c>
      <c r="M156" s="54">
        <v>1565135</v>
      </c>
      <c r="S156" s="217">
        <v>6.0400000000000002E-2</v>
      </c>
      <c r="V156" s="217">
        <v>5.1350702511789911E-3</v>
      </c>
      <c r="AA156" s="54">
        <v>565000</v>
      </c>
    </row>
    <row r="157" spans="1:29" ht="13.2">
      <c r="A157" s="11">
        <v>2.8245614035087714</v>
      </c>
      <c r="B157" s="11">
        <v>2.65</v>
      </c>
      <c r="F157" s="214"/>
      <c r="G157" s="215"/>
      <c r="J157" s="215"/>
      <c r="K157" s="215"/>
      <c r="L157" s="215">
        <f t="shared" si="1"/>
        <v>635</v>
      </c>
      <c r="M157" s="54">
        <v>635</v>
      </c>
      <c r="S157" s="217">
        <v>3.8349194384245736E-2</v>
      </c>
      <c r="V157" s="217">
        <v>2.0027624309392266E-2</v>
      </c>
      <c r="AA157" s="54">
        <v>10613</v>
      </c>
    </row>
    <row r="158" spans="1:29" ht="13.2">
      <c r="A158" s="11">
        <v>4.2280701754385959</v>
      </c>
      <c r="B158" s="11">
        <v>3.65</v>
      </c>
      <c r="F158" s="214"/>
      <c r="G158" s="215"/>
      <c r="J158" s="215"/>
      <c r="K158" s="215"/>
      <c r="L158" s="215">
        <f t="shared" si="1"/>
        <v>781010</v>
      </c>
      <c r="M158" s="54">
        <v>781010</v>
      </c>
      <c r="S158" s="217">
        <v>1</v>
      </c>
      <c r="V158" s="217">
        <v>3.3828959185710009E-2</v>
      </c>
      <c r="AA158" s="54">
        <v>0</v>
      </c>
    </row>
    <row r="159" spans="1:29" ht="13.2">
      <c r="A159" s="11">
        <v>3.0350877192982453</v>
      </c>
      <c r="B159" s="11">
        <v>2.8</v>
      </c>
      <c r="F159" s="214"/>
      <c r="G159" s="215"/>
      <c r="J159" s="215"/>
      <c r="K159" s="215"/>
      <c r="L159" s="215">
        <f t="shared" si="1"/>
        <v>2173483</v>
      </c>
      <c r="M159" s="54">
        <v>2173483</v>
      </c>
      <c r="S159" s="217">
        <v>0.91877753080446367</v>
      </c>
      <c r="V159" s="217">
        <v>7.7743446626133755E-3</v>
      </c>
      <c r="AA159" s="54">
        <v>615901</v>
      </c>
    </row>
    <row r="160" spans="1:29" ht="13.2">
      <c r="A160" s="11">
        <v>3.0350877192982453</v>
      </c>
      <c r="B160" s="11">
        <v>2.8</v>
      </c>
      <c r="F160" s="214"/>
      <c r="G160" s="215"/>
      <c r="J160" s="215"/>
      <c r="K160" s="215"/>
      <c r="L160" s="215">
        <f t="shared" si="1"/>
        <v>65185</v>
      </c>
      <c r="M160" s="54">
        <v>65185</v>
      </c>
      <c r="S160" s="217">
        <v>4.032261024486461E-2</v>
      </c>
      <c r="V160" s="217">
        <v>0.20340715502555368</v>
      </c>
      <c r="AA160" s="54">
        <v>1362263</v>
      </c>
    </row>
    <row r="161" spans="1:27" ht="13.2">
      <c r="A161" s="11">
        <v>2.192982456140351</v>
      </c>
      <c r="B161" s="11">
        <v>2.2000000000000002</v>
      </c>
      <c r="F161" s="214"/>
      <c r="G161" s="215"/>
      <c r="J161" s="215"/>
      <c r="K161" s="215"/>
      <c r="L161" s="215" t="str">
        <f t="shared" si="1"/>
        <v/>
      </c>
      <c r="M161" s="54">
        <v>0</v>
      </c>
      <c r="S161" s="217">
        <v>1</v>
      </c>
      <c r="V161" s="217">
        <v>1.7335663228374956E-2</v>
      </c>
      <c r="AA161" s="54">
        <v>0</v>
      </c>
    </row>
    <row r="162" spans="1:27" ht="13.2">
      <c r="A162" s="11">
        <v>3.0350877192982453</v>
      </c>
      <c r="B162" s="11">
        <v>2.8</v>
      </c>
      <c r="F162" s="214"/>
      <c r="G162" s="215"/>
      <c r="J162" s="215"/>
      <c r="K162" s="215"/>
      <c r="L162" s="215" t="str">
        <f t="shared" si="1"/>
        <v/>
      </c>
      <c r="M162" s="54">
        <v>0</v>
      </c>
      <c r="S162" s="217">
        <v>1</v>
      </c>
      <c r="V162" s="217">
        <v>3.6194503449710007E-3</v>
      </c>
      <c r="AA162" s="54">
        <v>0</v>
      </c>
    </row>
    <row r="163" spans="1:27" ht="13.2">
      <c r="A163" s="11">
        <v>3.5964912280701755</v>
      </c>
      <c r="B163" s="11">
        <v>3.2</v>
      </c>
      <c r="F163" s="214"/>
      <c r="G163" s="215"/>
      <c r="J163" s="215"/>
      <c r="K163" s="215"/>
      <c r="L163" s="215" t="str">
        <f t="shared" si="1"/>
        <v/>
      </c>
      <c r="M163" s="54">
        <v>0</v>
      </c>
      <c r="S163" s="217">
        <v>1</v>
      </c>
      <c r="V163" s="217">
        <v>9.1800000000000007E-2</v>
      </c>
      <c r="AA163" s="54">
        <v>0</v>
      </c>
    </row>
    <row r="164" spans="1:27" ht="13.2">
      <c r="A164" s="11">
        <v>3.4561403508771922</v>
      </c>
      <c r="B164" s="11">
        <v>3.0999999999999996</v>
      </c>
      <c r="F164" s="214"/>
      <c r="G164" s="215"/>
      <c r="J164" s="215"/>
      <c r="K164" s="215"/>
      <c r="L164" s="215" t="str">
        <f t="shared" si="1"/>
        <v/>
      </c>
      <c r="M164" s="54">
        <v>0</v>
      </c>
      <c r="S164" s="217">
        <v>6.3925833333333335E-2</v>
      </c>
      <c r="AA164" s="54">
        <v>1200000</v>
      </c>
    </row>
    <row r="165" spans="1:27" ht="13.2">
      <c r="A165" s="11">
        <v>2.6140350877192979</v>
      </c>
      <c r="B165" s="11">
        <v>2.5</v>
      </c>
      <c r="F165" s="214"/>
      <c r="G165" s="215"/>
      <c r="J165" s="215"/>
      <c r="K165" s="215"/>
      <c r="L165" s="215" t="str">
        <f t="shared" si="1"/>
        <v/>
      </c>
      <c r="M165" s="54">
        <v>0</v>
      </c>
      <c r="S165" s="217">
        <v>1</v>
      </c>
      <c r="AA165" s="54">
        <v>0</v>
      </c>
    </row>
    <row r="166" spans="1:27" ht="13.2">
      <c r="A166" s="11">
        <v>2.6140350877192979</v>
      </c>
      <c r="B166" s="11">
        <v>2.5</v>
      </c>
      <c r="F166" s="214"/>
      <c r="G166" s="215"/>
      <c r="J166" s="215"/>
      <c r="K166" s="215"/>
      <c r="L166" s="215" t="str">
        <f t="shared" si="1"/>
        <v/>
      </c>
      <c r="M166" s="54">
        <v>0</v>
      </c>
      <c r="S166" s="217">
        <v>1.5574680732926153E-3</v>
      </c>
      <c r="AA166" s="54">
        <v>360200</v>
      </c>
    </row>
    <row r="167" spans="1:27" ht="13.2">
      <c r="A167" s="11">
        <v>3.2456140350877192</v>
      </c>
      <c r="B167" s="11">
        <v>2.95</v>
      </c>
      <c r="F167" s="214"/>
      <c r="G167" s="215"/>
      <c r="J167" s="215"/>
      <c r="K167" s="215"/>
      <c r="L167" s="215" t="str">
        <f t="shared" si="1"/>
        <v/>
      </c>
      <c r="M167" s="54">
        <v>0</v>
      </c>
      <c r="S167" s="217">
        <v>2.3406066086375053E-2</v>
      </c>
      <c r="AA167" s="54">
        <v>526402</v>
      </c>
    </row>
    <row r="168" spans="1:27" ht="13.2">
      <c r="A168" s="11">
        <v>2.4035087719298245</v>
      </c>
      <c r="B168" s="11">
        <v>2.35</v>
      </c>
      <c r="F168" s="214"/>
      <c r="G168" s="215"/>
      <c r="J168" s="215"/>
      <c r="K168" s="215"/>
      <c r="L168" s="215">
        <f t="shared" si="1"/>
        <v>749509</v>
      </c>
      <c r="M168" s="54">
        <v>749509</v>
      </c>
      <c r="S168" s="217">
        <v>7.0541216417281796E-2</v>
      </c>
      <c r="AA168" s="54">
        <v>2006203</v>
      </c>
    </row>
    <row r="169" spans="1:27" ht="13.2">
      <c r="A169" s="11">
        <v>3.0350877192982453</v>
      </c>
      <c r="B169" s="11">
        <v>2.8</v>
      </c>
      <c r="F169" s="214"/>
      <c r="G169" s="215"/>
      <c r="J169" s="215"/>
      <c r="K169" s="215"/>
      <c r="L169" s="215">
        <f t="shared" si="1"/>
        <v>98314</v>
      </c>
      <c r="M169" s="54">
        <v>98314</v>
      </c>
      <c r="S169" s="217">
        <v>1</v>
      </c>
      <c r="AA169" s="54">
        <v>0</v>
      </c>
    </row>
    <row r="170" spans="1:27" ht="13.2">
      <c r="A170" s="11">
        <v>3.1754385964912277</v>
      </c>
      <c r="B170" s="11">
        <v>2.9</v>
      </c>
      <c r="F170" s="214"/>
      <c r="G170" s="215"/>
      <c r="J170" s="215"/>
      <c r="K170" s="215"/>
      <c r="L170" s="215">
        <f t="shared" si="1"/>
        <v>276616</v>
      </c>
      <c r="M170" s="54">
        <v>276616</v>
      </c>
      <c r="S170" s="217">
        <v>1.6171466657312238E-2</v>
      </c>
      <c r="AA170" s="54">
        <v>114028</v>
      </c>
    </row>
    <row r="171" spans="1:27" ht="13.2">
      <c r="A171" s="11">
        <v>2.6140350877192979</v>
      </c>
      <c r="B171" s="11">
        <v>2.5</v>
      </c>
      <c r="F171" s="214"/>
      <c r="G171" s="215"/>
      <c r="J171" s="215"/>
      <c r="K171" s="215"/>
      <c r="L171" s="215">
        <f t="shared" si="1"/>
        <v>1893</v>
      </c>
      <c r="M171" s="54">
        <v>1893</v>
      </c>
      <c r="S171" s="217">
        <v>1</v>
      </c>
      <c r="AA171" s="54">
        <v>0</v>
      </c>
    </row>
    <row r="172" spans="1:27" ht="13.2">
      <c r="A172" s="11">
        <v>1.9824561403508767</v>
      </c>
      <c r="B172" s="11">
        <v>2.0499999999999998</v>
      </c>
      <c r="F172" s="214"/>
      <c r="G172" s="215"/>
      <c r="J172" s="215"/>
      <c r="K172" s="215"/>
      <c r="L172" s="215">
        <f t="shared" si="1"/>
        <v>1710</v>
      </c>
      <c r="M172" s="54">
        <v>1710</v>
      </c>
      <c r="S172" s="217">
        <v>8.2081760501164572E-2</v>
      </c>
      <c r="AA172" s="54">
        <v>24902</v>
      </c>
    </row>
    <row r="173" spans="1:27" ht="13.2">
      <c r="A173" s="11">
        <v>3.0350877192982453</v>
      </c>
      <c r="B173" s="11">
        <v>2.8</v>
      </c>
      <c r="F173" s="214"/>
      <c r="G173" s="215"/>
      <c r="J173" s="215"/>
      <c r="K173" s="215"/>
      <c r="L173" s="215">
        <f t="shared" si="1"/>
        <v>1430801</v>
      </c>
      <c r="M173" s="54">
        <v>1430801</v>
      </c>
      <c r="S173" s="217">
        <v>1</v>
      </c>
      <c r="AA173" s="54">
        <v>0</v>
      </c>
    </row>
    <row r="174" spans="1:27" ht="13.2">
      <c r="A174" s="11">
        <v>2.4035087719298245</v>
      </c>
      <c r="B174" s="11">
        <v>2.35</v>
      </c>
      <c r="F174" s="214"/>
      <c r="G174" s="215"/>
      <c r="J174" s="215"/>
      <c r="K174" s="215"/>
      <c r="L174" s="215">
        <f t="shared" si="1"/>
        <v>75515</v>
      </c>
      <c r="M174" s="54">
        <v>75515</v>
      </c>
      <c r="S174" s="217">
        <v>3.0847985330493665E-3</v>
      </c>
      <c r="AA174" s="54">
        <v>104707</v>
      </c>
    </row>
    <row r="175" spans="1:27" ht="13.2">
      <c r="A175" s="11">
        <v>2.6140350877192979</v>
      </c>
      <c r="B175" s="11">
        <v>2.5</v>
      </c>
      <c r="F175" s="214"/>
      <c r="G175" s="215"/>
      <c r="J175" s="215"/>
      <c r="K175" s="215"/>
      <c r="L175" s="215" t="str">
        <f t="shared" si="1"/>
        <v/>
      </c>
      <c r="M175" s="54">
        <v>0</v>
      </c>
      <c r="S175" s="217">
        <v>1</v>
      </c>
      <c r="AA175" s="54">
        <v>0</v>
      </c>
    </row>
    <row r="176" spans="1:27" ht="13.2">
      <c r="A176" s="11">
        <v>3.4561403508771922</v>
      </c>
      <c r="B176" s="11">
        <v>3.0999999999999996</v>
      </c>
      <c r="F176" s="214"/>
      <c r="G176" s="215"/>
      <c r="J176" s="215"/>
      <c r="K176" s="215"/>
      <c r="L176" s="215">
        <f t="shared" si="1"/>
        <v>1201406</v>
      </c>
      <c r="M176" s="54">
        <v>1201406</v>
      </c>
      <c r="S176" s="217">
        <v>1</v>
      </c>
      <c r="AA176" s="54">
        <v>0</v>
      </c>
    </row>
    <row r="177" spans="1:27" ht="13.2">
      <c r="A177" s="11">
        <v>3.0350877192982453</v>
      </c>
      <c r="B177" s="11">
        <v>2.8</v>
      </c>
      <c r="F177" s="214"/>
      <c r="G177" s="215"/>
      <c r="J177" s="215"/>
      <c r="K177" s="215"/>
      <c r="L177" s="215">
        <f t="shared" si="1"/>
        <v>2089477</v>
      </c>
      <c r="M177" s="54">
        <v>2089477</v>
      </c>
      <c r="S177" s="217">
        <v>4.250430622009569E-2</v>
      </c>
      <c r="AA177" s="54">
        <v>1045000</v>
      </c>
    </row>
    <row r="178" spans="1:27" ht="13.2">
      <c r="A178" s="11">
        <v>3.0350877192982453</v>
      </c>
      <c r="B178" s="11">
        <v>2.8</v>
      </c>
      <c r="F178" s="214"/>
      <c r="G178" s="215"/>
      <c r="J178" s="215"/>
      <c r="K178" s="215"/>
      <c r="L178" s="215">
        <f t="shared" si="1"/>
        <v>1349052</v>
      </c>
      <c r="M178" s="54">
        <v>1349052</v>
      </c>
      <c r="S178" s="217">
        <v>2.5919365869912142E-2</v>
      </c>
      <c r="AA178" s="54">
        <v>570230</v>
      </c>
    </row>
    <row r="179" spans="1:27" ht="13.2">
      <c r="A179" s="11">
        <v>3.0350877192982453</v>
      </c>
      <c r="B179" s="11">
        <v>2.8</v>
      </c>
      <c r="F179" s="214"/>
      <c r="G179" s="215"/>
      <c r="J179" s="215"/>
      <c r="K179" s="215"/>
      <c r="L179" s="215" t="str">
        <f t="shared" si="1"/>
        <v/>
      </c>
      <c r="M179" s="54">
        <v>0</v>
      </c>
      <c r="S179" s="217">
        <v>1</v>
      </c>
      <c r="AA179" s="54">
        <v>0</v>
      </c>
    </row>
    <row r="180" spans="1:27" ht="13.2">
      <c r="A180" s="11">
        <v>2.8245614035087714</v>
      </c>
      <c r="B180" s="11">
        <v>2.65</v>
      </c>
      <c r="F180" s="214"/>
      <c r="G180" s="215"/>
      <c r="J180" s="215"/>
      <c r="K180" s="215"/>
      <c r="L180" s="215">
        <f t="shared" si="1"/>
        <v>300</v>
      </c>
      <c r="M180" s="54">
        <v>300</v>
      </c>
      <c r="S180" s="217">
        <v>6.1782990450554381E-2</v>
      </c>
      <c r="AA180" s="54">
        <v>93618</v>
      </c>
    </row>
    <row r="181" spans="1:27" ht="13.2">
      <c r="A181" s="11">
        <v>3.807017543859649</v>
      </c>
      <c r="B181" s="11">
        <v>3.35</v>
      </c>
      <c r="F181" s="214"/>
      <c r="G181" s="215"/>
      <c r="J181" s="215"/>
      <c r="K181" s="215"/>
      <c r="L181" s="215">
        <f t="shared" si="1"/>
        <v>2332</v>
      </c>
      <c r="M181" s="54">
        <v>2332</v>
      </c>
      <c r="S181" s="217">
        <v>8.6639206520561923E-2</v>
      </c>
      <c r="AA181" s="54">
        <v>286233</v>
      </c>
    </row>
    <row r="182" spans="1:27" ht="13.2">
      <c r="A182" s="11">
        <v>2.6140350877192979</v>
      </c>
      <c r="B182" s="11">
        <v>2.5</v>
      </c>
      <c r="F182" s="214"/>
      <c r="G182" s="215"/>
      <c r="J182" s="215"/>
      <c r="K182" s="215"/>
      <c r="L182" s="215">
        <f t="shared" si="1"/>
        <v>927143</v>
      </c>
      <c r="M182" s="54">
        <v>927143</v>
      </c>
      <c r="S182" s="217">
        <v>5.178788441242259E-3</v>
      </c>
      <c r="AA182" s="54">
        <v>1476214</v>
      </c>
    </row>
    <row r="183" spans="1:27" ht="13.2">
      <c r="A183" s="11">
        <v>2.6140350877192979</v>
      </c>
      <c r="B183" s="11">
        <v>2.5</v>
      </c>
      <c r="F183" s="214"/>
      <c r="G183" s="215"/>
      <c r="J183" s="215"/>
      <c r="K183" s="215"/>
      <c r="L183" s="215" t="str">
        <f t="shared" si="1"/>
        <v/>
      </c>
      <c r="M183" s="54">
        <v>0</v>
      </c>
      <c r="S183" s="217">
        <v>1</v>
      </c>
      <c r="AA183" s="54">
        <v>0</v>
      </c>
    </row>
    <row r="184" spans="1:27" ht="13.2">
      <c r="A184" s="11">
        <v>3.1754385964912277</v>
      </c>
      <c r="B184" s="11">
        <v>2.9</v>
      </c>
      <c r="F184" s="214"/>
      <c r="G184" s="215"/>
      <c r="J184" s="215"/>
      <c r="K184" s="215"/>
      <c r="L184" s="215" t="str">
        <f t="shared" si="1"/>
        <v/>
      </c>
      <c r="M184" s="54">
        <v>0</v>
      </c>
      <c r="S184" s="217">
        <v>2.5849982015124073E-3</v>
      </c>
      <c r="AA184" s="54">
        <v>953579</v>
      </c>
    </row>
    <row r="185" spans="1:27" ht="13.2">
      <c r="A185" s="11">
        <v>2.192982456140351</v>
      </c>
      <c r="B185" s="11">
        <v>2.2000000000000002</v>
      </c>
      <c r="F185" s="214"/>
      <c r="G185" s="215"/>
      <c r="J185" s="215"/>
      <c r="K185" s="215"/>
      <c r="L185" s="215" t="str">
        <f t="shared" si="1"/>
        <v/>
      </c>
      <c r="M185" s="54">
        <v>0</v>
      </c>
      <c r="S185" s="217">
        <v>8.3299999999999999E-2</v>
      </c>
      <c r="AA185" s="54">
        <v>10000</v>
      </c>
    </row>
    <row r="186" spans="1:27" ht="13.2">
      <c r="A186" s="11">
        <v>3.4561403508771922</v>
      </c>
      <c r="B186" s="11">
        <v>3.0999999999999996</v>
      </c>
      <c r="F186" s="214"/>
      <c r="G186" s="215"/>
      <c r="J186" s="215"/>
      <c r="K186" s="215"/>
      <c r="L186" s="215" t="str">
        <f t="shared" si="1"/>
        <v/>
      </c>
      <c r="M186" s="54">
        <v>0</v>
      </c>
      <c r="S186" s="217">
        <v>1</v>
      </c>
      <c r="AA186" s="54">
        <v>87700</v>
      </c>
    </row>
    <row r="187" spans="1:27" ht="13.2">
      <c r="A187" s="11">
        <v>3.0350877192982453</v>
      </c>
      <c r="B187" s="11">
        <v>2.8</v>
      </c>
      <c r="F187" s="214"/>
      <c r="G187" s="215"/>
      <c r="J187" s="215"/>
      <c r="K187" s="215"/>
      <c r="L187" s="215">
        <f t="shared" si="1"/>
        <v>17130</v>
      </c>
      <c r="M187" s="54">
        <v>17130</v>
      </c>
      <c r="S187" s="217">
        <v>2.5793462062842828E-2</v>
      </c>
      <c r="AA187" s="54">
        <v>63078</v>
      </c>
    </row>
    <row r="188" spans="1:27" ht="13.2">
      <c r="A188" s="11">
        <v>2.192982456140351</v>
      </c>
      <c r="B188" s="11">
        <v>2.2000000000000002</v>
      </c>
      <c r="F188" s="214"/>
      <c r="G188" s="215"/>
      <c r="J188" s="215"/>
      <c r="K188" s="215"/>
      <c r="L188" s="215">
        <f t="shared" si="1"/>
        <v>1057318</v>
      </c>
      <c r="M188" s="54">
        <v>1057318</v>
      </c>
      <c r="S188" s="217">
        <v>1</v>
      </c>
      <c r="AA188" s="54">
        <v>0</v>
      </c>
    </row>
    <row r="189" spans="1:27" ht="13.2">
      <c r="A189" s="11">
        <v>3.807017543859649</v>
      </c>
      <c r="B189" s="11">
        <v>3.35</v>
      </c>
      <c r="F189" s="214"/>
      <c r="G189" s="215"/>
      <c r="J189" s="215"/>
      <c r="K189" s="215"/>
      <c r="L189" s="215" t="str">
        <f t="shared" si="1"/>
        <v/>
      </c>
      <c r="M189" s="54">
        <v>0</v>
      </c>
      <c r="S189" s="217">
        <v>5.8680000000000003E-2</v>
      </c>
      <c r="AA189" s="54">
        <v>50000</v>
      </c>
    </row>
    <row r="190" spans="1:27" ht="13.2">
      <c r="A190" s="11">
        <v>2.6140350877192979</v>
      </c>
      <c r="B190" s="11">
        <v>2.5</v>
      </c>
      <c r="F190" s="214"/>
      <c r="G190" s="215"/>
      <c r="J190" s="215"/>
      <c r="K190" s="215"/>
      <c r="L190" s="215">
        <f t="shared" si="1"/>
        <v>105758</v>
      </c>
      <c r="M190" s="54">
        <v>105758</v>
      </c>
      <c r="S190" s="217">
        <v>3.2966666666666665E-3</v>
      </c>
      <c r="AA190" s="54">
        <v>600000</v>
      </c>
    </row>
    <row r="191" spans="1:27" ht="13.2">
      <c r="A191" s="11">
        <v>3.1052631578947367</v>
      </c>
      <c r="B191" s="11">
        <v>2.85</v>
      </c>
      <c r="F191" s="214"/>
      <c r="G191" s="215"/>
      <c r="J191" s="215"/>
      <c r="K191" s="215"/>
      <c r="L191" s="215">
        <f t="shared" si="1"/>
        <v>11877</v>
      </c>
      <c r="M191" s="54">
        <v>11877</v>
      </c>
      <c r="S191" s="217">
        <v>2.8722073429773228E-2</v>
      </c>
      <c r="AA191" s="54">
        <v>238214</v>
      </c>
    </row>
    <row r="192" spans="1:27" ht="13.2">
      <c r="A192" s="11">
        <v>2.8245614035087714</v>
      </c>
      <c r="B192" s="11">
        <v>2.65</v>
      </c>
      <c r="F192" s="214"/>
      <c r="G192" s="215"/>
      <c r="J192" s="215"/>
      <c r="K192" s="215"/>
      <c r="L192" s="215" t="str">
        <f t="shared" si="1"/>
        <v/>
      </c>
      <c r="M192" s="54">
        <v>0</v>
      </c>
      <c r="S192" s="217">
        <v>4.7997762066419321E-2</v>
      </c>
      <c r="AA192" s="54">
        <v>6595370</v>
      </c>
    </row>
    <row r="193" spans="1:27" ht="13.2">
      <c r="A193" s="11">
        <v>1.4210526315789471</v>
      </c>
      <c r="B193" s="11">
        <v>1.65</v>
      </c>
      <c r="F193" s="214"/>
      <c r="G193" s="215"/>
      <c r="J193" s="215"/>
      <c r="K193" s="215"/>
      <c r="L193" s="215" t="str">
        <f t="shared" si="1"/>
        <v/>
      </c>
      <c r="M193" s="54">
        <v>0</v>
      </c>
      <c r="S193" s="217">
        <v>2.4553216061921731E-2</v>
      </c>
      <c r="AA193" s="54">
        <v>6991019</v>
      </c>
    </row>
    <row r="194" spans="1:27" ht="13.2">
      <c r="A194" s="11">
        <v>2.192982456140351</v>
      </c>
      <c r="B194" s="11">
        <v>2.2000000000000002</v>
      </c>
      <c r="F194" s="214"/>
      <c r="G194" s="215"/>
      <c r="J194" s="215"/>
      <c r="K194" s="215"/>
      <c r="L194" s="215">
        <f t="shared" si="1"/>
        <v>321616</v>
      </c>
      <c r="M194" s="54">
        <v>321616</v>
      </c>
      <c r="S194" s="217">
        <v>1.5879310344827587E-2</v>
      </c>
      <c r="AA194" s="54">
        <v>870000</v>
      </c>
    </row>
    <row r="195" spans="1:27" ht="13.2">
      <c r="A195" s="11">
        <v>2.8245614035087714</v>
      </c>
      <c r="B195" s="11">
        <v>2.65</v>
      </c>
      <c r="F195" s="214"/>
      <c r="G195" s="215"/>
      <c r="J195" s="215"/>
      <c r="K195" s="215"/>
      <c r="L195" s="215">
        <f t="shared" si="1"/>
        <v>75633</v>
      </c>
      <c r="M195" s="54">
        <v>75633</v>
      </c>
      <c r="S195" s="217">
        <v>2.0153331532692029E-2</v>
      </c>
      <c r="AA195" s="54">
        <v>240655</v>
      </c>
    </row>
    <row r="196" spans="1:27" ht="13.2">
      <c r="A196" s="11">
        <v>2.192982456140351</v>
      </c>
      <c r="B196" s="11">
        <v>2.2000000000000002</v>
      </c>
      <c r="F196" s="214"/>
      <c r="G196" s="215"/>
      <c r="J196" s="215"/>
      <c r="K196" s="215"/>
      <c r="L196" s="215">
        <f t="shared" si="1"/>
        <v>300244</v>
      </c>
      <c r="M196" s="54">
        <v>300244</v>
      </c>
      <c r="S196" s="217">
        <v>1.2363976233393418E-2</v>
      </c>
      <c r="AA196" s="54">
        <v>224685</v>
      </c>
    </row>
    <row r="197" spans="1:27" ht="13.2">
      <c r="A197" s="11">
        <v>3.2456140350877192</v>
      </c>
      <c r="B197" s="11">
        <v>2.95</v>
      </c>
      <c r="F197" s="214"/>
      <c r="G197" s="215"/>
      <c r="J197" s="215"/>
      <c r="K197" s="215"/>
      <c r="L197" s="215">
        <f t="shared" si="1"/>
        <v>130000</v>
      </c>
      <c r="M197" s="54">
        <v>130000</v>
      </c>
      <c r="S197" s="217">
        <v>2.9110945465078135E-2</v>
      </c>
      <c r="AA197" s="54">
        <v>2396006</v>
      </c>
    </row>
    <row r="198" spans="1:27" ht="13.2">
      <c r="A198" s="11">
        <v>2.192982456140351</v>
      </c>
      <c r="B198" s="11">
        <v>2.2000000000000002</v>
      </c>
      <c r="F198" s="214"/>
      <c r="G198" s="215"/>
      <c r="J198" s="215"/>
      <c r="K198" s="215"/>
      <c r="L198" s="215">
        <f t="shared" si="1"/>
        <v>127134</v>
      </c>
      <c r="M198" s="54">
        <v>127134</v>
      </c>
      <c r="S198" s="217">
        <v>2.4386945546339703E-2</v>
      </c>
      <c r="AA198" s="54">
        <v>288392</v>
      </c>
    </row>
    <row r="199" spans="1:27" ht="13.2">
      <c r="A199" s="11">
        <v>2.8245614035087714</v>
      </c>
      <c r="B199" s="11">
        <v>2.65</v>
      </c>
      <c r="F199" s="214"/>
      <c r="G199" s="215"/>
      <c r="J199" s="215"/>
      <c r="K199" s="215"/>
      <c r="L199" s="215">
        <f t="shared" si="1"/>
        <v>53553</v>
      </c>
      <c r="M199" s="54">
        <v>53553</v>
      </c>
      <c r="S199" s="217">
        <v>1.4319458820627389E-2</v>
      </c>
      <c r="AA199" s="54">
        <v>1921581</v>
      </c>
    </row>
    <row r="200" spans="1:27" ht="13.2">
      <c r="A200" s="11">
        <v>2.6140350877192979</v>
      </c>
      <c r="B200" s="11">
        <v>2.5</v>
      </c>
      <c r="F200" s="214"/>
      <c r="G200" s="215"/>
      <c r="J200" s="215"/>
      <c r="K200" s="215"/>
      <c r="L200" s="215">
        <f t="shared" si="1"/>
        <v>356000</v>
      </c>
      <c r="M200" s="54">
        <v>356000</v>
      </c>
      <c r="S200" s="217">
        <v>1.4106900128197696E-2</v>
      </c>
      <c r="AA200" s="54">
        <v>1552290</v>
      </c>
    </row>
    <row r="201" spans="1:27" ht="13.2">
      <c r="A201" s="11">
        <v>3.0350877192982453</v>
      </c>
      <c r="B201" s="11">
        <v>2.8</v>
      </c>
      <c r="F201" s="214"/>
      <c r="G201" s="215"/>
      <c r="J201" s="215"/>
      <c r="K201" s="215"/>
      <c r="L201" s="215">
        <f t="shared" si="1"/>
        <v>179360</v>
      </c>
      <c r="M201" s="54">
        <v>179360</v>
      </c>
      <c r="S201" s="217">
        <v>1.3429999999999999E-2</v>
      </c>
      <c r="AA201" s="54">
        <v>100000</v>
      </c>
    </row>
    <row r="202" spans="1:27" ht="13.2">
      <c r="A202" s="11">
        <v>2.6140350877192979</v>
      </c>
      <c r="B202" s="11">
        <v>2.5</v>
      </c>
      <c r="F202" s="214"/>
      <c r="G202" s="215"/>
      <c r="J202" s="215"/>
      <c r="K202" s="215"/>
      <c r="L202" s="215">
        <f t="shared" si="1"/>
        <v>594135</v>
      </c>
      <c r="M202" s="54">
        <v>594135</v>
      </c>
      <c r="S202" s="217">
        <v>3.7639837819970462E-2</v>
      </c>
      <c r="AA202" s="54">
        <v>329757</v>
      </c>
    </row>
    <row r="203" spans="1:27" ht="13.2">
      <c r="A203" s="11">
        <v>2.4035087719298236</v>
      </c>
      <c r="B203" s="11">
        <v>2.3499999999999996</v>
      </c>
      <c r="F203" s="214"/>
      <c r="G203" s="215"/>
      <c r="J203" s="215"/>
      <c r="K203" s="215"/>
      <c r="L203" s="215">
        <f t="shared" si="1"/>
        <v>5882</v>
      </c>
      <c r="M203" s="54">
        <v>5882</v>
      </c>
      <c r="S203" s="217">
        <v>9.8315762255679756E-3</v>
      </c>
      <c r="AA203" s="54">
        <v>170166</v>
      </c>
    </row>
    <row r="204" spans="1:27" ht="13.2">
      <c r="A204" s="11">
        <v>3.0350877192982453</v>
      </c>
      <c r="B204" s="11">
        <v>2.8</v>
      </c>
      <c r="F204" s="214"/>
      <c r="G204" s="215"/>
      <c r="J204" s="215"/>
      <c r="K204" s="215"/>
      <c r="L204" s="215">
        <f t="shared" si="1"/>
        <v>353000</v>
      </c>
      <c r="M204" s="54">
        <v>353000</v>
      </c>
      <c r="S204" s="217">
        <v>1</v>
      </c>
      <c r="AA204" s="54">
        <v>0</v>
      </c>
    </row>
    <row r="205" spans="1:27" ht="13.2">
      <c r="A205" s="11">
        <v>2.6140350877192979</v>
      </c>
      <c r="B205" s="11">
        <v>2.5</v>
      </c>
      <c r="F205" s="214"/>
      <c r="G205" s="215"/>
      <c r="J205" s="215"/>
      <c r="K205" s="215"/>
      <c r="L205" s="215" t="str">
        <f t="shared" si="1"/>
        <v/>
      </c>
      <c r="M205" s="54">
        <v>0</v>
      </c>
      <c r="S205" s="217">
        <v>2.7351111111111111E-2</v>
      </c>
      <c r="AA205" s="54">
        <v>1800000</v>
      </c>
    </row>
    <row r="206" spans="1:27" ht="13.2">
      <c r="A206" s="11">
        <v>3.9473684210526314</v>
      </c>
      <c r="B206" s="11">
        <v>3.45</v>
      </c>
      <c r="F206" s="214"/>
      <c r="G206" s="215"/>
      <c r="J206" s="215"/>
      <c r="K206" s="215"/>
      <c r="L206" s="215">
        <f t="shared" si="1"/>
        <v>18261</v>
      </c>
      <c r="M206" s="54">
        <v>18261</v>
      </c>
      <c r="S206" s="217">
        <v>3.1641541038525962E-2</v>
      </c>
      <c r="AA206" s="54">
        <v>238800</v>
      </c>
    </row>
    <row r="207" spans="1:27" ht="13.2">
      <c r="A207" s="11">
        <v>3.0350877192982453</v>
      </c>
      <c r="B207" s="11">
        <v>2.8</v>
      </c>
      <c r="F207" s="214"/>
      <c r="G207" s="215"/>
      <c r="J207" s="215"/>
      <c r="K207" s="215"/>
      <c r="L207" s="215">
        <f t="shared" si="1"/>
        <v>161134</v>
      </c>
      <c r="M207" s="54">
        <v>161134</v>
      </c>
      <c r="S207" s="217">
        <v>9.1848940533151065E-3</v>
      </c>
      <c r="AA207" s="54">
        <v>234080</v>
      </c>
    </row>
    <row r="208" spans="1:27" ht="13.2">
      <c r="A208" s="11">
        <v>4.2280701754385959</v>
      </c>
      <c r="B208" s="11">
        <v>3.65</v>
      </c>
      <c r="F208" s="214"/>
      <c r="G208" s="215"/>
      <c r="J208" s="215"/>
      <c r="K208" s="215"/>
      <c r="L208" s="215">
        <f t="shared" si="1"/>
        <v>50895</v>
      </c>
      <c r="M208" s="54">
        <v>50895</v>
      </c>
      <c r="S208" s="217">
        <v>3.1583670169765564E-2</v>
      </c>
      <c r="AA208" s="54">
        <v>3711000</v>
      </c>
    </row>
    <row r="209" spans="1:27" ht="13.2">
      <c r="A209" s="11">
        <v>3.3157894736842102</v>
      </c>
      <c r="B209" s="11">
        <v>3</v>
      </c>
      <c r="F209" s="214"/>
      <c r="G209" s="215"/>
      <c r="J209" s="215"/>
      <c r="K209" s="215"/>
      <c r="L209" s="215">
        <f t="shared" si="1"/>
        <v>48383</v>
      </c>
      <c r="M209" s="54">
        <v>48383</v>
      </c>
      <c r="S209" s="217">
        <v>3.5211428571428574E-2</v>
      </c>
      <c r="AA209" s="54">
        <v>700000</v>
      </c>
    </row>
    <row r="210" spans="1:27" ht="13.2">
      <c r="A210" s="11">
        <v>3.4561403508771922</v>
      </c>
      <c r="B210" s="11">
        <v>3.0999999999999996</v>
      </c>
      <c r="F210" s="214"/>
      <c r="G210" s="215"/>
      <c r="J210" s="215"/>
      <c r="K210" s="215"/>
      <c r="L210" s="215" t="str">
        <f t="shared" si="1"/>
        <v/>
      </c>
      <c r="M210" s="54">
        <v>0</v>
      </c>
      <c r="S210" s="217">
        <v>1.8813023255813955E-2</v>
      </c>
      <c r="AA210" s="54">
        <v>537500</v>
      </c>
    </row>
    <row r="211" spans="1:27" ht="13.2">
      <c r="A211" s="11">
        <v>2.6140350877192979</v>
      </c>
      <c r="B211" s="11">
        <v>2.5</v>
      </c>
      <c r="F211" s="214"/>
      <c r="G211" s="215"/>
      <c r="J211" s="215"/>
      <c r="K211" s="215"/>
      <c r="L211" s="215" t="str">
        <f t="shared" si="1"/>
        <v/>
      </c>
      <c r="M211" s="54">
        <v>0</v>
      </c>
      <c r="S211" s="217">
        <v>1</v>
      </c>
      <c r="AA211" s="54">
        <v>0</v>
      </c>
    </row>
    <row r="212" spans="1:27" ht="13.2">
      <c r="A212" s="11">
        <v>3.7368421052631575</v>
      </c>
      <c r="B212" s="11">
        <v>3.3</v>
      </c>
      <c r="F212" s="214"/>
      <c r="G212" s="215"/>
      <c r="J212" s="215"/>
      <c r="K212" s="215"/>
      <c r="L212" s="215" t="str">
        <f t="shared" si="1"/>
        <v/>
      </c>
      <c r="M212" s="54">
        <v>0</v>
      </c>
      <c r="S212" s="217">
        <v>0.84090909090909094</v>
      </c>
      <c r="AA212" s="54">
        <v>11000</v>
      </c>
    </row>
    <row r="213" spans="1:27" ht="13.2">
      <c r="A213" s="11">
        <v>3.1052631578947367</v>
      </c>
      <c r="B213" s="11">
        <v>2.85</v>
      </c>
      <c r="F213" s="214"/>
      <c r="G213" s="215"/>
      <c r="J213" s="215"/>
      <c r="K213" s="215"/>
      <c r="L213" s="215">
        <f t="shared" si="1"/>
        <v>57694</v>
      </c>
      <c r="M213" s="54">
        <v>57694</v>
      </c>
      <c r="S213" s="217">
        <v>7.3987654320987653E-2</v>
      </c>
      <c r="AA213" s="54">
        <v>81000</v>
      </c>
    </row>
    <row r="214" spans="1:27" ht="13.2">
      <c r="A214" s="11">
        <v>2.8245614035087714</v>
      </c>
      <c r="B214" s="11">
        <v>2.65</v>
      </c>
      <c r="F214" s="214"/>
      <c r="G214" s="215"/>
      <c r="J214" s="215"/>
      <c r="K214" s="215"/>
      <c r="L214" s="215">
        <f t="shared" si="1"/>
        <v>70379</v>
      </c>
      <c r="M214" s="54">
        <v>70379</v>
      </c>
      <c r="S214" s="217">
        <v>1</v>
      </c>
      <c r="AA214" s="54">
        <v>0</v>
      </c>
    </row>
    <row r="215" spans="1:27" ht="13.2">
      <c r="A215" s="11">
        <v>1.9824561403508767</v>
      </c>
      <c r="B215" s="11">
        <v>2.0499999999999998</v>
      </c>
      <c r="F215" s="214"/>
      <c r="G215" s="215"/>
      <c r="J215" s="215"/>
      <c r="K215" s="215"/>
      <c r="L215" s="215">
        <f t="shared" si="1"/>
        <v>279257</v>
      </c>
      <c r="M215" s="54">
        <v>279257</v>
      </c>
      <c r="S215" s="217">
        <v>7.5464218321361173E-2</v>
      </c>
      <c r="AA215" s="54">
        <v>63063</v>
      </c>
    </row>
    <row r="216" spans="1:27" ht="13.2">
      <c r="A216" s="11">
        <v>3.5964912280701751</v>
      </c>
      <c r="B216" s="11">
        <v>3.1999999999999997</v>
      </c>
      <c r="F216" s="214"/>
      <c r="G216" s="215"/>
      <c r="J216" s="215"/>
      <c r="K216" s="215"/>
      <c r="L216" s="215" t="str">
        <f t="shared" si="1"/>
        <v/>
      </c>
      <c r="M216" s="54">
        <v>0</v>
      </c>
      <c r="S216" s="217">
        <v>4.815983504123969E-2</v>
      </c>
      <c r="AA216" s="54">
        <v>320080</v>
      </c>
    </row>
    <row r="217" spans="1:27" ht="13.2">
      <c r="A217" s="11">
        <v>2.8245614035087714</v>
      </c>
      <c r="B217" s="11">
        <v>2.65</v>
      </c>
      <c r="F217" s="214"/>
      <c r="G217" s="215"/>
      <c r="J217" s="215"/>
      <c r="K217" s="215"/>
      <c r="L217" s="215">
        <f t="shared" si="1"/>
        <v>2904698</v>
      </c>
      <c r="M217" s="54">
        <v>2904698</v>
      </c>
      <c r="S217" s="217">
        <v>2.0758918918918918E-2</v>
      </c>
      <c r="AA217" s="54">
        <v>925000</v>
      </c>
    </row>
    <row r="218" spans="1:27" ht="13.2">
      <c r="A218" s="11">
        <v>2.192982456140351</v>
      </c>
      <c r="B218" s="11">
        <v>2.2000000000000002</v>
      </c>
      <c r="F218" s="214"/>
      <c r="G218" s="215"/>
      <c r="J218" s="215"/>
      <c r="K218" s="215"/>
      <c r="L218" s="215">
        <f t="shared" si="1"/>
        <v>13080</v>
      </c>
      <c r="M218" s="54">
        <v>13080</v>
      </c>
      <c r="S218" s="217">
        <v>3.0210240861377122E-2</v>
      </c>
      <c r="AA218" s="54">
        <v>99933</v>
      </c>
    </row>
    <row r="219" spans="1:27" ht="13.2">
      <c r="A219" s="11">
        <v>2.6140350877192979</v>
      </c>
      <c r="B219" s="11">
        <v>2.5</v>
      </c>
      <c r="F219" s="214"/>
      <c r="G219" s="215"/>
      <c r="J219" s="215"/>
      <c r="K219" s="215"/>
      <c r="L219" s="215">
        <f t="shared" si="1"/>
        <v>19793</v>
      </c>
      <c r="M219" s="54">
        <v>19793</v>
      </c>
      <c r="S219" s="217">
        <v>0.17987322453489135</v>
      </c>
      <c r="AA219" s="54">
        <v>106803</v>
      </c>
    </row>
    <row r="220" spans="1:27" ht="13.2">
      <c r="A220" s="11">
        <v>2.6140350877192979</v>
      </c>
      <c r="B220" s="11">
        <v>2.5</v>
      </c>
      <c r="F220" s="214"/>
      <c r="G220" s="215"/>
      <c r="J220" s="215"/>
      <c r="K220" s="215"/>
      <c r="L220" s="215" t="str">
        <f t="shared" si="1"/>
        <v/>
      </c>
      <c r="M220" s="54">
        <v>0</v>
      </c>
      <c r="S220" s="217">
        <v>1</v>
      </c>
      <c r="AA220" s="54">
        <v>0</v>
      </c>
    </row>
    <row r="221" spans="1:27" ht="13.2">
      <c r="A221" s="11">
        <v>2.192982456140351</v>
      </c>
      <c r="B221" s="11">
        <v>2.2000000000000002</v>
      </c>
      <c r="F221" s="214"/>
      <c r="G221" s="215"/>
      <c r="J221" s="215"/>
      <c r="K221" s="215"/>
      <c r="L221" s="215">
        <f t="shared" si="1"/>
        <v>18031</v>
      </c>
      <c r="M221" s="54">
        <v>18031</v>
      </c>
      <c r="S221" s="217">
        <v>8.6754551917770248E-2</v>
      </c>
      <c r="AA221" s="54">
        <v>165974</v>
      </c>
    </row>
    <row r="222" spans="1:27" ht="13.2">
      <c r="A222" s="11">
        <v>3.0350877192982453</v>
      </c>
      <c r="B222" s="11">
        <v>2.8</v>
      </c>
      <c r="F222" s="214"/>
      <c r="G222" s="215"/>
      <c r="J222" s="215"/>
      <c r="K222" s="215"/>
      <c r="L222" s="215">
        <f t="shared" si="1"/>
        <v>26014</v>
      </c>
      <c r="M222" s="54">
        <v>26014</v>
      </c>
      <c r="S222" s="217">
        <v>7.3501138226725327E-2</v>
      </c>
      <c r="AA222" s="54">
        <v>339124</v>
      </c>
    </row>
    <row r="223" spans="1:27" ht="13.2">
      <c r="A223" s="11">
        <v>3.5964912280701751</v>
      </c>
      <c r="B223" s="11">
        <v>3.1999999999999997</v>
      </c>
      <c r="F223" s="214"/>
      <c r="G223" s="215"/>
      <c r="J223" s="215"/>
      <c r="K223" s="215"/>
      <c r="L223" s="215">
        <f t="shared" si="1"/>
        <v>47110</v>
      </c>
      <c r="M223" s="54">
        <v>47110</v>
      </c>
      <c r="S223" s="217">
        <v>2.3847822962085794E-2</v>
      </c>
      <c r="AA223" s="54">
        <v>292186</v>
      </c>
    </row>
    <row r="224" spans="1:27" ht="13.2">
      <c r="A224" s="11">
        <v>3.3859649122807021</v>
      </c>
      <c r="B224" s="11">
        <v>3.0500000000000003</v>
      </c>
      <c r="F224" s="214"/>
      <c r="G224" s="215"/>
      <c r="J224" s="215"/>
      <c r="K224" s="215"/>
      <c r="L224" s="215">
        <f t="shared" si="1"/>
        <v>70607</v>
      </c>
      <c r="M224" s="54">
        <v>70607</v>
      </c>
      <c r="S224" s="217">
        <v>1</v>
      </c>
      <c r="AA224" s="54">
        <v>0</v>
      </c>
    </row>
    <row r="225" spans="1:27" ht="13.2">
      <c r="A225" s="11">
        <v>4.2280701754385959</v>
      </c>
      <c r="B225" s="11">
        <v>3.65</v>
      </c>
      <c r="F225" s="214"/>
      <c r="G225" s="215"/>
      <c r="J225" s="215"/>
      <c r="K225" s="215"/>
      <c r="L225" s="215">
        <f t="shared" si="1"/>
        <v>6624934</v>
      </c>
      <c r="M225" s="54">
        <v>6624934</v>
      </c>
      <c r="S225" s="217">
        <v>1.8770508054522926E-2</v>
      </c>
      <c r="AA225" s="54">
        <v>4035000</v>
      </c>
    </row>
    <row r="226" spans="1:27" ht="13.2">
      <c r="A226" s="11">
        <v>2.4035087719298245</v>
      </c>
      <c r="B226" s="11">
        <v>2.35</v>
      </c>
      <c r="F226" s="214"/>
      <c r="G226" s="215"/>
      <c r="J226" s="215"/>
      <c r="K226" s="215"/>
      <c r="L226" s="215">
        <f t="shared" si="1"/>
        <v>33600</v>
      </c>
      <c r="M226" s="54">
        <v>33600</v>
      </c>
      <c r="S226" s="217">
        <v>1.4256059991580189E-2</v>
      </c>
      <c r="AA226" s="54">
        <v>5831485</v>
      </c>
    </row>
    <row r="227" spans="1:27" ht="13.2">
      <c r="A227" s="11">
        <v>3.1754385964912277</v>
      </c>
      <c r="B227" s="11">
        <v>2.9</v>
      </c>
      <c r="F227" s="214"/>
      <c r="G227" s="215"/>
      <c r="J227" s="215"/>
      <c r="K227" s="215"/>
      <c r="L227" s="215">
        <f t="shared" si="1"/>
        <v>2400</v>
      </c>
      <c r="M227" s="54">
        <v>2400</v>
      </c>
      <c r="S227" s="217">
        <v>1.3514914797276277E-2</v>
      </c>
      <c r="AA227" s="54">
        <v>86793</v>
      </c>
    </row>
    <row r="228" spans="1:27" ht="13.2">
      <c r="A228" s="11">
        <v>1.6315789473684208</v>
      </c>
      <c r="B228" s="11">
        <v>1.7999999999999998</v>
      </c>
      <c r="F228" s="214"/>
      <c r="G228" s="215"/>
      <c r="J228" s="215"/>
      <c r="K228" s="215"/>
      <c r="L228" s="215" t="str">
        <f t="shared" si="1"/>
        <v/>
      </c>
      <c r="M228" s="54">
        <v>0</v>
      </c>
      <c r="S228" s="217">
        <v>9.3733559361664817E-2</v>
      </c>
      <c r="AA228" s="54">
        <v>68428</v>
      </c>
    </row>
    <row r="229" spans="1:27" ht="13.2">
      <c r="A229" s="11">
        <v>3.5263157894736841</v>
      </c>
      <c r="B229" s="11">
        <v>3.15</v>
      </c>
      <c r="F229" s="214"/>
      <c r="G229" s="215"/>
      <c r="J229" s="215"/>
      <c r="K229" s="215"/>
      <c r="L229" s="215">
        <f t="shared" si="1"/>
        <v>350719</v>
      </c>
      <c r="M229" s="54">
        <v>350719</v>
      </c>
      <c r="S229" s="217">
        <v>5.5823210572130775E-3</v>
      </c>
      <c r="AA229" s="54">
        <v>481341</v>
      </c>
    </row>
    <row r="230" spans="1:27" ht="13.2">
      <c r="A230" s="11">
        <v>3.3859649122807021</v>
      </c>
      <c r="B230" s="11">
        <v>3.0500000000000003</v>
      </c>
      <c r="F230" s="214"/>
      <c r="G230" s="215"/>
      <c r="J230" s="215"/>
      <c r="K230" s="215"/>
      <c r="L230" s="215">
        <f t="shared" si="1"/>
        <v>337</v>
      </c>
      <c r="M230" s="54">
        <v>337</v>
      </c>
      <c r="S230" s="217">
        <v>5.1873333333333334E-2</v>
      </c>
      <c r="AA230" s="54">
        <v>300000</v>
      </c>
    </row>
    <row r="231" spans="1:27" ht="13.2">
      <c r="A231" s="11">
        <v>2.6140350877192979</v>
      </c>
      <c r="B231" s="11">
        <v>2.5</v>
      </c>
      <c r="F231" s="214"/>
      <c r="G231" s="215"/>
      <c r="J231" s="215"/>
      <c r="K231" s="215"/>
      <c r="L231" s="215" t="str">
        <f t="shared" si="1"/>
        <v/>
      </c>
      <c r="M231" s="54">
        <v>0</v>
      </c>
      <c r="S231" s="217">
        <v>1</v>
      </c>
      <c r="AA231" s="54">
        <v>160000</v>
      </c>
    </row>
    <row r="232" spans="1:27" ht="13.2">
      <c r="A232" s="11">
        <v>4.0175438596491224</v>
      </c>
      <c r="B232" s="11">
        <v>3.5</v>
      </c>
      <c r="F232" s="214"/>
      <c r="G232" s="215"/>
      <c r="J232" s="215"/>
      <c r="K232" s="215"/>
      <c r="L232" s="215" t="str">
        <f t="shared" si="1"/>
        <v/>
      </c>
      <c r="M232" s="54">
        <v>0</v>
      </c>
      <c r="S232" s="217">
        <v>2.6337142857142858E-2</v>
      </c>
      <c r="AA232" s="54">
        <v>2100000</v>
      </c>
    </row>
    <row r="233" spans="1:27" ht="13.2">
      <c r="A233" s="11">
        <v>2.6140350877192979</v>
      </c>
      <c r="B233" s="11">
        <v>2.5</v>
      </c>
      <c r="F233" s="214"/>
      <c r="G233" s="215"/>
      <c r="J233" s="215"/>
      <c r="K233" s="215"/>
      <c r="L233" s="215" t="str">
        <f t="shared" si="1"/>
        <v/>
      </c>
      <c r="M233" s="54">
        <v>0</v>
      </c>
      <c r="S233" s="217">
        <v>0.21380632790028764</v>
      </c>
      <c r="AA233" s="54">
        <v>25032</v>
      </c>
    </row>
    <row r="234" spans="1:27" ht="13.2">
      <c r="A234" s="11">
        <v>3.7368421052631575</v>
      </c>
      <c r="B234" s="11">
        <v>3.3</v>
      </c>
      <c r="F234" s="214"/>
      <c r="G234" s="215"/>
      <c r="J234" s="215"/>
      <c r="K234" s="215"/>
      <c r="L234" s="215" t="str">
        <f t="shared" si="1"/>
        <v/>
      </c>
      <c r="M234" s="54">
        <v>0</v>
      </c>
      <c r="S234" s="217">
        <v>2.0349764908622853E-2</v>
      </c>
      <c r="AA234" s="54">
        <v>1410090</v>
      </c>
    </row>
    <row r="235" spans="1:27" ht="13.2">
      <c r="A235" s="11">
        <v>3.1052631578947367</v>
      </c>
      <c r="B235" s="11">
        <v>2.85</v>
      </c>
      <c r="F235" s="214"/>
      <c r="G235" s="215"/>
      <c r="J235" s="215"/>
      <c r="K235" s="215"/>
      <c r="L235" s="215">
        <f t="shared" si="1"/>
        <v>544360</v>
      </c>
      <c r="M235" s="54">
        <v>544360</v>
      </c>
      <c r="S235" s="217">
        <v>9.2251972831847981E-2</v>
      </c>
      <c r="AA235" s="54">
        <v>203768</v>
      </c>
    </row>
    <row r="236" spans="1:27" ht="13.2">
      <c r="A236" s="11">
        <v>3.0350877192982453</v>
      </c>
      <c r="B236" s="11">
        <v>2.8</v>
      </c>
      <c r="F236" s="214"/>
      <c r="G236" s="215"/>
      <c r="J236" s="215"/>
      <c r="K236" s="215"/>
      <c r="L236" s="215">
        <f t="shared" si="1"/>
        <v>93578</v>
      </c>
      <c r="M236" s="54">
        <v>93578</v>
      </c>
      <c r="S236" s="217">
        <v>5.4606568216883401E-2</v>
      </c>
      <c r="AA236" s="54">
        <v>18148</v>
      </c>
    </row>
    <row r="237" spans="1:27" ht="13.2">
      <c r="A237" s="11">
        <v>3.3859649122807021</v>
      </c>
      <c r="B237" s="11">
        <v>3.0500000000000003</v>
      </c>
      <c r="F237" s="214"/>
      <c r="G237" s="215"/>
      <c r="J237" s="215"/>
      <c r="K237" s="215"/>
      <c r="L237" s="215">
        <f t="shared" si="1"/>
        <v>128989</v>
      </c>
      <c r="M237" s="54">
        <v>128989</v>
      </c>
      <c r="S237" s="217">
        <v>0.62160000000000004</v>
      </c>
      <c r="AA237" s="54">
        <v>5000</v>
      </c>
    </row>
    <row r="238" spans="1:27" ht="13.2">
      <c r="A238" s="11">
        <v>2.192982456140351</v>
      </c>
      <c r="B238" s="11">
        <v>2.2000000000000002</v>
      </c>
      <c r="F238" s="214"/>
      <c r="G238" s="215"/>
      <c r="J238" s="215"/>
      <c r="K238" s="215"/>
      <c r="L238" s="215">
        <f t="shared" si="1"/>
        <v>2692030</v>
      </c>
      <c r="M238" s="54">
        <v>2692030</v>
      </c>
      <c r="S238" s="217">
        <v>1.3546770601336304E-3</v>
      </c>
      <c r="AA238" s="54">
        <v>1796000</v>
      </c>
    </row>
    <row r="239" spans="1:27" ht="13.2">
      <c r="A239" s="11">
        <v>4.0175438596491224</v>
      </c>
      <c r="B239" s="11">
        <v>3.5</v>
      </c>
      <c r="F239" s="214"/>
      <c r="G239" s="215"/>
      <c r="J239" s="215"/>
      <c r="K239" s="215"/>
      <c r="L239" s="215" t="str">
        <f t="shared" si="1"/>
        <v/>
      </c>
      <c r="M239" s="54">
        <v>0</v>
      </c>
      <c r="S239" s="217">
        <v>1</v>
      </c>
      <c r="AA239" s="54">
        <v>0</v>
      </c>
    </row>
    <row r="240" spans="1:27" ht="13.2">
      <c r="A240" s="11">
        <v>2.192982456140351</v>
      </c>
      <c r="B240" s="11">
        <v>2.2000000000000002</v>
      </c>
      <c r="F240" s="214"/>
      <c r="G240" s="215"/>
      <c r="J240" s="215"/>
      <c r="K240" s="215"/>
      <c r="L240" s="215">
        <f t="shared" si="1"/>
        <v>107966</v>
      </c>
      <c r="M240" s="54">
        <v>107966</v>
      </c>
      <c r="S240" s="217">
        <v>3.6271808602894667E-2</v>
      </c>
      <c r="AA240" s="54">
        <v>3476667</v>
      </c>
    </row>
    <row r="241" spans="1:27" ht="13.2">
      <c r="A241" s="11">
        <v>2.6140350877192979</v>
      </c>
      <c r="B241" s="11">
        <v>2.5</v>
      </c>
      <c r="F241" s="214"/>
      <c r="G241" s="215"/>
      <c r="J241" s="215"/>
      <c r="K241" s="215"/>
      <c r="L241" s="215" t="str">
        <f t="shared" si="1"/>
        <v/>
      </c>
      <c r="M241" s="54">
        <v>0</v>
      </c>
      <c r="S241" s="217">
        <v>4.4466666666666668E-2</v>
      </c>
      <c r="AA241" s="54">
        <v>15000</v>
      </c>
    </row>
    <row r="242" spans="1:27" ht="13.2">
      <c r="A242" s="11">
        <v>3.9473684210526314</v>
      </c>
      <c r="B242" s="11">
        <v>3.45</v>
      </c>
      <c r="F242" s="214"/>
      <c r="G242" s="215"/>
      <c r="J242" s="215"/>
      <c r="K242" s="215"/>
      <c r="L242" s="215">
        <f t="shared" si="1"/>
        <v>6000</v>
      </c>
      <c r="M242" s="54">
        <v>6000</v>
      </c>
      <c r="S242" s="217">
        <v>1.0744421085241467E-2</v>
      </c>
      <c r="AA242" s="54">
        <v>13815635</v>
      </c>
    </row>
    <row r="243" spans="1:27" ht="13.2">
      <c r="A243" s="11">
        <v>3.807017543859649</v>
      </c>
      <c r="B243" s="11">
        <v>3.35</v>
      </c>
      <c r="F243" s="214"/>
      <c r="G243" s="215"/>
      <c r="J243" s="215"/>
      <c r="K243" s="215"/>
      <c r="L243" s="215" t="str">
        <f t="shared" si="1"/>
        <v/>
      </c>
      <c r="M243" s="54">
        <v>0</v>
      </c>
      <c r="S243" s="217">
        <v>1.6923076923076923E-2</v>
      </c>
      <c r="AA243" s="54">
        <v>1243450</v>
      </c>
    </row>
    <row r="244" spans="1:27" ht="13.2">
      <c r="A244" s="11">
        <v>1.9824561403508767</v>
      </c>
      <c r="B244" s="11">
        <v>2.0499999999999998</v>
      </c>
      <c r="F244" s="214"/>
      <c r="G244" s="215"/>
      <c r="J244" s="215"/>
      <c r="K244" s="215"/>
      <c r="L244" s="215">
        <f t="shared" si="1"/>
        <v>326909</v>
      </c>
      <c r="M244" s="54">
        <v>326909</v>
      </c>
      <c r="S244" s="217">
        <v>1.8960000000000001E-2</v>
      </c>
      <c r="AA244" s="54">
        <v>25000</v>
      </c>
    </row>
    <row r="245" spans="1:27" ht="13.2">
      <c r="A245" s="11">
        <v>3.8070175438596485</v>
      </c>
      <c r="B245" s="11">
        <v>3.3499999999999996</v>
      </c>
      <c r="F245" s="214"/>
      <c r="G245" s="215"/>
      <c r="J245" s="215"/>
      <c r="K245" s="215"/>
      <c r="L245" s="215" t="str">
        <f t="shared" si="1"/>
        <v/>
      </c>
      <c r="M245" s="54">
        <v>0</v>
      </c>
      <c r="S245" s="217">
        <v>1</v>
      </c>
      <c r="AA245" s="54">
        <v>0</v>
      </c>
    </row>
    <row r="246" spans="1:27" ht="13.2">
      <c r="A246" s="11">
        <v>2.1228070175438596</v>
      </c>
      <c r="B246" s="11">
        <v>2.15</v>
      </c>
      <c r="F246" s="214"/>
      <c r="G246" s="215"/>
      <c r="J246" s="215"/>
      <c r="K246" s="215"/>
      <c r="L246" s="215">
        <f t="shared" si="1"/>
        <v>1580699</v>
      </c>
      <c r="M246" s="54">
        <v>1580699</v>
      </c>
      <c r="S246" s="217">
        <v>2.7492255889014314E-2</v>
      </c>
      <c r="AA246" s="54">
        <v>4154770</v>
      </c>
    </row>
    <row r="247" spans="1:27" ht="13.2">
      <c r="A247" s="11">
        <v>2.8245614035087714</v>
      </c>
      <c r="B247" s="11">
        <v>2.65</v>
      </c>
      <c r="F247" s="214"/>
      <c r="G247" s="215"/>
      <c r="J247" s="215"/>
      <c r="K247" s="215"/>
      <c r="L247" s="215">
        <f t="shared" si="1"/>
        <v>45755</v>
      </c>
      <c r="M247" s="54">
        <v>45755</v>
      </c>
      <c r="S247" s="217">
        <v>7.1809302325581401E-2</v>
      </c>
      <c r="AA247" s="54">
        <v>215000</v>
      </c>
    </row>
    <row r="248" spans="1:27" ht="13.2">
      <c r="A248" s="11">
        <v>1.9824561403508767</v>
      </c>
      <c r="B248" s="11">
        <v>2.0499999999999998</v>
      </c>
      <c r="F248" s="214"/>
      <c r="G248" s="215"/>
      <c r="J248" s="215"/>
      <c r="K248" s="215"/>
      <c r="L248" s="215" t="str">
        <f t="shared" si="1"/>
        <v/>
      </c>
      <c r="M248" s="54">
        <v>0</v>
      </c>
      <c r="S248" s="217">
        <v>1</v>
      </c>
      <c r="AA248" s="54">
        <v>0</v>
      </c>
    </row>
    <row r="249" spans="1:27" ht="13.2">
      <c r="A249" s="11">
        <v>3.0350877192982453</v>
      </c>
      <c r="B249" s="11">
        <v>2.8</v>
      </c>
      <c r="F249" s="214"/>
      <c r="G249" s="215"/>
      <c r="J249" s="215"/>
      <c r="K249" s="215"/>
      <c r="L249" s="215">
        <f t="shared" si="1"/>
        <v>20273</v>
      </c>
      <c r="M249" s="54">
        <v>20273</v>
      </c>
      <c r="S249" s="217">
        <v>1</v>
      </c>
      <c r="AA249" s="54">
        <v>0</v>
      </c>
    </row>
    <row r="250" spans="1:27" ht="13.2">
      <c r="A250" s="11">
        <v>3.0350877192982453</v>
      </c>
      <c r="B250" s="11">
        <v>2.8</v>
      </c>
      <c r="F250" s="214"/>
      <c r="G250" s="215"/>
      <c r="J250" s="215"/>
      <c r="K250" s="215"/>
      <c r="L250" s="215">
        <f t="shared" si="1"/>
        <v>9450</v>
      </c>
      <c r="M250" s="54">
        <v>9450</v>
      </c>
      <c r="S250" s="217">
        <v>1.6019433198380569E-2</v>
      </c>
      <c r="AA250" s="54">
        <v>1235000</v>
      </c>
    </row>
    <row r="251" spans="1:27" ht="13.2">
      <c r="A251" s="11">
        <v>2.8245614035087714</v>
      </c>
      <c r="B251" s="11">
        <v>2.65</v>
      </c>
      <c r="F251" s="214"/>
      <c r="G251" s="215"/>
      <c r="J251" s="215"/>
      <c r="K251" s="215"/>
      <c r="L251" s="215">
        <f t="shared" si="1"/>
        <v>549924</v>
      </c>
      <c r="M251" s="54">
        <v>549924</v>
      </c>
      <c r="S251" s="217">
        <v>5.1350702511789911E-3</v>
      </c>
      <c r="AA251" s="54">
        <v>737283</v>
      </c>
    </row>
    <row r="252" spans="1:27" ht="13.2">
      <c r="A252" s="11">
        <v>3.1754385964912277</v>
      </c>
      <c r="B252" s="11">
        <v>2.9</v>
      </c>
      <c r="F252" s="214"/>
      <c r="G252" s="215"/>
      <c r="J252" s="215"/>
      <c r="K252" s="215"/>
      <c r="L252" s="215">
        <f t="shared" si="1"/>
        <v>413527</v>
      </c>
      <c r="M252" s="54">
        <v>413527</v>
      </c>
      <c r="S252" s="217">
        <v>2.0027624309392266E-2</v>
      </c>
      <c r="AA252" s="54">
        <v>118736</v>
      </c>
    </row>
    <row r="253" spans="1:27" ht="13.2">
      <c r="A253" s="11">
        <v>3.1754385964912277</v>
      </c>
      <c r="B253" s="11">
        <v>2.9</v>
      </c>
      <c r="F253" s="214"/>
      <c r="G253" s="215"/>
      <c r="J253" s="215"/>
      <c r="K253" s="215"/>
      <c r="L253" s="215">
        <f t="shared" si="1"/>
        <v>129750</v>
      </c>
      <c r="M253" s="54">
        <v>129750</v>
      </c>
      <c r="S253" s="217">
        <v>3.3828959185710009E-2</v>
      </c>
      <c r="AA253" s="54">
        <v>140294</v>
      </c>
    </row>
    <row r="254" spans="1:27" ht="13.2">
      <c r="A254" s="11">
        <v>2.192982456140351</v>
      </c>
      <c r="B254" s="11">
        <v>2.2000000000000002</v>
      </c>
      <c r="F254" s="214"/>
      <c r="G254" s="215"/>
      <c r="J254" s="215"/>
      <c r="K254" s="215"/>
      <c r="L254" s="215">
        <f t="shared" si="1"/>
        <v>287969</v>
      </c>
      <c r="M254" s="54">
        <v>287969</v>
      </c>
      <c r="S254" s="217">
        <v>1</v>
      </c>
      <c r="AA254" s="54">
        <v>0</v>
      </c>
    </row>
    <row r="255" spans="1:27" ht="13.2">
      <c r="A255" s="11">
        <v>1.6315789473684208</v>
      </c>
      <c r="B255" s="11">
        <v>1.7999999999999998</v>
      </c>
      <c r="F255" s="214"/>
      <c r="G255" s="215"/>
      <c r="J255" s="215"/>
      <c r="K255" s="215"/>
      <c r="L255" s="215">
        <f t="shared" si="1"/>
        <v>48597</v>
      </c>
      <c r="M255" s="54">
        <v>48597</v>
      </c>
      <c r="S255" s="217">
        <v>7.7743446626133755E-3</v>
      </c>
      <c r="AA255" s="54">
        <v>30099</v>
      </c>
    </row>
    <row r="256" spans="1:27" ht="13.2">
      <c r="A256" s="11">
        <v>5</v>
      </c>
      <c r="B256" s="11">
        <v>4.2</v>
      </c>
      <c r="F256" s="214"/>
      <c r="G256" s="215"/>
      <c r="J256" s="215"/>
      <c r="K256" s="215"/>
      <c r="L256" s="215">
        <f t="shared" si="1"/>
        <v>2646599</v>
      </c>
      <c r="M256" s="54">
        <v>2646599</v>
      </c>
      <c r="S256" s="217">
        <v>1</v>
      </c>
      <c r="AA256" s="54">
        <v>0</v>
      </c>
    </row>
    <row r="257" spans="1:27" ht="13.2">
      <c r="A257" s="11">
        <v>2.192982456140351</v>
      </c>
      <c r="B257" s="11">
        <v>2.2000000000000002</v>
      </c>
      <c r="F257" s="214"/>
      <c r="G257" s="215"/>
      <c r="J257" s="215"/>
      <c r="K257" s="215"/>
      <c r="L257" s="215" t="str">
        <f t="shared" si="1"/>
        <v/>
      </c>
      <c r="M257" s="54">
        <v>0</v>
      </c>
      <c r="S257" s="217">
        <v>1</v>
      </c>
      <c r="AA257" s="54">
        <v>0</v>
      </c>
    </row>
    <row r="258" spans="1:27" ht="13.2">
      <c r="A258" s="11">
        <v>2.6140350877192979</v>
      </c>
      <c r="B258" s="11">
        <v>2.5</v>
      </c>
      <c r="F258" s="214"/>
      <c r="G258" s="215"/>
      <c r="J258" s="215"/>
      <c r="K258" s="215"/>
      <c r="L258" s="215" t="str">
        <f t="shared" si="1"/>
        <v/>
      </c>
      <c r="M258" s="54">
        <v>0</v>
      </c>
      <c r="S258" s="217">
        <v>0.20340715502555368</v>
      </c>
      <c r="AA258" s="54">
        <v>5870</v>
      </c>
    </row>
    <row r="259" spans="1:27" ht="13.2">
      <c r="A259" s="11">
        <v>3.5964912280701755</v>
      </c>
      <c r="B259" s="11">
        <v>3.2</v>
      </c>
      <c r="F259" s="214"/>
      <c r="G259" s="215"/>
      <c r="J259" s="215"/>
      <c r="K259" s="215"/>
      <c r="L259" s="215" t="str">
        <f t="shared" si="1"/>
        <v/>
      </c>
      <c r="M259" s="54">
        <v>0</v>
      </c>
      <c r="S259" s="217">
        <v>1</v>
      </c>
      <c r="AA259" s="54">
        <v>50000</v>
      </c>
    </row>
    <row r="260" spans="1:27" ht="13.2">
      <c r="A260" s="11">
        <v>3.4561403508771922</v>
      </c>
      <c r="B260" s="11">
        <v>3.0999999999999996</v>
      </c>
      <c r="F260" s="214"/>
      <c r="G260" s="215"/>
      <c r="J260" s="215"/>
      <c r="K260" s="215"/>
      <c r="L260" s="215" t="str">
        <f t="shared" si="1"/>
        <v/>
      </c>
      <c r="M260" s="54">
        <v>0</v>
      </c>
      <c r="S260" s="217">
        <v>1</v>
      </c>
      <c r="AA260" s="54">
        <v>0</v>
      </c>
    </row>
    <row r="261" spans="1:27" ht="13.2">
      <c r="A261" s="11">
        <v>3.807017543859649</v>
      </c>
      <c r="B261" s="11">
        <v>3.35</v>
      </c>
      <c r="F261" s="214"/>
      <c r="G261" s="215"/>
      <c r="J261" s="215"/>
      <c r="K261" s="215"/>
      <c r="L261" s="215" t="str">
        <f t="shared" si="1"/>
        <v/>
      </c>
      <c r="M261" s="54">
        <v>0</v>
      </c>
      <c r="S261" s="217">
        <v>1.7335663228374956E-2</v>
      </c>
      <c r="AA261" s="54">
        <v>353664</v>
      </c>
    </row>
    <row r="262" spans="1:27" ht="13.2">
      <c r="A262" s="11">
        <v>3.1754385964912277</v>
      </c>
      <c r="B262" s="11">
        <v>2.9</v>
      </c>
      <c r="F262" s="214"/>
      <c r="G262" s="215"/>
      <c r="J262" s="215"/>
      <c r="K262" s="215"/>
      <c r="L262" s="215">
        <f t="shared" si="1"/>
        <v>2840294</v>
      </c>
      <c r="M262" s="54">
        <v>2840294</v>
      </c>
      <c r="S262" s="217">
        <v>3.6194503449710007E-3</v>
      </c>
      <c r="AA262" s="54">
        <v>21865751</v>
      </c>
    </row>
    <row r="263" spans="1:27" ht="13.2">
      <c r="A263" s="11">
        <v>2.6140350877192979</v>
      </c>
      <c r="B263" s="11">
        <v>2.5</v>
      </c>
      <c r="F263" s="214"/>
      <c r="G263" s="215"/>
      <c r="J263" s="215"/>
      <c r="K263" s="215"/>
      <c r="L263" s="215" t="str">
        <f t="shared" si="1"/>
        <v/>
      </c>
      <c r="M263" s="54">
        <v>0</v>
      </c>
      <c r="S263" s="217">
        <v>9.1800000000000007E-2</v>
      </c>
      <c r="AA263" s="54">
        <v>60000</v>
      </c>
    </row>
    <row r="264" spans="1:27" ht="13.2">
      <c r="F264" s="214"/>
      <c r="G264" s="215"/>
      <c r="J264" s="215"/>
      <c r="K264" s="215"/>
      <c r="L264" s="215"/>
      <c r="M264" s="215"/>
      <c r="S264" s="217"/>
      <c r="AA264" s="215"/>
    </row>
    <row r="265" spans="1:27" ht="13.2">
      <c r="F265" s="214"/>
      <c r="G265" s="215"/>
      <c r="J265" s="215"/>
      <c r="K265" s="215"/>
      <c r="L265" s="215"/>
      <c r="M265" s="215"/>
      <c r="S265" s="217"/>
      <c r="AA265" s="215"/>
    </row>
    <row r="266" spans="1:27" ht="13.2">
      <c r="F266" s="214"/>
      <c r="G266" s="215"/>
      <c r="J266" s="215"/>
      <c r="K266" s="215"/>
      <c r="L266" s="215"/>
      <c r="M266" s="215"/>
      <c r="S266" s="217"/>
      <c r="AA266" s="215"/>
    </row>
    <row r="267" spans="1:27" ht="13.2">
      <c r="F267" s="214"/>
      <c r="G267" s="215"/>
      <c r="J267" s="215"/>
      <c r="K267" s="215"/>
      <c r="L267" s="215"/>
      <c r="M267" s="215"/>
      <c r="S267" s="217"/>
      <c r="AA267" s="215"/>
    </row>
    <row r="268" spans="1:27" ht="13.2">
      <c r="F268" s="214"/>
      <c r="G268" s="215"/>
      <c r="J268" s="215"/>
      <c r="K268" s="215"/>
      <c r="L268" s="215"/>
      <c r="M268" s="215"/>
      <c r="S268" s="217"/>
      <c r="AA268" s="215"/>
    </row>
    <row r="269" spans="1:27" ht="13.2">
      <c r="F269" s="214"/>
      <c r="G269" s="215"/>
      <c r="J269" s="215"/>
      <c r="K269" s="215"/>
      <c r="L269" s="215"/>
      <c r="M269" s="215"/>
      <c r="S269" s="217"/>
      <c r="AA269" s="215"/>
    </row>
    <row r="270" spans="1:27" ht="13.2">
      <c r="F270" s="214"/>
      <c r="G270" s="215"/>
      <c r="J270" s="215"/>
      <c r="K270" s="215"/>
      <c r="L270" s="215"/>
      <c r="M270" s="215"/>
      <c r="S270" s="217"/>
      <c r="AA270" s="215"/>
    </row>
    <row r="271" spans="1:27" ht="13.2">
      <c r="F271" s="214"/>
      <c r="G271" s="215"/>
      <c r="J271" s="215"/>
      <c r="K271" s="215"/>
      <c r="L271" s="215"/>
      <c r="M271" s="215"/>
      <c r="S271" s="217"/>
      <c r="AA271" s="215"/>
    </row>
    <row r="272" spans="1:27" ht="13.2">
      <c r="F272" s="214"/>
      <c r="G272" s="215"/>
      <c r="J272" s="215"/>
      <c r="K272" s="215"/>
      <c r="L272" s="215"/>
      <c r="M272" s="215"/>
      <c r="S272" s="217"/>
      <c r="AA272" s="215"/>
    </row>
    <row r="273" spans="1:27" ht="13.2">
      <c r="F273" s="214"/>
      <c r="G273" s="215"/>
      <c r="J273" s="215"/>
      <c r="K273" s="215"/>
      <c r="L273" s="215"/>
      <c r="M273" s="215"/>
      <c r="S273" s="217"/>
      <c r="AA273" s="215"/>
    </row>
    <row r="274" spans="1:27" ht="13.8">
      <c r="A274" s="120"/>
      <c r="F274" s="214"/>
      <c r="G274" s="215"/>
      <c r="J274" s="215"/>
      <c r="K274" s="215"/>
      <c r="L274" s="215"/>
      <c r="M274" s="215"/>
      <c r="S274" s="217"/>
      <c r="AA274" s="215"/>
    </row>
    <row r="275" spans="1:27" ht="13.2">
      <c r="A275" s="194"/>
      <c r="F275" s="214"/>
      <c r="G275" s="215"/>
      <c r="J275" s="215"/>
      <c r="K275" s="215"/>
      <c r="L275" s="215"/>
      <c r="M275" s="215"/>
      <c r="S275" s="217"/>
      <c r="AA275" s="215"/>
    </row>
    <row r="276" spans="1:27" ht="13.2">
      <c r="A276" s="216" t="s">
        <v>64</v>
      </c>
      <c r="D276" t="s">
        <v>67</v>
      </c>
      <c r="F276" s="214"/>
      <c r="G276" s="215"/>
      <c r="I276" s="54" t="s">
        <v>717</v>
      </c>
      <c r="J276" s="215"/>
      <c r="K276" s="215"/>
      <c r="L276" s="215"/>
      <c r="M276" s="215"/>
      <c r="S276" s="217"/>
      <c r="AA276" s="215"/>
    </row>
    <row r="277" spans="1:27" ht="13.2">
      <c r="A277" s="216"/>
      <c r="D277">
        <v>2500000</v>
      </c>
      <c r="F277" s="214"/>
      <c r="G277" s="215"/>
      <c r="I277" s="215">
        <v>2500000</v>
      </c>
      <c r="J277" s="215"/>
      <c r="K277" s="215"/>
      <c r="L277" s="215"/>
      <c r="M277" s="215">
        <f>COUNT(I277:I538)</f>
        <v>262</v>
      </c>
      <c r="N277">
        <f>SQRT(M277)</f>
        <v>16.186414056238647</v>
      </c>
      <c r="O277" s="215">
        <f>(MAX(I277:I538)-MIN(I277:I538))/N277</f>
        <v>7407446.737950433</v>
      </c>
      <c r="P277" s="215">
        <f t="shared" ref="P277:P538" si="4">IF(OR(I277&gt;=$M$279, I277&lt;=$M$280), "", I277)</f>
        <v>2500000</v>
      </c>
      <c r="Q277" s="16" t="s">
        <v>158</v>
      </c>
      <c r="R277" s="16">
        <v>22</v>
      </c>
      <c r="S277" s="217">
        <f t="shared" ref="S277:S298" si="5">ROUND(1+((R277-MIN($R$277:$R$298))*(4)/(MAX($R$277:$R$298) - MIN($R$277:$R$298))),1)</f>
        <v>5</v>
      </c>
      <c r="V277">
        <v>2500000</v>
      </c>
      <c r="W277" s="16">
        <v>262</v>
      </c>
      <c r="Y277" s="215">
        <f>W279</f>
        <v>2353825.860849971</v>
      </c>
      <c r="Z277" s="16">
        <v>16</v>
      </c>
      <c r="AA277" s="215">
        <f t="shared" ref="AA277:AA292" si="6">ROUND(1+((Z277-MIN($Z$277:$Z$292))*(4)/(MAX($Z$277:$Z$292) - MIN($Z$277:$Z$292))),1)</f>
        <v>5</v>
      </c>
    </row>
    <row r="278" spans="1:27" ht="13.2">
      <c r="A278" s="216">
        <v>28100000</v>
      </c>
      <c r="D278" t="s">
        <v>719</v>
      </c>
      <c r="F278" s="214"/>
      <c r="G278" s="215"/>
      <c r="I278" s="215">
        <v>28100000</v>
      </c>
      <c r="J278" s="215"/>
      <c r="K278" s="215"/>
      <c r="L278" s="215"/>
      <c r="M278" s="215"/>
      <c r="P278" s="215">
        <f t="shared" si="4"/>
        <v>28100000</v>
      </c>
      <c r="Q278" s="16" t="s">
        <v>188</v>
      </c>
      <c r="R278" s="16">
        <v>21</v>
      </c>
      <c r="S278" s="217">
        <f t="shared" si="5"/>
        <v>4.8</v>
      </c>
      <c r="V278">
        <v>28100000</v>
      </c>
      <c r="W278" s="16">
        <f>SQRT(W277)</f>
        <v>16.186414056238647</v>
      </c>
      <c r="Y278" s="215">
        <f t="shared" ref="Y278:Y292" si="7">Y277+$W$279</f>
        <v>4707651.7216999419</v>
      </c>
      <c r="Z278" s="16">
        <v>15</v>
      </c>
      <c r="AA278" s="215">
        <f t="shared" si="6"/>
        <v>4.7</v>
      </c>
    </row>
    <row r="279" spans="1:27" ht="13.2">
      <c r="A279" s="216"/>
      <c r="D279">
        <v>400000</v>
      </c>
      <c r="F279" s="214"/>
      <c r="G279" s="215"/>
      <c r="I279" s="215">
        <v>400000</v>
      </c>
      <c r="J279" s="215"/>
      <c r="K279" s="215"/>
      <c r="L279" s="215"/>
      <c r="M279" s="215">
        <f>PERCENTILE($I$277:$I$538, 0.99)</f>
        <v>72790219.399999827</v>
      </c>
      <c r="P279" t="str">
        <f t="shared" si="4"/>
        <v/>
      </c>
      <c r="Q279" s="16" t="s">
        <v>208</v>
      </c>
      <c r="R279" s="16">
        <v>20</v>
      </c>
      <c r="S279" s="217">
        <f t="shared" si="5"/>
        <v>4.5999999999999996</v>
      </c>
      <c r="V279">
        <v>7500000</v>
      </c>
      <c r="W279" s="215">
        <f>(MAX(V277:V329) - MIN(V277:V329))/W278</f>
        <v>2353825.860849971</v>
      </c>
      <c r="Y279" s="215">
        <f t="shared" si="7"/>
        <v>7061477.5825499129</v>
      </c>
      <c r="Z279" s="16">
        <v>14</v>
      </c>
      <c r="AA279" s="215">
        <f t="shared" si="6"/>
        <v>4.5</v>
      </c>
    </row>
    <row r="280" spans="1:27" ht="13.2">
      <c r="A280" s="216">
        <v>7500000</v>
      </c>
      <c r="D280" t="s">
        <v>719</v>
      </c>
      <c r="F280" s="214"/>
      <c r="G280" s="215"/>
      <c r="I280" s="215">
        <v>7500000</v>
      </c>
      <c r="J280" s="215"/>
      <c r="K280" s="215"/>
      <c r="L280" s="215"/>
      <c r="M280" s="215">
        <f>PERCENTILE($I$277:$I$538, 0.01)</f>
        <v>430500</v>
      </c>
      <c r="P280" s="215">
        <f t="shared" si="4"/>
        <v>7500000</v>
      </c>
      <c r="Q280" s="16" t="s">
        <v>224</v>
      </c>
      <c r="R280" s="16">
        <v>19</v>
      </c>
      <c r="S280" s="217">
        <f t="shared" si="5"/>
        <v>4.4000000000000004</v>
      </c>
      <c r="V280">
        <v>4800000</v>
      </c>
      <c r="Y280" s="215">
        <f t="shared" si="7"/>
        <v>9415303.4433998838</v>
      </c>
      <c r="Z280" s="16">
        <v>13</v>
      </c>
      <c r="AA280" s="215">
        <f t="shared" si="6"/>
        <v>4.2</v>
      </c>
    </row>
    <row r="281" spans="1:27" ht="13.2">
      <c r="A281" s="216"/>
      <c r="D281">
        <v>4800000</v>
      </c>
      <c r="F281" s="214"/>
      <c r="G281" s="215"/>
      <c r="I281" s="215">
        <v>4800000</v>
      </c>
      <c r="J281" s="215"/>
      <c r="K281" s="215"/>
      <c r="L281" s="215"/>
      <c r="M281" s="215"/>
      <c r="P281" s="215">
        <f t="shared" si="4"/>
        <v>4800000</v>
      </c>
      <c r="Q281" s="16" t="s">
        <v>238</v>
      </c>
      <c r="R281" s="16">
        <v>18</v>
      </c>
      <c r="S281" s="217">
        <f t="shared" si="5"/>
        <v>4.2</v>
      </c>
      <c r="V281">
        <v>35000000</v>
      </c>
      <c r="Y281" s="215">
        <f t="shared" si="7"/>
        <v>11769129.304249855</v>
      </c>
      <c r="Z281" s="16">
        <v>12</v>
      </c>
      <c r="AA281" s="215">
        <f t="shared" si="6"/>
        <v>3.9</v>
      </c>
    </row>
    <row r="282" spans="1:27" ht="13.2">
      <c r="A282" s="216"/>
      <c r="D282">
        <v>35000000</v>
      </c>
      <c r="F282" s="214"/>
      <c r="G282" s="215"/>
      <c r="I282" s="215">
        <v>35000000</v>
      </c>
      <c r="J282" s="215"/>
      <c r="K282" s="215"/>
      <c r="L282" s="215"/>
      <c r="M282" s="215"/>
      <c r="P282" s="215">
        <f t="shared" si="4"/>
        <v>35000000</v>
      </c>
      <c r="Q282" s="16" t="s">
        <v>250</v>
      </c>
      <c r="R282" s="16">
        <v>17</v>
      </c>
      <c r="S282" s="217">
        <f t="shared" si="5"/>
        <v>4</v>
      </c>
      <c r="V282">
        <v>13916596</v>
      </c>
      <c r="Y282" s="215">
        <f t="shared" si="7"/>
        <v>14122955.165099826</v>
      </c>
      <c r="Z282" s="16">
        <v>11</v>
      </c>
      <c r="AA282" s="215">
        <f t="shared" si="6"/>
        <v>3.7</v>
      </c>
    </row>
    <row r="283" spans="1:27" ht="13.2">
      <c r="A283" s="216">
        <v>13916596</v>
      </c>
      <c r="D283" t="s">
        <v>719</v>
      </c>
      <c r="F283" s="214"/>
      <c r="G283" s="215"/>
      <c r="I283" s="215">
        <v>13916596</v>
      </c>
      <c r="J283" s="215"/>
      <c r="K283" s="215"/>
      <c r="L283" s="215"/>
      <c r="M283" s="215"/>
      <c r="P283" s="215">
        <f t="shared" si="4"/>
        <v>13916596</v>
      </c>
      <c r="Q283" s="16" t="s">
        <v>261</v>
      </c>
      <c r="R283" s="16">
        <v>16</v>
      </c>
      <c r="S283" s="217">
        <f t="shared" si="5"/>
        <v>3.9</v>
      </c>
      <c r="V283">
        <v>8000000</v>
      </c>
      <c r="Y283" s="215">
        <f t="shared" si="7"/>
        <v>16476781.025949797</v>
      </c>
      <c r="Z283" s="16">
        <v>10</v>
      </c>
      <c r="AA283" s="215">
        <f t="shared" si="6"/>
        <v>3.4</v>
      </c>
    </row>
    <row r="284" spans="1:27" ht="13.2">
      <c r="A284" s="216">
        <v>8000000</v>
      </c>
      <c r="D284" t="s">
        <v>719</v>
      </c>
      <c r="F284" s="214"/>
      <c r="G284" s="215"/>
      <c r="I284" s="215">
        <v>8000000</v>
      </c>
      <c r="J284" s="215"/>
      <c r="K284" s="215"/>
      <c r="L284" s="215"/>
      <c r="M284" s="215"/>
      <c r="P284" s="215">
        <f t="shared" si="4"/>
        <v>8000000</v>
      </c>
      <c r="Q284" s="16" t="s">
        <v>272</v>
      </c>
      <c r="R284" s="16">
        <v>15</v>
      </c>
      <c r="S284" s="217">
        <f t="shared" si="5"/>
        <v>3.7</v>
      </c>
      <c r="V284">
        <v>16000000</v>
      </c>
      <c r="Y284" s="215">
        <f t="shared" si="7"/>
        <v>18830606.886799768</v>
      </c>
      <c r="Z284" s="16">
        <v>9</v>
      </c>
      <c r="AA284" s="215">
        <f t="shared" si="6"/>
        <v>3.1</v>
      </c>
    </row>
    <row r="285" spans="1:27" ht="13.2">
      <c r="A285" s="216">
        <v>16000000</v>
      </c>
      <c r="D285" t="s">
        <v>719</v>
      </c>
      <c r="F285" s="214"/>
      <c r="G285" s="215"/>
      <c r="I285" s="215">
        <v>16000000</v>
      </c>
      <c r="J285" s="215"/>
      <c r="K285" s="215"/>
      <c r="L285" s="215"/>
      <c r="M285" s="215"/>
      <c r="P285" s="215">
        <f t="shared" si="4"/>
        <v>16000000</v>
      </c>
      <c r="Q285" s="16" t="s">
        <v>283</v>
      </c>
      <c r="R285" s="16">
        <v>14</v>
      </c>
      <c r="S285" s="217">
        <f t="shared" si="5"/>
        <v>3.5</v>
      </c>
      <c r="V285">
        <v>17507365</v>
      </c>
      <c r="Y285" s="215">
        <f t="shared" si="7"/>
        <v>21184432.747649737</v>
      </c>
      <c r="Z285" s="16">
        <v>8</v>
      </c>
      <c r="AA285" s="215">
        <f t="shared" si="6"/>
        <v>2.9</v>
      </c>
    </row>
    <row r="286" spans="1:27" ht="13.2">
      <c r="A286" s="216">
        <v>17507365</v>
      </c>
      <c r="D286" t="s">
        <v>719</v>
      </c>
      <c r="F286" s="214"/>
      <c r="G286" s="215"/>
      <c r="I286" s="215">
        <v>17507365</v>
      </c>
      <c r="J286" s="215"/>
      <c r="K286" s="215"/>
      <c r="L286" s="215"/>
      <c r="M286" s="215"/>
      <c r="P286" s="215">
        <f t="shared" si="4"/>
        <v>17507365</v>
      </c>
      <c r="Q286" s="16" t="s">
        <v>291</v>
      </c>
      <c r="R286" s="16">
        <v>13</v>
      </c>
      <c r="S286" s="217">
        <f t="shared" si="5"/>
        <v>3.3</v>
      </c>
      <c r="V286">
        <v>5600000</v>
      </c>
      <c r="Y286" s="215">
        <f t="shared" si="7"/>
        <v>23538258.608499706</v>
      </c>
      <c r="Z286" s="16">
        <v>7</v>
      </c>
      <c r="AA286" s="215">
        <f t="shared" si="6"/>
        <v>2.6</v>
      </c>
    </row>
    <row r="287" spans="1:27" ht="13.2">
      <c r="A287" s="216"/>
      <c r="D287">
        <v>5600000</v>
      </c>
      <c r="F287" s="214"/>
      <c r="G287" s="215"/>
      <c r="I287" s="215">
        <v>5600000</v>
      </c>
      <c r="J287" s="215"/>
      <c r="K287" s="215"/>
      <c r="L287" s="215"/>
      <c r="M287" s="215"/>
      <c r="P287" s="215">
        <f t="shared" si="4"/>
        <v>5600000</v>
      </c>
      <c r="Q287" s="16" t="s">
        <v>298</v>
      </c>
      <c r="R287" s="16">
        <v>12</v>
      </c>
      <c r="S287" s="217">
        <f t="shared" si="5"/>
        <v>3.1</v>
      </c>
      <c r="V287">
        <v>6410000</v>
      </c>
      <c r="Y287" s="215">
        <f t="shared" si="7"/>
        <v>25892084.469349675</v>
      </c>
      <c r="Z287" s="16">
        <v>6</v>
      </c>
      <c r="AA287" s="215">
        <f t="shared" si="6"/>
        <v>2.2999999999999998</v>
      </c>
    </row>
    <row r="288" spans="1:27" ht="13.2">
      <c r="A288" s="216">
        <v>6410000</v>
      </c>
      <c r="D288" t="s">
        <v>719</v>
      </c>
      <c r="F288" s="214"/>
      <c r="G288" s="215"/>
      <c r="I288" s="215">
        <v>6410000</v>
      </c>
      <c r="J288" s="215"/>
      <c r="K288" s="215"/>
      <c r="L288" s="215"/>
      <c r="M288" s="215"/>
      <c r="P288" s="215">
        <f t="shared" si="4"/>
        <v>6410000</v>
      </c>
      <c r="Q288" s="16" t="s">
        <v>303</v>
      </c>
      <c r="R288" s="16">
        <v>11</v>
      </c>
      <c r="S288" s="217">
        <f t="shared" si="5"/>
        <v>2.9</v>
      </c>
      <c r="V288">
        <v>3600000</v>
      </c>
      <c r="Y288" s="215">
        <f t="shared" si="7"/>
        <v>28245910.330199644</v>
      </c>
      <c r="Z288" s="16">
        <v>5</v>
      </c>
      <c r="AA288" s="215">
        <f t="shared" si="6"/>
        <v>2.1</v>
      </c>
    </row>
    <row r="289" spans="1:27" ht="13.2">
      <c r="A289" s="216"/>
      <c r="D289">
        <v>3600000</v>
      </c>
      <c r="F289" s="214"/>
      <c r="G289" s="215"/>
      <c r="I289" s="215">
        <v>3600000</v>
      </c>
      <c r="J289" s="215"/>
      <c r="K289" s="215"/>
      <c r="L289" s="215"/>
      <c r="M289" s="215"/>
      <c r="P289" s="215">
        <f t="shared" si="4"/>
        <v>3600000</v>
      </c>
      <c r="Q289" s="16" t="s">
        <v>309</v>
      </c>
      <c r="R289" s="16">
        <v>10</v>
      </c>
      <c r="S289" s="217">
        <f t="shared" si="5"/>
        <v>2.7</v>
      </c>
      <c r="V289">
        <v>6560000</v>
      </c>
      <c r="Y289" s="215">
        <f t="shared" si="7"/>
        <v>30599736.191049613</v>
      </c>
      <c r="Z289" s="16">
        <v>4</v>
      </c>
      <c r="AA289" s="215">
        <f t="shared" si="6"/>
        <v>1.8</v>
      </c>
    </row>
    <row r="290" spans="1:27" ht="13.2">
      <c r="A290" s="216"/>
      <c r="D290">
        <v>6560000</v>
      </c>
      <c r="F290" s="214"/>
      <c r="G290" s="215"/>
      <c r="I290" s="215">
        <v>6560000</v>
      </c>
      <c r="J290" s="215"/>
      <c r="K290" s="215"/>
      <c r="L290" s="215"/>
      <c r="M290" s="215"/>
      <c r="P290" s="215">
        <f t="shared" si="4"/>
        <v>6560000</v>
      </c>
      <c r="Q290" s="16" t="s">
        <v>313</v>
      </c>
      <c r="R290" s="16">
        <v>9</v>
      </c>
      <c r="S290" s="217">
        <f t="shared" si="5"/>
        <v>2.5</v>
      </c>
      <c r="V290">
        <v>3200000</v>
      </c>
      <c r="Y290" s="215">
        <f t="shared" si="7"/>
        <v>32953562.051899582</v>
      </c>
      <c r="Z290" s="16">
        <v>3</v>
      </c>
      <c r="AA290" s="215">
        <f t="shared" si="6"/>
        <v>1.5</v>
      </c>
    </row>
    <row r="291" spans="1:27" ht="13.2">
      <c r="A291" s="216"/>
      <c r="D291">
        <v>3200000</v>
      </c>
      <c r="F291" s="214"/>
      <c r="G291" s="215"/>
      <c r="I291" s="215">
        <v>3200000</v>
      </c>
      <c r="J291" s="215"/>
      <c r="K291" s="215"/>
      <c r="L291" s="215"/>
      <c r="M291" s="215"/>
      <c r="P291" s="215">
        <f t="shared" si="4"/>
        <v>3200000</v>
      </c>
      <c r="Q291" s="16" t="s">
        <v>318</v>
      </c>
      <c r="R291" s="16">
        <v>8</v>
      </c>
      <c r="S291" s="217">
        <f t="shared" si="5"/>
        <v>2.2999999999999998</v>
      </c>
      <c r="V291">
        <v>7100000</v>
      </c>
      <c r="Y291" s="215">
        <f t="shared" si="7"/>
        <v>35307387.912749551</v>
      </c>
      <c r="Z291" s="16">
        <v>2</v>
      </c>
      <c r="AA291" s="215">
        <f t="shared" si="6"/>
        <v>1.3</v>
      </c>
    </row>
    <row r="292" spans="1:27" ht="13.2">
      <c r="A292" s="216">
        <v>7100000</v>
      </c>
      <c r="D292" t="s">
        <v>719</v>
      </c>
      <c r="F292" s="214"/>
      <c r="G292" s="215"/>
      <c r="I292" s="215">
        <v>7100000</v>
      </c>
      <c r="J292" s="215"/>
      <c r="K292" s="215"/>
      <c r="L292" s="215"/>
      <c r="M292" s="215"/>
      <c r="P292" s="215">
        <f t="shared" si="4"/>
        <v>7100000</v>
      </c>
      <c r="Q292" s="16" t="s">
        <v>322</v>
      </c>
      <c r="R292" s="16">
        <v>7</v>
      </c>
      <c r="S292" s="217">
        <f t="shared" si="5"/>
        <v>2.1</v>
      </c>
      <c r="V292">
        <v>5490000</v>
      </c>
      <c r="Y292" s="215">
        <f t="shared" si="7"/>
        <v>37661213.77359952</v>
      </c>
      <c r="Z292" s="16">
        <v>1</v>
      </c>
      <c r="AA292" s="215">
        <f t="shared" si="6"/>
        <v>1</v>
      </c>
    </row>
    <row r="293" spans="1:27" ht="13.2">
      <c r="A293" s="216">
        <v>5490000</v>
      </c>
      <c r="D293" t="s">
        <v>719</v>
      </c>
      <c r="F293" s="214"/>
      <c r="G293" s="215"/>
      <c r="I293" s="215">
        <v>5490000</v>
      </c>
      <c r="J293" s="215"/>
      <c r="K293" s="215"/>
      <c r="L293" s="215"/>
      <c r="M293" s="215"/>
      <c r="P293" s="215">
        <f t="shared" si="4"/>
        <v>5490000</v>
      </c>
      <c r="Q293" s="16" t="s">
        <v>326</v>
      </c>
      <c r="R293" s="16">
        <v>6</v>
      </c>
      <c r="S293" s="217">
        <f t="shared" si="5"/>
        <v>2</v>
      </c>
      <c r="V293">
        <v>5000000</v>
      </c>
      <c r="AA293" s="215"/>
    </row>
    <row r="294" spans="1:27" ht="13.2">
      <c r="A294" s="216"/>
      <c r="D294">
        <v>5000000</v>
      </c>
      <c r="F294" s="214"/>
      <c r="G294" s="215"/>
      <c r="I294" s="215">
        <v>5000000</v>
      </c>
      <c r="J294" s="215"/>
      <c r="K294" s="215"/>
      <c r="L294" s="215"/>
      <c r="M294" s="215"/>
      <c r="P294" s="215">
        <f t="shared" si="4"/>
        <v>5000000</v>
      </c>
      <c r="Q294" s="16" t="s">
        <v>330</v>
      </c>
      <c r="R294" s="16">
        <v>5</v>
      </c>
      <c r="S294" s="217">
        <f t="shared" si="5"/>
        <v>1.8</v>
      </c>
      <c r="V294">
        <v>7200000</v>
      </c>
      <c r="AA294" s="215"/>
    </row>
    <row r="295" spans="1:27" ht="13.2">
      <c r="A295" s="216"/>
      <c r="D295">
        <v>7200000</v>
      </c>
      <c r="F295" s="214"/>
      <c r="G295" s="215"/>
      <c r="I295" s="215">
        <v>7200000</v>
      </c>
      <c r="J295" s="215"/>
      <c r="K295" s="215"/>
      <c r="L295" s="215"/>
      <c r="M295" s="215"/>
      <c r="P295" s="215">
        <f t="shared" si="4"/>
        <v>7200000</v>
      </c>
      <c r="Q295" s="16" t="s">
        <v>334</v>
      </c>
      <c r="R295" s="16">
        <v>4</v>
      </c>
      <c r="S295" s="217">
        <f t="shared" si="5"/>
        <v>1.6</v>
      </c>
      <c r="V295">
        <v>17600000</v>
      </c>
      <c r="AA295" s="215"/>
    </row>
    <row r="296" spans="1:27" ht="13.2">
      <c r="A296" s="216"/>
      <c r="D296">
        <v>17600000</v>
      </c>
      <c r="F296" s="214"/>
      <c r="G296" s="215"/>
      <c r="I296" s="215">
        <v>17600000</v>
      </c>
      <c r="J296" s="215"/>
      <c r="K296" s="215"/>
      <c r="L296" s="215"/>
      <c r="M296" s="215"/>
      <c r="P296" s="215">
        <f t="shared" si="4"/>
        <v>17600000</v>
      </c>
      <c r="Q296" s="16" t="s">
        <v>338</v>
      </c>
      <c r="R296" s="16">
        <v>3</v>
      </c>
      <c r="S296" s="217">
        <f t="shared" si="5"/>
        <v>1.4</v>
      </c>
      <c r="V296">
        <v>12000000</v>
      </c>
      <c r="AA296" s="215"/>
    </row>
    <row r="297" spans="1:27" ht="13.2">
      <c r="A297" s="216">
        <v>12000000</v>
      </c>
      <c r="D297" t="s">
        <v>719</v>
      </c>
      <c r="F297" s="214"/>
      <c r="G297" s="215"/>
      <c r="I297" s="215">
        <v>12000000</v>
      </c>
      <c r="J297" s="215"/>
      <c r="K297" s="215"/>
      <c r="L297" s="215"/>
      <c r="M297" s="215"/>
      <c r="P297" s="215">
        <f t="shared" si="4"/>
        <v>12000000</v>
      </c>
      <c r="Q297" s="16" t="s">
        <v>342</v>
      </c>
      <c r="R297" s="16">
        <v>2</v>
      </c>
      <c r="S297" s="217">
        <f t="shared" si="5"/>
        <v>1.2</v>
      </c>
      <c r="V297">
        <v>2500000</v>
      </c>
      <c r="AA297" s="215"/>
    </row>
    <row r="298" spans="1:27" ht="13.2">
      <c r="A298" s="216">
        <v>2500000</v>
      </c>
      <c r="D298" t="s">
        <v>719</v>
      </c>
      <c r="F298" s="214"/>
      <c r="G298" s="215"/>
      <c r="I298" s="215">
        <v>2500000</v>
      </c>
      <c r="J298" s="215"/>
      <c r="K298" s="215"/>
      <c r="L298" s="215"/>
      <c r="M298" s="215"/>
      <c r="P298" s="215">
        <f t="shared" si="4"/>
        <v>2500000</v>
      </c>
      <c r="Q298" s="16" t="s">
        <v>345</v>
      </c>
      <c r="R298" s="16">
        <v>1</v>
      </c>
      <c r="S298" s="217">
        <f t="shared" si="5"/>
        <v>1</v>
      </c>
      <c r="V298">
        <v>15000000</v>
      </c>
      <c r="AA298" s="215"/>
    </row>
    <row r="299" spans="1:27" ht="13.2">
      <c r="A299" s="216">
        <v>15000000</v>
      </c>
      <c r="D299" t="s">
        <v>719</v>
      </c>
      <c r="F299" s="214"/>
      <c r="G299" s="215"/>
      <c r="I299" s="215">
        <v>15000000</v>
      </c>
      <c r="J299" s="215"/>
      <c r="K299" s="215"/>
      <c r="L299" s="215"/>
      <c r="M299" s="215"/>
      <c r="P299" s="215">
        <f t="shared" si="4"/>
        <v>15000000</v>
      </c>
      <c r="S299" s="217"/>
      <c r="V299">
        <v>1920000</v>
      </c>
      <c r="AA299" s="215"/>
    </row>
    <row r="300" spans="1:27" ht="13.2">
      <c r="A300" s="216"/>
      <c r="D300">
        <v>1920000</v>
      </c>
      <c r="F300" s="214"/>
      <c r="G300" s="215"/>
      <c r="I300" s="215">
        <v>1920000</v>
      </c>
      <c r="J300" s="215"/>
      <c r="K300" s="215"/>
      <c r="L300" s="215"/>
      <c r="M300" s="215"/>
      <c r="P300" s="215">
        <f t="shared" si="4"/>
        <v>1920000</v>
      </c>
      <c r="S300" s="217"/>
      <c r="V300">
        <v>35000000</v>
      </c>
      <c r="AA300" s="215"/>
    </row>
    <row r="301" spans="1:27" ht="13.2">
      <c r="A301" s="216"/>
      <c r="D301">
        <v>35000000</v>
      </c>
      <c r="F301" s="214"/>
      <c r="G301" s="215"/>
      <c r="I301" s="215">
        <v>35000000</v>
      </c>
      <c r="J301" s="215"/>
      <c r="K301" s="215"/>
      <c r="L301" s="215"/>
      <c r="M301" s="215"/>
      <c r="P301" s="215">
        <f t="shared" si="4"/>
        <v>35000000</v>
      </c>
      <c r="S301" s="217"/>
      <c r="V301">
        <v>21959058</v>
      </c>
      <c r="AA301" s="215"/>
    </row>
    <row r="302" spans="1:27" ht="13.2">
      <c r="A302" s="216">
        <v>21959058</v>
      </c>
      <c r="D302" t="s">
        <v>719</v>
      </c>
      <c r="F302" s="214"/>
      <c r="G302" s="215"/>
      <c r="I302" s="215">
        <v>21959058</v>
      </c>
      <c r="J302" s="215"/>
      <c r="K302" s="215"/>
      <c r="L302" s="215"/>
      <c r="M302" s="215"/>
      <c r="P302" s="215">
        <f t="shared" si="4"/>
        <v>21959058</v>
      </c>
      <c r="S302" s="217"/>
      <c r="V302">
        <v>20000000</v>
      </c>
      <c r="AA302" s="215"/>
    </row>
    <row r="303" spans="1:27" ht="13.2">
      <c r="A303" s="216">
        <v>20000000</v>
      </c>
      <c r="D303" t="s">
        <v>719</v>
      </c>
      <c r="F303" s="214"/>
      <c r="G303" s="215"/>
      <c r="I303" s="215">
        <v>20000000</v>
      </c>
      <c r="J303" s="215"/>
      <c r="K303" s="215"/>
      <c r="L303" s="215"/>
      <c r="M303" s="215"/>
      <c r="P303" s="215">
        <f t="shared" si="4"/>
        <v>20000000</v>
      </c>
      <c r="S303" s="217"/>
      <c r="V303">
        <v>20000000</v>
      </c>
      <c r="AA303" s="215"/>
    </row>
    <row r="304" spans="1:27" ht="13.2">
      <c r="A304" s="216"/>
      <c r="D304">
        <v>20000000</v>
      </c>
      <c r="F304" s="214"/>
      <c r="G304" s="215"/>
      <c r="I304" s="215">
        <v>20000000</v>
      </c>
      <c r="J304" s="215"/>
      <c r="K304" s="215"/>
      <c r="L304" s="215"/>
      <c r="M304" s="215"/>
      <c r="P304" s="215">
        <f t="shared" si="4"/>
        <v>20000000</v>
      </c>
      <c r="S304" s="217"/>
      <c r="V304">
        <v>7000000</v>
      </c>
      <c r="AA304" s="215"/>
    </row>
    <row r="305" spans="1:27" ht="13.2">
      <c r="A305" s="216"/>
      <c r="D305">
        <v>7000000</v>
      </c>
      <c r="F305" s="214"/>
      <c r="G305" s="215"/>
      <c r="I305" s="215">
        <v>7000000</v>
      </c>
      <c r="J305" s="215"/>
      <c r="K305" s="215"/>
      <c r="L305" s="215"/>
      <c r="M305" s="215"/>
      <c r="P305" s="215">
        <f t="shared" si="4"/>
        <v>7000000</v>
      </c>
      <c r="S305" s="217"/>
      <c r="V305">
        <v>2500000</v>
      </c>
      <c r="AA305" s="215"/>
    </row>
    <row r="306" spans="1:27" ht="13.2">
      <c r="A306" s="216"/>
      <c r="D306">
        <v>2500000</v>
      </c>
      <c r="F306" s="214"/>
      <c r="G306" s="215"/>
      <c r="I306" s="215">
        <v>2500000</v>
      </c>
      <c r="J306" s="215"/>
      <c r="K306" s="215"/>
      <c r="L306" s="215"/>
      <c r="M306" s="215"/>
      <c r="P306" s="215">
        <f t="shared" si="4"/>
        <v>2500000</v>
      </c>
      <c r="S306" s="217"/>
      <c r="V306">
        <v>3000000</v>
      </c>
      <c r="AA306" s="215"/>
    </row>
    <row r="307" spans="1:27" ht="13.2">
      <c r="A307" s="216"/>
      <c r="D307">
        <v>3000000</v>
      </c>
      <c r="F307" s="214"/>
      <c r="G307" s="215"/>
      <c r="I307" s="215">
        <v>3000000</v>
      </c>
      <c r="J307" s="215"/>
      <c r="K307" s="215"/>
      <c r="L307" s="215"/>
      <c r="M307" s="215"/>
      <c r="P307" s="215">
        <f t="shared" si="4"/>
        <v>3000000</v>
      </c>
      <c r="S307" s="217"/>
      <c r="V307">
        <v>1900000</v>
      </c>
      <c r="AA307" s="215"/>
    </row>
    <row r="308" spans="1:27" ht="13.2">
      <c r="A308" s="216"/>
      <c r="D308">
        <v>1900000</v>
      </c>
      <c r="F308" s="214"/>
      <c r="G308" s="215"/>
      <c r="I308" s="215">
        <v>1900000</v>
      </c>
      <c r="J308" s="215"/>
      <c r="K308" s="215"/>
      <c r="L308" s="215"/>
      <c r="M308" s="215"/>
      <c r="P308" s="215">
        <f t="shared" si="4"/>
        <v>1900000</v>
      </c>
      <c r="S308" s="217"/>
      <c r="V308">
        <v>1500000</v>
      </c>
      <c r="AA308" s="215"/>
    </row>
    <row r="309" spans="1:27" ht="13.2">
      <c r="A309" s="216"/>
      <c r="D309">
        <v>1500000</v>
      </c>
      <c r="F309" s="214"/>
      <c r="G309" s="215"/>
      <c r="I309" s="215">
        <v>1500000</v>
      </c>
      <c r="J309" s="215"/>
      <c r="K309" s="215"/>
      <c r="L309" s="215"/>
      <c r="M309" s="215"/>
      <c r="P309" s="215">
        <f t="shared" si="4"/>
        <v>1500000</v>
      </c>
      <c r="S309" s="217"/>
      <c r="V309">
        <v>8750000</v>
      </c>
      <c r="AA309" s="215"/>
    </row>
    <row r="310" spans="1:27" ht="13.2">
      <c r="A310" s="216"/>
      <c r="D310">
        <v>8750000</v>
      </c>
      <c r="F310" s="214"/>
      <c r="G310" s="215"/>
      <c r="I310" s="215">
        <v>8750000</v>
      </c>
      <c r="J310" s="215"/>
      <c r="K310" s="215"/>
      <c r="L310" s="215"/>
      <c r="M310" s="215"/>
      <c r="P310" s="215">
        <f t="shared" si="4"/>
        <v>8750000</v>
      </c>
      <c r="S310" s="217"/>
      <c r="V310">
        <v>5600000</v>
      </c>
      <c r="AA310" s="215"/>
    </row>
    <row r="311" spans="1:27" ht="13.2">
      <c r="A311" s="216"/>
      <c r="D311">
        <v>5600000</v>
      </c>
      <c r="F311" s="214"/>
      <c r="G311" s="215"/>
      <c r="I311" s="215">
        <v>5600000</v>
      </c>
      <c r="J311" s="215"/>
      <c r="K311" s="215"/>
      <c r="L311" s="215"/>
      <c r="M311" s="215"/>
      <c r="P311" s="215">
        <f t="shared" si="4"/>
        <v>5600000</v>
      </c>
      <c r="S311" s="217"/>
      <c r="V311">
        <v>1600000</v>
      </c>
      <c r="AA311" s="215"/>
    </row>
    <row r="312" spans="1:27" ht="13.2">
      <c r="A312" s="216"/>
      <c r="D312">
        <v>1600000</v>
      </c>
      <c r="F312" s="214"/>
      <c r="G312" s="215"/>
      <c r="I312" s="215">
        <v>1600000</v>
      </c>
      <c r="J312" s="215"/>
      <c r="K312" s="215"/>
      <c r="L312" s="215"/>
      <c r="M312" s="215"/>
      <c r="P312" s="215">
        <f t="shared" si="4"/>
        <v>1600000</v>
      </c>
      <c r="S312" s="217"/>
      <c r="V312">
        <v>1500000</v>
      </c>
      <c r="AA312" s="215"/>
    </row>
    <row r="313" spans="1:27" ht="13.2">
      <c r="A313" s="216"/>
      <c r="D313">
        <v>1500000</v>
      </c>
      <c r="F313" s="214"/>
      <c r="G313" s="215"/>
      <c r="I313" s="215">
        <v>1500000</v>
      </c>
      <c r="J313" s="215"/>
      <c r="K313" s="215"/>
      <c r="L313" s="215"/>
      <c r="M313" s="215"/>
      <c r="P313" s="215">
        <f t="shared" si="4"/>
        <v>1500000</v>
      </c>
      <c r="S313" s="217"/>
      <c r="V313">
        <v>2000000</v>
      </c>
      <c r="AA313" s="215"/>
    </row>
    <row r="314" spans="1:27" ht="13.2">
      <c r="A314" s="216"/>
      <c r="D314">
        <v>2000000</v>
      </c>
      <c r="F314" s="214"/>
      <c r="G314" s="215"/>
      <c r="I314" s="215">
        <v>2000000</v>
      </c>
      <c r="J314" s="215"/>
      <c r="K314" s="215"/>
      <c r="L314" s="215"/>
      <c r="M314" s="215"/>
      <c r="P314" s="215">
        <f t="shared" si="4"/>
        <v>2000000</v>
      </c>
      <c r="S314" s="217"/>
      <c r="V314">
        <v>2480000</v>
      </c>
      <c r="AA314" s="215"/>
    </row>
    <row r="315" spans="1:27" ht="13.2">
      <c r="A315" s="216"/>
      <c r="D315">
        <v>2480000</v>
      </c>
      <c r="F315" s="214"/>
      <c r="G315" s="215"/>
      <c r="I315" s="215">
        <v>2480000</v>
      </c>
      <c r="J315" s="215"/>
      <c r="K315" s="215"/>
      <c r="L315" s="215"/>
      <c r="M315" s="215"/>
      <c r="P315" s="215">
        <f t="shared" si="4"/>
        <v>2480000</v>
      </c>
      <c r="S315" s="217"/>
      <c r="V315">
        <v>1500000</v>
      </c>
      <c r="AA315" s="215"/>
    </row>
    <row r="316" spans="1:27" ht="13.2">
      <c r="A316" s="216"/>
      <c r="D316">
        <v>1500000</v>
      </c>
      <c r="F316" s="214"/>
      <c r="G316" s="215"/>
      <c r="I316" s="215">
        <v>1500000</v>
      </c>
      <c r="J316" s="215"/>
      <c r="K316" s="215"/>
      <c r="L316" s="215"/>
      <c r="M316" s="215"/>
      <c r="P316" s="215">
        <f t="shared" si="4"/>
        <v>1500000</v>
      </c>
      <c r="S316" s="217"/>
      <c r="V316">
        <v>2500000</v>
      </c>
      <c r="AA316" s="215"/>
    </row>
    <row r="317" spans="1:27" ht="13.2">
      <c r="A317" s="216"/>
      <c r="D317">
        <v>2500000</v>
      </c>
      <c r="F317" s="214"/>
      <c r="G317" s="215"/>
      <c r="I317" s="215">
        <v>2500000</v>
      </c>
      <c r="J317" s="215"/>
      <c r="K317" s="215"/>
      <c r="L317" s="215"/>
      <c r="M317" s="215"/>
      <c r="P317" s="215">
        <f t="shared" si="4"/>
        <v>2500000</v>
      </c>
      <c r="S317" s="217"/>
      <c r="V317">
        <v>900000</v>
      </c>
      <c r="AA317" s="215"/>
    </row>
    <row r="318" spans="1:27" ht="13.2">
      <c r="A318" s="216"/>
      <c r="D318">
        <v>900000</v>
      </c>
      <c r="F318" s="214"/>
      <c r="G318" s="215"/>
      <c r="I318" s="215">
        <v>900000</v>
      </c>
      <c r="J318" s="215"/>
      <c r="K318" s="215"/>
      <c r="L318" s="215"/>
      <c r="M318" s="215"/>
      <c r="P318" s="215">
        <f t="shared" si="4"/>
        <v>900000</v>
      </c>
      <c r="S318" s="217"/>
      <c r="V318">
        <v>2000000</v>
      </c>
      <c r="AA318" s="215"/>
    </row>
    <row r="319" spans="1:27" ht="13.2">
      <c r="A319" s="216"/>
      <c r="D319">
        <v>2000000</v>
      </c>
      <c r="F319" s="214"/>
      <c r="G319" s="215"/>
      <c r="I319" s="215">
        <v>2000000</v>
      </c>
      <c r="J319" s="215"/>
      <c r="K319" s="215"/>
      <c r="L319" s="215"/>
      <c r="M319" s="215"/>
      <c r="P319" s="215">
        <f t="shared" si="4"/>
        <v>2000000</v>
      </c>
      <c r="S319" s="217"/>
      <c r="V319">
        <v>5000000</v>
      </c>
      <c r="AA319" s="215"/>
    </row>
    <row r="320" spans="1:27" ht="13.2">
      <c r="A320" s="216"/>
      <c r="D320">
        <v>5000000</v>
      </c>
      <c r="F320" s="214"/>
      <c r="G320" s="215"/>
      <c r="I320" s="215">
        <v>5000000</v>
      </c>
      <c r="J320" s="215"/>
      <c r="K320" s="215"/>
      <c r="L320" s="215"/>
      <c r="M320" s="215"/>
      <c r="P320" s="215">
        <f t="shared" si="4"/>
        <v>5000000</v>
      </c>
      <c r="S320" s="217"/>
      <c r="V320">
        <v>6400000</v>
      </c>
      <c r="AA320" s="215"/>
    </row>
    <row r="321" spans="1:27" ht="13.2">
      <c r="A321" s="216"/>
      <c r="D321">
        <v>6400000</v>
      </c>
      <c r="F321" s="214"/>
      <c r="G321" s="215"/>
      <c r="I321" s="215">
        <v>6400000</v>
      </c>
      <c r="J321" s="215"/>
      <c r="K321" s="215"/>
      <c r="L321" s="215"/>
      <c r="M321" s="215"/>
      <c r="P321" s="215">
        <f t="shared" si="4"/>
        <v>6400000</v>
      </c>
      <c r="S321" s="217"/>
      <c r="V321">
        <v>6800000</v>
      </c>
      <c r="AA321" s="215"/>
    </row>
    <row r="322" spans="1:27" ht="13.2">
      <c r="A322" s="216"/>
      <c r="D322">
        <v>6800000</v>
      </c>
      <c r="F322" s="214"/>
      <c r="G322" s="215"/>
      <c r="I322" s="215">
        <v>6800000</v>
      </c>
      <c r="J322" s="215"/>
      <c r="K322" s="215"/>
      <c r="L322" s="215"/>
      <c r="M322" s="215"/>
      <c r="P322" s="215">
        <f t="shared" si="4"/>
        <v>6800000</v>
      </c>
      <c r="S322" s="217"/>
      <c r="V322">
        <v>8030000</v>
      </c>
      <c r="AA322" s="215"/>
    </row>
    <row r="323" spans="1:27" ht="13.2">
      <c r="A323" s="216">
        <v>8030000</v>
      </c>
      <c r="D323" t="s">
        <v>719</v>
      </c>
      <c r="F323" s="214"/>
      <c r="G323" s="215"/>
      <c r="I323" s="215">
        <v>8030000</v>
      </c>
      <c r="J323" s="215"/>
      <c r="K323" s="215"/>
      <c r="L323" s="215"/>
      <c r="M323" s="215"/>
      <c r="P323" s="215">
        <f t="shared" si="4"/>
        <v>8030000</v>
      </c>
      <c r="S323" s="217"/>
      <c r="V323">
        <v>4490000</v>
      </c>
      <c r="AA323" s="215"/>
    </row>
    <row r="324" spans="1:27" ht="13.2">
      <c r="A324" s="216">
        <v>4490000</v>
      </c>
      <c r="D324" t="s">
        <v>719</v>
      </c>
      <c r="F324" s="214"/>
      <c r="G324" s="215"/>
      <c r="I324" s="215">
        <v>4490000</v>
      </c>
      <c r="J324" s="215"/>
      <c r="K324" s="215"/>
      <c r="L324" s="215"/>
      <c r="M324" s="215"/>
      <c r="P324" s="215">
        <f t="shared" si="4"/>
        <v>4490000</v>
      </c>
      <c r="S324" s="217"/>
      <c r="V324">
        <v>3010000</v>
      </c>
      <c r="AA324" s="215"/>
    </row>
    <row r="325" spans="1:27" ht="13.2">
      <c r="A325" s="216">
        <v>3010000</v>
      </c>
      <c r="D325" t="s">
        <v>719</v>
      </c>
      <c r="F325" s="214"/>
      <c r="G325" s="215"/>
      <c r="I325" s="215">
        <v>3010000</v>
      </c>
      <c r="J325" s="215"/>
      <c r="K325" s="215"/>
      <c r="L325" s="215"/>
      <c r="M325" s="215"/>
      <c r="P325" s="215">
        <f t="shared" si="4"/>
        <v>3010000</v>
      </c>
      <c r="S325" s="217"/>
      <c r="V325">
        <v>19800000</v>
      </c>
      <c r="AA325" s="215"/>
    </row>
    <row r="326" spans="1:27" ht="13.2">
      <c r="A326" s="216"/>
      <c r="D326">
        <v>19800000</v>
      </c>
      <c r="F326" s="214"/>
      <c r="G326" s="215"/>
      <c r="I326" s="215">
        <v>19800000</v>
      </c>
      <c r="J326" s="215"/>
      <c r="K326" s="215"/>
      <c r="L326" s="215"/>
      <c r="M326" s="215"/>
      <c r="P326" s="215">
        <f t="shared" si="4"/>
        <v>19800000</v>
      </c>
      <c r="S326" s="217"/>
      <c r="V326">
        <v>8000000</v>
      </c>
      <c r="AA326" s="215"/>
    </row>
    <row r="327" spans="1:27" ht="13.2">
      <c r="A327" s="216"/>
      <c r="D327">
        <v>8000000</v>
      </c>
      <c r="F327" s="214"/>
      <c r="G327" s="215"/>
      <c r="I327" s="215">
        <v>8000000</v>
      </c>
      <c r="J327" s="215"/>
      <c r="K327" s="215"/>
      <c r="L327" s="215"/>
      <c r="M327" s="215"/>
      <c r="P327" s="215">
        <f t="shared" si="4"/>
        <v>8000000</v>
      </c>
      <c r="S327" s="217"/>
      <c r="V327">
        <v>4000000</v>
      </c>
      <c r="AA327" s="215"/>
    </row>
    <row r="328" spans="1:27" ht="13.2">
      <c r="A328" s="216"/>
      <c r="D328">
        <v>4000000</v>
      </c>
      <c r="F328" s="214"/>
      <c r="G328" s="215"/>
      <c r="I328" s="215">
        <v>4000000</v>
      </c>
      <c r="J328" s="215"/>
      <c r="K328" s="215"/>
      <c r="L328" s="215"/>
      <c r="M328" s="215"/>
      <c r="P328" s="215">
        <f t="shared" si="4"/>
        <v>4000000</v>
      </c>
      <c r="S328" s="217"/>
      <c r="V328">
        <v>12800000</v>
      </c>
      <c r="AA328" s="215"/>
    </row>
    <row r="329" spans="1:27" ht="13.2">
      <c r="A329" s="216">
        <v>12800000</v>
      </c>
      <c r="D329" t="s">
        <v>719</v>
      </c>
      <c r="F329" s="214"/>
      <c r="G329" s="215"/>
      <c r="I329" s="215">
        <v>12800000</v>
      </c>
      <c r="J329" s="215"/>
      <c r="K329" s="215"/>
      <c r="L329" s="215"/>
      <c r="M329" s="215"/>
      <c r="P329" s="215">
        <f t="shared" si="4"/>
        <v>12800000</v>
      </c>
      <c r="S329" s="217"/>
      <c r="V329">
        <v>39000000</v>
      </c>
      <c r="AA329" s="215"/>
    </row>
    <row r="330" spans="1:27" ht="13.2">
      <c r="A330" s="216">
        <v>39000000</v>
      </c>
      <c r="D330" t="s">
        <v>719</v>
      </c>
      <c r="F330" s="214"/>
      <c r="G330" s="215"/>
      <c r="I330" s="215">
        <v>39000000</v>
      </c>
      <c r="J330" s="215"/>
      <c r="K330" s="215"/>
      <c r="L330" s="215"/>
      <c r="M330" s="215"/>
      <c r="P330" s="215">
        <f t="shared" si="4"/>
        <v>39000000</v>
      </c>
      <c r="S330" s="217"/>
      <c r="AA330" s="215"/>
    </row>
    <row r="331" spans="1:27" ht="13.2">
      <c r="A331" s="216">
        <v>120000000</v>
      </c>
      <c r="D331" t="s">
        <v>719</v>
      </c>
      <c r="F331" s="214"/>
      <c r="G331" s="215"/>
      <c r="I331" s="215">
        <v>120000000</v>
      </c>
      <c r="J331" s="215"/>
      <c r="K331" s="215"/>
      <c r="L331" s="215"/>
      <c r="M331" s="215"/>
      <c r="P331" t="str">
        <f t="shared" si="4"/>
        <v/>
      </c>
      <c r="S331" s="217"/>
      <c r="U331" t="s">
        <v>719</v>
      </c>
      <c r="AA331" s="215"/>
    </row>
    <row r="332" spans="1:27" ht="13.2">
      <c r="A332" s="216"/>
      <c r="D332">
        <v>4900000</v>
      </c>
      <c r="F332" s="214"/>
      <c r="G332" s="215"/>
      <c r="I332" s="215">
        <v>4900000</v>
      </c>
      <c r="J332" s="215"/>
      <c r="K332" s="215"/>
      <c r="L332" s="215"/>
      <c r="M332" s="215"/>
      <c r="P332" s="215">
        <f t="shared" si="4"/>
        <v>4900000</v>
      </c>
      <c r="S332" s="217"/>
      <c r="U332">
        <v>4900000</v>
      </c>
      <c r="AA332" s="215"/>
    </row>
    <row r="333" spans="1:27" ht="13.2">
      <c r="A333" s="216">
        <v>30000000</v>
      </c>
      <c r="D333" t="s">
        <v>719</v>
      </c>
      <c r="F333" s="214"/>
      <c r="G333" s="215"/>
      <c r="I333" s="215">
        <v>30000000</v>
      </c>
      <c r="J333" s="215"/>
      <c r="K333" s="215"/>
      <c r="L333" s="215"/>
      <c r="M333" s="215"/>
      <c r="P333" s="215">
        <f t="shared" si="4"/>
        <v>30000000</v>
      </c>
      <c r="S333" s="217"/>
      <c r="U333">
        <v>30000000</v>
      </c>
      <c r="AA333" s="215"/>
    </row>
    <row r="334" spans="1:27" ht="13.2">
      <c r="A334" s="216"/>
      <c r="D334">
        <v>10000000</v>
      </c>
      <c r="F334" s="214"/>
      <c r="G334" s="215"/>
      <c r="I334" s="215">
        <v>10000000</v>
      </c>
      <c r="J334" s="215"/>
      <c r="K334" s="215"/>
      <c r="L334" s="215"/>
      <c r="M334" s="215"/>
      <c r="P334" s="215">
        <f t="shared" si="4"/>
        <v>10000000</v>
      </c>
      <c r="S334" s="217"/>
      <c r="U334">
        <v>10000000</v>
      </c>
      <c r="AA334" s="215"/>
    </row>
    <row r="335" spans="1:27" ht="13.2">
      <c r="A335" s="216">
        <v>5670000</v>
      </c>
      <c r="D335" t="s">
        <v>719</v>
      </c>
      <c r="F335" s="214"/>
      <c r="G335" s="215"/>
      <c r="I335" s="215">
        <v>5670000</v>
      </c>
      <c r="J335" s="215"/>
      <c r="K335" s="215"/>
      <c r="L335" s="215"/>
      <c r="M335" s="215"/>
      <c r="P335" s="215">
        <f t="shared" si="4"/>
        <v>5670000</v>
      </c>
      <c r="S335" s="217"/>
      <c r="U335">
        <v>5670000</v>
      </c>
      <c r="AA335" s="215"/>
    </row>
    <row r="336" spans="1:27" ht="13.2">
      <c r="A336" s="216">
        <v>89800000</v>
      </c>
      <c r="D336" t="s">
        <v>719</v>
      </c>
      <c r="F336" s="214"/>
      <c r="G336" s="215"/>
      <c r="I336" s="215">
        <v>89800000</v>
      </c>
      <c r="J336" s="215"/>
      <c r="K336" s="215"/>
      <c r="L336" s="215"/>
      <c r="M336" s="215"/>
      <c r="P336" t="str">
        <f t="shared" si="4"/>
        <v/>
      </c>
      <c r="S336" s="217"/>
      <c r="U336" t="s">
        <v>719</v>
      </c>
      <c r="AA336" s="215"/>
    </row>
    <row r="337" spans="1:27" ht="13.2">
      <c r="A337" s="216"/>
      <c r="D337">
        <v>6640000</v>
      </c>
      <c r="F337" s="214"/>
      <c r="G337" s="215"/>
      <c r="I337" s="215">
        <v>6640000</v>
      </c>
      <c r="J337" s="215"/>
      <c r="K337" s="215"/>
      <c r="L337" s="215"/>
      <c r="M337" s="215"/>
      <c r="P337" s="215">
        <f t="shared" si="4"/>
        <v>6640000</v>
      </c>
      <c r="S337" s="217"/>
      <c r="U337">
        <v>6640000</v>
      </c>
      <c r="AA337" s="215"/>
    </row>
    <row r="338" spans="1:27" ht="13.2">
      <c r="A338" s="216"/>
      <c r="D338">
        <v>10000000</v>
      </c>
      <c r="F338" s="214"/>
      <c r="G338" s="215"/>
      <c r="I338" s="215">
        <v>10000000</v>
      </c>
      <c r="J338" s="215"/>
      <c r="K338" s="215"/>
      <c r="L338" s="215"/>
      <c r="M338" s="215"/>
      <c r="P338" s="215">
        <f t="shared" si="4"/>
        <v>10000000</v>
      </c>
      <c r="S338" s="217"/>
      <c r="U338">
        <v>10000000</v>
      </c>
      <c r="AA338" s="215"/>
    </row>
    <row r="339" spans="1:27" ht="13.2">
      <c r="A339" s="216"/>
      <c r="D339">
        <v>5200000</v>
      </c>
      <c r="F339" s="214"/>
      <c r="G339" s="215"/>
      <c r="I339" s="215">
        <v>5200000</v>
      </c>
      <c r="J339" s="215"/>
      <c r="K339" s="215"/>
      <c r="L339" s="215"/>
      <c r="M339" s="215"/>
      <c r="P339" s="215">
        <f t="shared" si="4"/>
        <v>5200000</v>
      </c>
      <c r="S339" s="217"/>
      <c r="U339">
        <v>5200000</v>
      </c>
      <c r="AA339" s="215"/>
    </row>
    <row r="340" spans="1:27" ht="13.2">
      <c r="A340" s="216"/>
      <c r="D340">
        <v>9000000</v>
      </c>
      <c r="F340" s="214"/>
      <c r="G340" s="215"/>
      <c r="I340" s="215">
        <v>9000000</v>
      </c>
      <c r="J340" s="215"/>
      <c r="K340" s="215"/>
      <c r="L340" s="215"/>
      <c r="M340" s="215"/>
      <c r="P340" s="215">
        <f t="shared" si="4"/>
        <v>9000000</v>
      </c>
      <c r="S340" s="217"/>
      <c r="U340">
        <v>9000000</v>
      </c>
      <c r="AA340" s="215"/>
    </row>
    <row r="341" spans="1:27" ht="13.2">
      <c r="A341" s="216">
        <v>5960000</v>
      </c>
      <c r="D341" t="s">
        <v>719</v>
      </c>
      <c r="F341" s="214"/>
      <c r="G341" s="215"/>
      <c r="I341" s="215">
        <v>5960000</v>
      </c>
      <c r="J341" s="215"/>
      <c r="K341" s="215"/>
      <c r="L341" s="215"/>
      <c r="M341" s="215"/>
      <c r="P341" s="215">
        <f t="shared" si="4"/>
        <v>5960000</v>
      </c>
      <c r="S341" s="217"/>
      <c r="U341">
        <v>5960000</v>
      </c>
      <c r="AA341" s="215"/>
    </row>
    <row r="342" spans="1:27" ht="13.2">
      <c r="A342" s="216"/>
      <c r="D342">
        <v>2250000</v>
      </c>
      <c r="F342" s="214"/>
      <c r="G342" s="215"/>
      <c r="I342" s="215">
        <v>2250000</v>
      </c>
      <c r="J342" s="215"/>
      <c r="K342" s="215"/>
      <c r="L342" s="215"/>
      <c r="M342" s="215"/>
      <c r="P342" s="215">
        <f t="shared" si="4"/>
        <v>2250000</v>
      </c>
      <c r="S342" s="217"/>
      <c r="U342">
        <v>2250000</v>
      </c>
      <c r="AA342" s="215"/>
    </row>
    <row r="343" spans="1:27" ht="13.2">
      <c r="A343" s="216"/>
      <c r="D343">
        <v>8500000</v>
      </c>
      <c r="F343" s="214"/>
      <c r="G343" s="215"/>
      <c r="I343" s="215">
        <v>8500000</v>
      </c>
      <c r="J343" s="215"/>
      <c r="K343" s="215"/>
      <c r="L343" s="215"/>
      <c r="M343" s="215"/>
      <c r="P343" s="215">
        <f t="shared" si="4"/>
        <v>8500000</v>
      </c>
      <c r="S343" s="217"/>
      <c r="U343">
        <v>8500000</v>
      </c>
      <c r="AA343" s="215"/>
    </row>
    <row r="344" spans="1:27" ht="13.2">
      <c r="A344" s="216">
        <v>3062500</v>
      </c>
      <c r="D344" t="s">
        <v>719</v>
      </c>
      <c r="F344" s="214"/>
      <c r="G344" s="215"/>
      <c r="I344" s="215">
        <v>3062500</v>
      </c>
      <c r="J344" s="215"/>
      <c r="K344" s="215"/>
      <c r="L344" s="215"/>
      <c r="M344" s="215"/>
      <c r="P344" s="215">
        <f t="shared" si="4"/>
        <v>3062500</v>
      </c>
      <c r="S344" s="217"/>
      <c r="U344">
        <v>3062500</v>
      </c>
      <c r="AA344" s="215"/>
    </row>
    <row r="345" spans="1:27" ht="13.2">
      <c r="A345" s="216"/>
      <c r="D345">
        <v>8000000</v>
      </c>
      <c r="F345" s="214"/>
      <c r="G345" s="215"/>
      <c r="I345" s="215">
        <v>8000000</v>
      </c>
      <c r="J345" s="215"/>
      <c r="K345" s="215"/>
      <c r="L345" s="215"/>
      <c r="M345" s="215"/>
      <c r="P345" s="215">
        <f t="shared" si="4"/>
        <v>8000000</v>
      </c>
      <c r="S345" s="217"/>
      <c r="U345">
        <v>8000000</v>
      </c>
      <c r="AA345" s="215"/>
    </row>
    <row r="346" spans="1:27" ht="13.2">
      <c r="A346" s="216">
        <v>7970000</v>
      </c>
      <c r="D346" t="s">
        <v>719</v>
      </c>
      <c r="F346" s="214"/>
      <c r="G346" s="215"/>
      <c r="I346" s="215">
        <v>7970000</v>
      </c>
      <c r="J346" s="215"/>
      <c r="K346" s="215"/>
      <c r="L346" s="215"/>
      <c r="M346" s="215"/>
      <c r="P346" s="215">
        <f t="shared" si="4"/>
        <v>7970000</v>
      </c>
      <c r="S346" s="217"/>
      <c r="U346">
        <v>7970000</v>
      </c>
      <c r="AA346" s="215"/>
    </row>
    <row r="347" spans="1:27" ht="13.2">
      <c r="A347" s="216">
        <v>5000000</v>
      </c>
      <c r="D347" t="s">
        <v>719</v>
      </c>
      <c r="F347" s="214"/>
      <c r="G347" s="215"/>
      <c r="I347" s="215">
        <v>5000000</v>
      </c>
      <c r="J347" s="215"/>
      <c r="K347" s="215"/>
      <c r="L347" s="215"/>
      <c r="M347" s="215"/>
      <c r="P347" s="215">
        <f t="shared" si="4"/>
        <v>5000000</v>
      </c>
      <c r="S347" s="217"/>
      <c r="U347">
        <v>5000000</v>
      </c>
      <c r="AA347" s="215"/>
    </row>
    <row r="348" spans="1:27" ht="13.2">
      <c r="A348" s="216">
        <v>15000000</v>
      </c>
      <c r="D348" t="s">
        <v>719</v>
      </c>
      <c r="F348" s="214"/>
      <c r="G348" s="215"/>
      <c r="I348" s="215">
        <v>15000000</v>
      </c>
      <c r="J348" s="215"/>
      <c r="K348" s="215"/>
      <c r="L348" s="215"/>
      <c r="M348" s="215"/>
      <c r="P348" s="215">
        <f t="shared" si="4"/>
        <v>15000000</v>
      </c>
      <c r="S348" s="217"/>
      <c r="U348">
        <v>15000000</v>
      </c>
      <c r="AA348" s="215"/>
    </row>
    <row r="349" spans="1:27" ht="13.2">
      <c r="A349" s="216"/>
      <c r="D349">
        <v>2560000</v>
      </c>
      <c r="F349" s="214"/>
      <c r="G349" s="215"/>
      <c r="I349" s="215">
        <v>2560000</v>
      </c>
      <c r="J349" s="215"/>
      <c r="K349" s="215"/>
      <c r="L349" s="215"/>
      <c r="M349" s="215"/>
      <c r="P349" s="215">
        <f t="shared" si="4"/>
        <v>2560000</v>
      </c>
      <c r="S349" s="217"/>
      <c r="U349">
        <v>2560000</v>
      </c>
      <c r="AA349" s="215"/>
    </row>
    <row r="350" spans="1:27" ht="13.2">
      <c r="A350" s="216"/>
      <c r="D350">
        <v>32000000</v>
      </c>
      <c r="F350" s="214"/>
      <c r="G350" s="215"/>
      <c r="I350" s="215">
        <v>32000000</v>
      </c>
      <c r="J350" s="215"/>
      <c r="K350" s="215"/>
      <c r="L350" s="215"/>
      <c r="M350" s="215"/>
      <c r="P350" s="215">
        <f t="shared" si="4"/>
        <v>32000000</v>
      </c>
      <c r="S350" s="217"/>
      <c r="U350">
        <v>32000000</v>
      </c>
      <c r="AA350" s="215"/>
    </row>
    <row r="351" spans="1:27" ht="13.2">
      <c r="A351" s="216"/>
      <c r="D351">
        <v>4000000</v>
      </c>
      <c r="F351" s="214"/>
      <c r="G351" s="215"/>
      <c r="I351" s="215">
        <v>4000000</v>
      </c>
      <c r="J351" s="215"/>
      <c r="K351" s="215"/>
      <c r="L351" s="215"/>
      <c r="M351" s="215"/>
      <c r="P351" s="215">
        <f t="shared" si="4"/>
        <v>4000000</v>
      </c>
      <c r="S351" s="217"/>
      <c r="U351">
        <v>4000000</v>
      </c>
      <c r="AA351" s="215"/>
    </row>
    <row r="352" spans="1:27" ht="13.2">
      <c r="A352" s="216">
        <v>8000000</v>
      </c>
      <c r="D352" t="s">
        <v>719</v>
      </c>
      <c r="F352" s="214"/>
      <c r="G352" s="215"/>
      <c r="I352" s="215">
        <v>8000000</v>
      </c>
      <c r="J352" s="215"/>
      <c r="K352" s="215"/>
      <c r="L352" s="215"/>
      <c r="M352" s="215"/>
      <c r="P352" s="215">
        <f t="shared" si="4"/>
        <v>8000000</v>
      </c>
      <c r="S352" s="217"/>
      <c r="U352">
        <v>8000000</v>
      </c>
      <c r="AA352" s="215"/>
    </row>
    <row r="353" spans="1:27" ht="13.2">
      <c r="A353" s="216">
        <v>30000000</v>
      </c>
      <c r="D353" t="s">
        <v>719</v>
      </c>
      <c r="F353" s="214"/>
      <c r="G353" s="215"/>
      <c r="I353" s="215">
        <v>30000000</v>
      </c>
      <c r="J353" s="215"/>
      <c r="K353" s="215"/>
      <c r="L353" s="215"/>
      <c r="M353" s="215"/>
      <c r="P353" s="215">
        <f t="shared" si="4"/>
        <v>30000000</v>
      </c>
      <c r="S353" s="217"/>
      <c r="U353">
        <v>30000000</v>
      </c>
      <c r="AA353" s="215"/>
    </row>
    <row r="354" spans="1:27" ht="13.2">
      <c r="A354" s="216"/>
      <c r="D354">
        <v>1000000</v>
      </c>
      <c r="F354" s="214"/>
      <c r="G354" s="215"/>
      <c r="I354" s="215">
        <v>1000000</v>
      </c>
      <c r="J354" s="215"/>
      <c r="K354" s="215"/>
      <c r="L354" s="215"/>
      <c r="M354" s="215"/>
      <c r="P354" s="215">
        <f t="shared" si="4"/>
        <v>1000000</v>
      </c>
      <c r="S354" s="217"/>
      <c r="U354">
        <v>1000000</v>
      </c>
      <c r="AA354" s="215"/>
    </row>
    <row r="355" spans="1:27" ht="13.2">
      <c r="A355" s="216">
        <v>4232500</v>
      </c>
      <c r="D355" t="s">
        <v>719</v>
      </c>
      <c r="F355" s="214"/>
      <c r="G355" s="215"/>
      <c r="I355" s="215">
        <v>4232500</v>
      </c>
      <c r="J355" s="215"/>
      <c r="K355" s="215"/>
      <c r="L355" s="215"/>
      <c r="M355" s="215"/>
      <c r="P355" s="215">
        <f t="shared" si="4"/>
        <v>4232500</v>
      </c>
      <c r="S355" s="217"/>
      <c r="U355">
        <v>4232500</v>
      </c>
      <c r="AA355" s="215"/>
    </row>
    <row r="356" spans="1:27" ht="13.2">
      <c r="A356" s="216">
        <v>10000000</v>
      </c>
      <c r="D356" t="s">
        <v>719</v>
      </c>
      <c r="F356" s="214"/>
      <c r="G356" s="215"/>
      <c r="I356" s="215">
        <v>10000000</v>
      </c>
      <c r="J356" s="215"/>
      <c r="K356" s="215"/>
      <c r="L356" s="215"/>
      <c r="M356" s="215"/>
      <c r="P356" s="215">
        <f t="shared" si="4"/>
        <v>10000000</v>
      </c>
      <c r="S356" s="217"/>
      <c r="U356">
        <v>10000000</v>
      </c>
      <c r="AA356" s="215"/>
    </row>
    <row r="357" spans="1:27" ht="13.2">
      <c r="A357" s="216">
        <v>9200000</v>
      </c>
      <c r="D357" t="s">
        <v>719</v>
      </c>
      <c r="F357" s="214"/>
      <c r="G357" s="215"/>
      <c r="I357" s="215">
        <v>9200000</v>
      </c>
      <c r="J357" s="215"/>
      <c r="K357" s="215"/>
      <c r="L357" s="215"/>
      <c r="M357" s="215"/>
      <c r="P357" s="215">
        <f t="shared" si="4"/>
        <v>9200000</v>
      </c>
      <c r="S357" s="217"/>
      <c r="U357">
        <v>9200000</v>
      </c>
      <c r="AA357" s="215"/>
    </row>
    <row r="358" spans="1:27" ht="13.2">
      <c r="A358" s="216">
        <v>3600000</v>
      </c>
      <c r="D358" t="s">
        <v>719</v>
      </c>
      <c r="F358" s="214"/>
      <c r="G358" s="215"/>
      <c r="I358" s="215">
        <v>3600000</v>
      </c>
      <c r="J358" s="215"/>
      <c r="K358" s="215"/>
      <c r="L358" s="215"/>
      <c r="M358" s="215"/>
      <c r="P358" s="215">
        <f t="shared" si="4"/>
        <v>3600000</v>
      </c>
      <c r="S358" s="217"/>
      <c r="U358">
        <v>3600000</v>
      </c>
      <c r="AA358" s="215"/>
    </row>
    <row r="359" spans="1:27" ht="13.2">
      <c r="A359" s="216"/>
      <c r="D359">
        <v>11000000</v>
      </c>
      <c r="F359" s="214"/>
      <c r="G359" s="215"/>
      <c r="I359" s="215">
        <v>11000000</v>
      </c>
      <c r="J359" s="215"/>
      <c r="K359" s="215"/>
      <c r="L359" s="215"/>
      <c r="M359" s="215"/>
      <c r="P359" s="215">
        <f t="shared" si="4"/>
        <v>11000000</v>
      </c>
      <c r="S359" s="217"/>
      <c r="U359">
        <v>11000000</v>
      </c>
      <c r="AA359" s="215"/>
    </row>
    <row r="360" spans="1:27" ht="13.2">
      <c r="A360" s="216">
        <v>215000</v>
      </c>
      <c r="D360" t="s">
        <v>719</v>
      </c>
      <c r="F360" s="214"/>
      <c r="G360" s="215"/>
      <c r="I360" s="215">
        <v>215000</v>
      </c>
      <c r="J360" s="215"/>
      <c r="K360" s="215"/>
      <c r="L360" s="215"/>
      <c r="M360" s="215"/>
      <c r="P360" t="str">
        <f t="shared" si="4"/>
        <v/>
      </c>
      <c r="S360" s="217"/>
      <c r="U360" t="s">
        <v>719</v>
      </c>
      <c r="AA360" s="215"/>
    </row>
    <row r="361" spans="1:27" ht="13.2">
      <c r="A361" s="216">
        <v>4955781</v>
      </c>
      <c r="D361" t="s">
        <v>719</v>
      </c>
      <c r="F361" s="214"/>
      <c r="G361" s="215"/>
      <c r="I361" s="215">
        <v>4955781</v>
      </c>
      <c r="J361" s="215"/>
      <c r="K361" s="215"/>
      <c r="L361" s="215"/>
      <c r="M361" s="215"/>
      <c r="P361" s="215">
        <f t="shared" si="4"/>
        <v>4955781</v>
      </c>
      <c r="S361" s="217"/>
      <c r="U361">
        <v>4955781</v>
      </c>
      <c r="AA361" s="215"/>
    </row>
    <row r="362" spans="1:27" ht="13.2">
      <c r="A362" s="216"/>
      <c r="D362">
        <v>10000000</v>
      </c>
      <c r="F362" s="214"/>
      <c r="G362" s="215"/>
      <c r="I362" s="215">
        <v>10000000</v>
      </c>
      <c r="J362" s="215"/>
      <c r="K362" s="215"/>
      <c r="L362" s="215"/>
      <c r="M362" s="215"/>
      <c r="P362" s="215">
        <f t="shared" si="4"/>
        <v>10000000</v>
      </c>
      <c r="S362" s="217"/>
      <c r="U362">
        <v>10000000</v>
      </c>
      <c r="AA362" s="215"/>
    </row>
    <row r="363" spans="1:27" ht="13.2">
      <c r="A363" s="216"/>
      <c r="D363">
        <v>14750000</v>
      </c>
      <c r="F363" s="214"/>
      <c r="G363" s="215"/>
      <c r="I363" s="215">
        <v>14750000</v>
      </c>
      <c r="J363" s="215"/>
      <c r="K363" s="215"/>
      <c r="L363" s="215"/>
      <c r="M363" s="215"/>
      <c r="P363" s="215">
        <f t="shared" si="4"/>
        <v>14750000</v>
      </c>
      <c r="S363" s="217"/>
      <c r="U363">
        <v>14750000</v>
      </c>
      <c r="AA363" s="215"/>
    </row>
    <row r="364" spans="1:27" ht="13.2">
      <c r="A364" s="216"/>
      <c r="D364">
        <v>9000000</v>
      </c>
      <c r="F364" s="214"/>
      <c r="G364" s="215"/>
      <c r="I364" s="215">
        <v>9000000</v>
      </c>
      <c r="J364" s="215"/>
      <c r="K364" s="215"/>
      <c r="L364" s="215"/>
      <c r="M364" s="215"/>
      <c r="P364" s="215">
        <f t="shared" si="4"/>
        <v>9000000</v>
      </c>
      <c r="S364" s="217"/>
      <c r="U364">
        <v>9000000</v>
      </c>
      <c r="AA364" s="215"/>
    </row>
    <row r="365" spans="1:27" ht="13.2">
      <c r="A365" s="216"/>
      <c r="D365">
        <v>10000000</v>
      </c>
      <c r="F365" s="214"/>
      <c r="G365" s="215"/>
      <c r="I365" s="215">
        <v>10000000</v>
      </c>
      <c r="J365" s="215"/>
      <c r="K365" s="215"/>
      <c r="L365" s="215"/>
      <c r="M365" s="215"/>
      <c r="P365" s="215">
        <f t="shared" si="4"/>
        <v>10000000</v>
      </c>
      <c r="S365" s="217"/>
      <c r="U365">
        <v>10000000</v>
      </c>
      <c r="AA365" s="215"/>
    </row>
    <row r="366" spans="1:27" ht="13.2">
      <c r="A366" s="216"/>
      <c r="D366">
        <v>12000000</v>
      </c>
      <c r="F366" s="214"/>
      <c r="G366" s="215"/>
      <c r="I366" s="215">
        <v>12000000</v>
      </c>
      <c r="J366" s="215"/>
      <c r="K366" s="215"/>
      <c r="L366" s="215"/>
      <c r="M366" s="215"/>
      <c r="P366" s="215">
        <f t="shared" si="4"/>
        <v>12000000</v>
      </c>
      <c r="S366" s="217"/>
      <c r="U366">
        <v>12000000</v>
      </c>
      <c r="AA366" s="215"/>
    </row>
    <row r="367" spans="1:27" ht="13.2">
      <c r="A367" s="216">
        <v>100000</v>
      </c>
      <c r="D367" t="s">
        <v>719</v>
      </c>
      <c r="F367" s="214"/>
      <c r="G367" s="215"/>
      <c r="I367" s="215">
        <v>100000</v>
      </c>
      <c r="J367" s="215"/>
      <c r="K367" s="215"/>
      <c r="L367" s="215"/>
      <c r="M367" s="215"/>
      <c r="P367" t="str">
        <f t="shared" si="4"/>
        <v/>
      </c>
      <c r="S367" s="217"/>
      <c r="U367" t="s">
        <v>719</v>
      </c>
      <c r="AA367" s="215"/>
    </row>
    <row r="368" spans="1:27" ht="13.2">
      <c r="A368" s="216">
        <v>5984000</v>
      </c>
      <c r="D368" t="s">
        <v>719</v>
      </c>
      <c r="F368" s="214"/>
      <c r="G368" s="215"/>
      <c r="I368" s="215">
        <v>5984000</v>
      </c>
      <c r="J368" s="215"/>
      <c r="K368" s="215"/>
      <c r="L368" s="215"/>
      <c r="M368" s="215"/>
      <c r="P368" s="215">
        <f t="shared" si="4"/>
        <v>5984000</v>
      </c>
      <c r="S368" s="217"/>
      <c r="U368">
        <v>5984000</v>
      </c>
      <c r="AA368" s="215"/>
    </row>
    <row r="369" spans="1:27" ht="13.2">
      <c r="A369" s="216"/>
      <c r="D369">
        <v>4000000</v>
      </c>
      <c r="F369" s="214"/>
      <c r="G369" s="215"/>
      <c r="I369" s="215">
        <v>4000000</v>
      </c>
      <c r="J369" s="215"/>
      <c r="K369" s="215"/>
      <c r="L369" s="215"/>
      <c r="M369" s="215"/>
      <c r="P369" s="215">
        <f t="shared" si="4"/>
        <v>4000000</v>
      </c>
      <c r="S369" s="217"/>
      <c r="U369">
        <v>4000000</v>
      </c>
      <c r="AA369" s="215"/>
    </row>
    <row r="370" spans="1:27" ht="13.2">
      <c r="A370" s="216">
        <v>3900000</v>
      </c>
      <c r="D370" t="s">
        <v>719</v>
      </c>
      <c r="F370" s="214"/>
      <c r="G370" s="215"/>
      <c r="I370" s="215">
        <v>3900000</v>
      </c>
      <c r="J370" s="215"/>
      <c r="K370" s="215"/>
      <c r="L370" s="215"/>
      <c r="M370" s="215"/>
      <c r="P370" s="215">
        <f t="shared" si="4"/>
        <v>3900000</v>
      </c>
      <c r="S370" s="217"/>
      <c r="U370">
        <v>3900000</v>
      </c>
      <c r="AA370" s="215"/>
    </row>
    <row r="371" spans="1:27" ht="13.2">
      <c r="A371" s="216">
        <v>1250000</v>
      </c>
      <c r="D371" t="s">
        <v>719</v>
      </c>
      <c r="F371" s="214"/>
      <c r="G371" s="215"/>
      <c r="I371" s="215">
        <v>1250000</v>
      </c>
      <c r="J371" s="215"/>
      <c r="K371" s="215"/>
      <c r="L371" s="215"/>
      <c r="M371" s="215"/>
      <c r="P371" s="215">
        <f t="shared" si="4"/>
        <v>1250000</v>
      </c>
      <c r="S371" s="217"/>
      <c r="U371">
        <v>1250000</v>
      </c>
      <c r="AA371" s="215"/>
    </row>
    <row r="372" spans="1:27" ht="13.2">
      <c r="A372" s="216"/>
      <c r="D372">
        <v>24000000</v>
      </c>
      <c r="F372" s="214"/>
      <c r="G372" s="215"/>
      <c r="I372" s="215">
        <v>24000000</v>
      </c>
      <c r="J372" s="215"/>
      <c r="K372" s="215"/>
      <c r="L372" s="215"/>
      <c r="M372" s="215"/>
      <c r="P372" s="215">
        <f t="shared" si="4"/>
        <v>24000000</v>
      </c>
      <c r="S372" s="217"/>
      <c r="U372">
        <v>24000000</v>
      </c>
      <c r="AA372" s="215"/>
    </row>
    <row r="373" spans="1:27" ht="13.2">
      <c r="A373" s="216">
        <v>10000000</v>
      </c>
      <c r="D373" t="s">
        <v>719</v>
      </c>
      <c r="F373" s="214"/>
      <c r="G373" s="215"/>
      <c r="I373" s="215">
        <v>10000000</v>
      </c>
      <c r="J373" s="215"/>
      <c r="K373" s="215"/>
      <c r="L373" s="215"/>
      <c r="M373" s="215"/>
      <c r="P373" s="215">
        <f t="shared" si="4"/>
        <v>10000000</v>
      </c>
      <c r="S373" s="217"/>
      <c r="U373">
        <v>10000000</v>
      </c>
      <c r="AA373" s="215"/>
    </row>
    <row r="374" spans="1:27" ht="13.2">
      <c r="A374" s="216"/>
      <c r="D374">
        <v>1600000</v>
      </c>
      <c r="F374" s="214"/>
      <c r="G374" s="215"/>
      <c r="I374" s="215">
        <v>1600000</v>
      </c>
      <c r="J374" s="215"/>
      <c r="K374" s="215"/>
      <c r="L374" s="215"/>
      <c r="M374" s="215"/>
      <c r="P374" s="215">
        <f t="shared" si="4"/>
        <v>1600000</v>
      </c>
      <c r="S374" s="217"/>
      <c r="U374">
        <v>1600000</v>
      </c>
      <c r="AA374" s="215"/>
    </row>
    <row r="375" spans="1:27" ht="13.2">
      <c r="A375" s="216"/>
      <c r="D375">
        <v>750000</v>
      </c>
      <c r="F375" s="214"/>
      <c r="G375" s="215"/>
      <c r="I375" s="215">
        <v>750000</v>
      </c>
      <c r="J375" s="215"/>
      <c r="K375" s="215"/>
      <c r="L375" s="215"/>
      <c r="M375" s="215"/>
      <c r="P375" s="215">
        <f t="shared" si="4"/>
        <v>750000</v>
      </c>
      <c r="S375" s="217"/>
      <c r="U375">
        <v>750000</v>
      </c>
      <c r="AA375" s="215"/>
    </row>
    <row r="376" spans="1:27" ht="13.2">
      <c r="A376" s="216"/>
      <c r="D376">
        <v>3600000</v>
      </c>
      <c r="F376" s="214"/>
      <c r="G376" s="215"/>
      <c r="I376" s="215">
        <v>3600000</v>
      </c>
      <c r="J376" s="215"/>
      <c r="K376" s="215"/>
      <c r="L376" s="215"/>
      <c r="M376" s="215"/>
      <c r="P376" s="215">
        <f t="shared" si="4"/>
        <v>3600000</v>
      </c>
      <c r="S376" s="217"/>
      <c r="U376">
        <v>3600000</v>
      </c>
      <c r="AA376" s="215"/>
    </row>
    <row r="377" spans="1:27" ht="13.2">
      <c r="A377" s="216"/>
      <c r="D377">
        <v>8000000</v>
      </c>
      <c r="F377" s="214"/>
      <c r="G377" s="215"/>
      <c r="I377" s="215">
        <v>8000000</v>
      </c>
      <c r="J377" s="215"/>
      <c r="K377" s="215"/>
      <c r="L377" s="215"/>
      <c r="M377" s="215"/>
      <c r="P377" s="215">
        <f t="shared" si="4"/>
        <v>8000000</v>
      </c>
      <c r="S377" s="217"/>
      <c r="U377">
        <v>8000000</v>
      </c>
      <c r="AA377" s="215"/>
    </row>
    <row r="378" spans="1:27" ht="13.2">
      <c r="A378" s="216">
        <v>2000000</v>
      </c>
      <c r="D378" t="s">
        <v>719</v>
      </c>
      <c r="F378" s="214"/>
      <c r="G378" s="215"/>
      <c r="I378" s="215">
        <v>2000000</v>
      </c>
      <c r="J378" s="215"/>
      <c r="K378" s="215"/>
      <c r="L378" s="215"/>
      <c r="M378" s="215"/>
      <c r="P378" s="215">
        <f t="shared" si="4"/>
        <v>2000000</v>
      </c>
      <c r="S378" s="217"/>
      <c r="U378">
        <v>2000000</v>
      </c>
      <c r="AA378" s="215"/>
    </row>
    <row r="379" spans="1:27" ht="13.2">
      <c r="A379" s="216"/>
      <c r="D379">
        <v>580000</v>
      </c>
      <c r="F379" s="214"/>
      <c r="G379" s="215"/>
      <c r="I379" s="215">
        <v>580000</v>
      </c>
      <c r="J379" s="215"/>
      <c r="K379" s="215"/>
      <c r="L379" s="215"/>
      <c r="M379" s="215"/>
      <c r="P379" s="215">
        <f t="shared" si="4"/>
        <v>580000</v>
      </c>
      <c r="S379" s="217"/>
      <c r="U379">
        <v>580000</v>
      </c>
      <c r="AA379" s="215"/>
    </row>
    <row r="380" spans="1:27" ht="13.2">
      <c r="A380" s="216">
        <v>16000000</v>
      </c>
      <c r="D380" t="s">
        <v>719</v>
      </c>
      <c r="F380" s="214"/>
      <c r="G380" s="215"/>
      <c r="I380" s="215">
        <v>16000000</v>
      </c>
      <c r="J380" s="215"/>
      <c r="K380" s="215"/>
      <c r="L380" s="215"/>
      <c r="M380" s="215"/>
      <c r="P380" s="215">
        <f t="shared" si="4"/>
        <v>16000000</v>
      </c>
      <c r="S380" s="217"/>
      <c r="U380">
        <v>16000000</v>
      </c>
      <c r="AA380" s="215"/>
    </row>
    <row r="381" spans="1:27" ht="13.2">
      <c r="A381" s="216"/>
      <c r="D381">
        <v>10000000</v>
      </c>
      <c r="F381" s="214"/>
      <c r="G381" s="215"/>
      <c r="I381" s="215">
        <v>10000000</v>
      </c>
      <c r="J381" s="215"/>
      <c r="K381" s="215"/>
      <c r="L381" s="215"/>
      <c r="M381" s="215"/>
      <c r="P381" s="215">
        <f t="shared" si="4"/>
        <v>10000000</v>
      </c>
      <c r="S381" s="217"/>
      <c r="U381">
        <v>10000000</v>
      </c>
      <c r="AA381" s="215"/>
    </row>
    <row r="382" spans="1:27" ht="13.2">
      <c r="A382" s="216"/>
      <c r="D382">
        <v>6800000</v>
      </c>
      <c r="F382" s="214"/>
      <c r="G382" s="215"/>
      <c r="I382" s="215">
        <v>6800000</v>
      </c>
      <c r="J382" s="215"/>
      <c r="K382" s="215"/>
      <c r="L382" s="215"/>
      <c r="M382" s="215"/>
      <c r="P382" s="215">
        <f t="shared" si="4"/>
        <v>6800000</v>
      </c>
      <c r="S382" s="217"/>
      <c r="U382">
        <v>6800000</v>
      </c>
      <c r="AA382" s="215"/>
    </row>
    <row r="383" spans="1:27" ht="13.2">
      <c r="A383" s="216">
        <v>3745000</v>
      </c>
      <c r="D383" t="s">
        <v>719</v>
      </c>
      <c r="F383" s="214"/>
      <c r="G383" s="215"/>
      <c r="I383" s="215">
        <v>3745000</v>
      </c>
      <c r="J383" s="215"/>
      <c r="K383" s="215"/>
      <c r="L383" s="215"/>
      <c r="M383" s="215"/>
      <c r="P383" s="215">
        <f t="shared" si="4"/>
        <v>3745000</v>
      </c>
      <c r="S383" s="217"/>
      <c r="U383">
        <v>3745000</v>
      </c>
      <c r="AA383" s="215"/>
    </row>
    <row r="384" spans="1:27" ht="13.2">
      <c r="A384" s="216">
        <v>34108515</v>
      </c>
      <c r="D384" t="s">
        <v>719</v>
      </c>
      <c r="F384" s="214"/>
      <c r="G384" s="215"/>
      <c r="I384" s="215">
        <v>34108515</v>
      </c>
      <c r="J384" s="215"/>
      <c r="K384" s="215"/>
      <c r="L384" s="215"/>
      <c r="M384" s="215"/>
      <c r="P384" s="215">
        <f t="shared" si="4"/>
        <v>34108515</v>
      </c>
      <c r="S384" s="217"/>
      <c r="U384">
        <v>34108515</v>
      </c>
      <c r="AA384" s="215"/>
    </row>
    <row r="385" spans="1:27" ht="13.2">
      <c r="A385" s="216">
        <v>2800000</v>
      </c>
      <c r="D385" t="s">
        <v>719</v>
      </c>
      <c r="F385" s="214"/>
      <c r="G385" s="215"/>
      <c r="I385" s="215">
        <v>2800000</v>
      </c>
      <c r="J385" s="215"/>
      <c r="K385" s="215"/>
      <c r="L385" s="215"/>
      <c r="M385" s="215"/>
      <c r="P385" s="215">
        <f t="shared" si="4"/>
        <v>2800000</v>
      </c>
      <c r="S385" s="217"/>
      <c r="U385">
        <v>2800000</v>
      </c>
      <c r="AA385" s="215"/>
    </row>
    <row r="386" spans="1:27" ht="13.2">
      <c r="A386" s="216"/>
      <c r="D386">
        <v>6750000</v>
      </c>
      <c r="F386" s="214"/>
      <c r="G386" s="215"/>
      <c r="I386" s="215">
        <v>6750000</v>
      </c>
      <c r="J386" s="215"/>
      <c r="K386" s="215"/>
      <c r="L386" s="215"/>
      <c r="M386" s="215"/>
      <c r="P386" s="215">
        <f t="shared" si="4"/>
        <v>6750000</v>
      </c>
      <c r="S386" s="217"/>
      <c r="U386">
        <v>6750000</v>
      </c>
      <c r="AA386" s="215"/>
    </row>
    <row r="387" spans="1:27" ht="13.2">
      <c r="A387" s="216">
        <v>5400000</v>
      </c>
      <c r="D387" t="s">
        <v>719</v>
      </c>
      <c r="F387" s="214"/>
      <c r="G387" s="215"/>
      <c r="I387" s="215">
        <v>5400000</v>
      </c>
      <c r="J387" s="215"/>
      <c r="K387" s="215"/>
      <c r="L387" s="215"/>
      <c r="M387" s="215"/>
      <c r="P387" s="215">
        <f t="shared" si="4"/>
        <v>5400000</v>
      </c>
      <c r="S387" s="217"/>
      <c r="U387">
        <v>5400000</v>
      </c>
      <c r="AA387" s="215"/>
    </row>
    <row r="388" spans="1:27" ht="13.2">
      <c r="A388" s="216">
        <v>2000000</v>
      </c>
      <c r="D388" t="s">
        <v>719</v>
      </c>
      <c r="F388" s="214"/>
      <c r="G388" s="215"/>
      <c r="I388" s="215">
        <v>2000000</v>
      </c>
      <c r="J388" s="215"/>
      <c r="K388" s="215"/>
      <c r="L388" s="215"/>
      <c r="M388" s="215"/>
      <c r="P388" s="215">
        <f t="shared" si="4"/>
        <v>2000000</v>
      </c>
      <c r="S388" s="217"/>
      <c r="U388">
        <v>2000000</v>
      </c>
      <c r="AA388" s="215"/>
    </row>
    <row r="389" spans="1:27" ht="13.2">
      <c r="A389" s="216"/>
      <c r="D389">
        <v>2000000</v>
      </c>
      <c r="F389" s="214"/>
      <c r="G389" s="215"/>
      <c r="I389" s="215">
        <v>2000000</v>
      </c>
      <c r="J389" s="215"/>
      <c r="K389" s="215"/>
      <c r="L389" s="215"/>
      <c r="M389" s="215"/>
      <c r="P389" s="215">
        <f t="shared" si="4"/>
        <v>2000000</v>
      </c>
      <c r="S389" s="217"/>
      <c r="U389">
        <v>2000000</v>
      </c>
      <c r="AA389" s="215"/>
    </row>
    <row r="390" spans="1:27" ht="13.2">
      <c r="A390" s="216"/>
      <c r="D390">
        <v>6400000</v>
      </c>
      <c r="F390" s="214"/>
      <c r="G390" s="215"/>
      <c r="I390" s="215">
        <v>6400000</v>
      </c>
      <c r="J390" s="215"/>
      <c r="K390" s="215"/>
      <c r="L390" s="215"/>
      <c r="M390" s="215"/>
      <c r="P390" s="215">
        <f t="shared" si="4"/>
        <v>6400000</v>
      </c>
      <c r="S390" s="217"/>
      <c r="U390">
        <v>6400000</v>
      </c>
      <c r="AA390" s="215"/>
    </row>
    <row r="391" spans="1:27" ht="13.2">
      <c r="A391" s="216">
        <v>4500000</v>
      </c>
      <c r="D391" t="s">
        <v>719</v>
      </c>
      <c r="F391" s="214"/>
      <c r="G391" s="215"/>
      <c r="I391" s="215">
        <v>4500000</v>
      </c>
      <c r="J391" s="215"/>
      <c r="K391" s="215"/>
      <c r="L391" s="215"/>
      <c r="M391" s="215"/>
      <c r="P391" s="215">
        <f t="shared" si="4"/>
        <v>4500000</v>
      </c>
      <c r="S391" s="217"/>
      <c r="U391">
        <v>4500000</v>
      </c>
      <c r="AA391" s="215"/>
    </row>
    <row r="392" spans="1:27" ht="13.2">
      <c r="A392" s="216">
        <v>4000000</v>
      </c>
      <c r="D392" t="s">
        <v>719</v>
      </c>
      <c r="F392" s="214"/>
      <c r="G392" s="215"/>
      <c r="I392" s="215">
        <v>4000000</v>
      </c>
      <c r="J392" s="215"/>
      <c r="K392" s="215"/>
      <c r="L392" s="215"/>
      <c r="M392" s="215"/>
      <c r="P392" s="215">
        <f t="shared" si="4"/>
        <v>4000000</v>
      </c>
      <c r="S392" s="217"/>
      <c r="U392">
        <v>4000000</v>
      </c>
      <c r="AA392" s="215"/>
    </row>
    <row r="393" spans="1:27" ht="13.2">
      <c r="A393" s="216"/>
      <c r="D393">
        <v>1600000</v>
      </c>
      <c r="F393" s="214"/>
      <c r="G393" s="215"/>
      <c r="I393" s="215">
        <v>1600000</v>
      </c>
      <c r="J393" s="215"/>
      <c r="K393" s="215"/>
      <c r="L393" s="215"/>
      <c r="M393" s="215"/>
      <c r="P393" s="215">
        <f t="shared" si="4"/>
        <v>1600000</v>
      </c>
      <c r="S393" s="217"/>
      <c r="U393">
        <v>1600000</v>
      </c>
      <c r="AA393" s="215"/>
    </row>
    <row r="394" spans="1:27" ht="13.2">
      <c r="A394" s="216"/>
      <c r="D394">
        <v>6400000</v>
      </c>
      <c r="F394" s="214"/>
      <c r="G394" s="215"/>
      <c r="I394" s="215">
        <v>6400000</v>
      </c>
      <c r="J394" s="215"/>
      <c r="K394" s="215"/>
      <c r="L394" s="215"/>
      <c r="M394" s="215"/>
      <c r="P394" s="215">
        <f t="shared" si="4"/>
        <v>6400000</v>
      </c>
      <c r="S394" s="217"/>
      <c r="U394">
        <v>6400000</v>
      </c>
      <c r="AA394" s="215"/>
    </row>
    <row r="395" spans="1:27" ht="13.2">
      <c r="A395" s="216"/>
      <c r="D395">
        <v>800000</v>
      </c>
      <c r="F395" s="214"/>
      <c r="G395" s="215"/>
      <c r="I395" s="215">
        <v>800000</v>
      </c>
      <c r="J395" s="215"/>
      <c r="K395" s="215"/>
      <c r="L395" s="215"/>
      <c r="M395" s="215"/>
      <c r="P395" s="215">
        <f t="shared" si="4"/>
        <v>800000</v>
      </c>
      <c r="S395" s="217"/>
      <c r="U395">
        <v>800000</v>
      </c>
      <c r="AA395" s="215"/>
    </row>
    <row r="396" spans="1:27" ht="13.2">
      <c r="A396" s="216"/>
      <c r="D396">
        <v>5310000</v>
      </c>
      <c r="F396" s="214"/>
      <c r="G396" s="215"/>
      <c r="I396" s="215">
        <v>5310000</v>
      </c>
      <c r="J396" s="215"/>
      <c r="K396" s="215"/>
      <c r="L396" s="215"/>
      <c r="M396" s="215"/>
      <c r="P396" s="215">
        <f t="shared" si="4"/>
        <v>5310000</v>
      </c>
      <c r="S396" s="217"/>
      <c r="U396">
        <v>5310000</v>
      </c>
      <c r="AA396" s="215"/>
    </row>
    <row r="397" spans="1:27" ht="13.2">
      <c r="A397" s="216"/>
      <c r="D397">
        <v>2500000</v>
      </c>
      <c r="F397" s="214"/>
      <c r="G397" s="215"/>
      <c r="I397" s="215">
        <v>2500000</v>
      </c>
      <c r="J397" s="215"/>
      <c r="K397" s="215"/>
      <c r="L397" s="215"/>
      <c r="M397" s="215"/>
      <c r="P397" s="215">
        <f t="shared" si="4"/>
        <v>2500000</v>
      </c>
      <c r="S397" s="217"/>
      <c r="U397">
        <v>2500000</v>
      </c>
      <c r="AA397" s="215"/>
    </row>
    <row r="398" spans="1:27" ht="13.2">
      <c r="A398" s="216"/>
      <c r="D398">
        <v>2800000</v>
      </c>
      <c r="F398" s="214"/>
      <c r="G398" s="215"/>
      <c r="I398" s="215">
        <v>2800000</v>
      </c>
      <c r="J398" s="215"/>
      <c r="K398" s="215"/>
      <c r="L398" s="215"/>
      <c r="M398" s="215"/>
      <c r="P398" s="215">
        <f t="shared" si="4"/>
        <v>2800000</v>
      </c>
      <c r="S398" s="217"/>
      <c r="U398">
        <v>2800000</v>
      </c>
      <c r="AA398" s="215"/>
    </row>
    <row r="399" spans="1:27" ht="13.2">
      <c r="A399" s="216"/>
      <c r="D399">
        <v>5400000</v>
      </c>
      <c r="F399" s="214"/>
      <c r="G399" s="215"/>
      <c r="I399" s="215">
        <v>5400000</v>
      </c>
      <c r="J399" s="215"/>
      <c r="K399" s="215"/>
      <c r="L399" s="215"/>
      <c r="M399" s="215"/>
      <c r="P399" s="215">
        <f t="shared" si="4"/>
        <v>5400000</v>
      </c>
      <c r="S399" s="217"/>
      <c r="U399">
        <v>5400000</v>
      </c>
      <c r="AA399" s="215"/>
    </row>
    <row r="400" spans="1:27" ht="13.2">
      <c r="A400" s="216">
        <v>2587500</v>
      </c>
      <c r="D400" t="s">
        <v>719</v>
      </c>
      <c r="F400" s="214"/>
      <c r="G400" s="215"/>
      <c r="I400" s="215">
        <v>2587500</v>
      </c>
      <c r="J400" s="215"/>
      <c r="K400" s="215"/>
      <c r="L400" s="215"/>
      <c r="M400" s="215"/>
      <c r="P400" s="215">
        <f t="shared" si="4"/>
        <v>2587500</v>
      </c>
      <c r="S400" s="217"/>
      <c r="U400">
        <v>2587500</v>
      </c>
      <c r="AA400" s="215"/>
    </row>
    <row r="401" spans="1:27" ht="13.2">
      <c r="A401" s="216"/>
      <c r="D401">
        <v>6000000</v>
      </c>
      <c r="F401" s="214"/>
      <c r="G401" s="215"/>
      <c r="I401" s="215">
        <v>6000000</v>
      </c>
      <c r="J401" s="215"/>
      <c r="K401" s="215"/>
      <c r="L401" s="215"/>
      <c r="M401" s="215"/>
      <c r="P401" s="215">
        <f t="shared" si="4"/>
        <v>6000000</v>
      </c>
      <c r="S401" s="217"/>
      <c r="U401">
        <v>6000000</v>
      </c>
      <c r="AA401" s="215"/>
    </row>
    <row r="402" spans="1:27" ht="13.2">
      <c r="A402" s="216">
        <v>11189805</v>
      </c>
      <c r="D402" t="s">
        <v>719</v>
      </c>
      <c r="F402" s="214"/>
      <c r="G402" s="215"/>
      <c r="I402" s="215">
        <v>11189805</v>
      </c>
      <c r="J402" s="215"/>
      <c r="K402" s="215"/>
      <c r="L402" s="215"/>
      <c r="M402" s="215"/>
      <c r="P402" s="215">
        <f t="shared" si="4"/>
        <v>11189805</v>
      </c>
      <c r="S402" s="217"/>
      <c r="U402">
        <v>11189805</v>
      </c>
      <c r="AA402" s="215"/>
    </row>
    <row r="403" spans="1:27" ht="13.2">
      <c r="A403" s="216"/>
      <c r="D403">
        <v>977500</v>
      </c>
      <c r="F403" s="214"/>
      <c r="G403" s="215"/>
      <c r="I403" s="215">
        <v>977500</v>
      </c>
      <c r="J403" s="215"/>
      <c r="K403" s="215"/>
      <c r="L403" s="215"/>
      <c r="M403" s="215"/>
      <c r="P403" s="215">
        <f t="shared" si="4"/>
        <v>977500</v>
      </c>
      <c r="S403" s="217"/>
      <c r="U403">
        <v>977500</v>
      </c>
      <c r="AA403" s="215"/>
    </row>
    <row r="404" spans="1:27" ht="13.2">
      <c r="A404" s="216"/>
      <c r="D404">
        <v>4000000</v>
      </c>
      <c r="F404" s="214"/>
      <c r="G404" s="215"/>
      <c r="I404" s="215">
        <v>4000000</v>
      </c>
      <c r="J404" s="215"/>
      <c r="K404" s="215"/>
      <c r="L404" s="215"/>
      <c r="M404" s="215"/>
      <c r="P404" s="215">
        <f t="shared" si="4"/>
        <v>4000000</v>
      </c>
      <c r="S404" s="217"/>
      <c r="U404">
        <v>4000000</v>
      </c>
      <c r="AA404" s="215"/>
    </row>
    <row r="405" spans="1:27" ht="13.2">
      <c r="A405" s="216">
        <v>4054000</v>
      </c>
      <c r="D405" t="s">
        <v>719</v>
      </c>
      <c r="F405" s="214"/>
      <c r="G405" s="215"/>
      <c r="I405" s="215">
        <v>4054000</v>
      </c>
      <c r="J405" s="215"/>
      <c r="K405" s="215"/>
      <c r="L405" s="215"/>
      <c r="M405" s="215"/>
      <c r="P405" s="215">
        <f t="shared" si="4"/>
        <v>4054000</v>
      </c>
      <c r="S405" s="217"/>
      <c r="U405">
        <v>4054000</v>
      </c>
      <c r="AA405" s="215"/>
    </row>
    <row r="406" spans="1:27" ht="13.2">
      <c r="A406" s="216"/>
      <c r="D406">
        <v>2250000</v>
      </c>
      <c r="F406" s="214"/>
      <c r="G406" s="215"/>
      <c r="I406" s="215">
        <v>2250000</v>
      </c>
      <c r="J406" s="215"/>
      <c r="K406" s="215"/>
      <c r="L406" s="215"/>
      <c r="M406" s="215"/>
      <c r="P406" s="215">
        <f t="shared" si="4"/>
        <v>2250000</v>
      </c>
      <c r="S406" s="217"/>
      <c r="U406">
        <v>2250000</v>
      </c>
      <c r="AA406" s="215"/>
    </row>
    <row r="407" spans="1:27" ht="13.2">
      <c r="A407" s="216">
        <v>2400000</v>
      </c>
      <c r="D407" t="s">
        <v>719</v>
      </c>
      <c r="F407" s="214"/>
      <c r="G407" s="215"/>
      <c r="I407" s="215">
        <v>2400000</v>
      </c>
      <c r="J407" s="215"/>
      <c r="K407" s="215"/>
      <c r="L407" s="215"/>
      <c r="M407" s="215"/>
      <c r="P407" s="215">
        <f t="shared" si="4"/>
        <v>2400000</v>
      </c>
      <c r="S407" s="217"/>
      <c r="U407">
        <v>2400000</v>
      </c>
      <c r="AA407" s="215"/>
    </row>
    <row r="408" spans="1:27" ht="13.2">
      <c r="A408" s="216"/>
      <c r="D408">
        <v>760000</v>
      </c>
      <c r="F408" s="214"/>
      <c r="G408" s="215"/>
      <c r="I408" s="215">
        <v>760000</v>
      </c>
      <c r="J408" s="215"/>
      <c r="K408" s="215"/>
      <c r="L408" s="215"/>
      <c r="M408" s="215"/>
      <c r="P408" s="215">
        <f t="shared" si="4"/>
        <v>760000</v>
      </c>
      <c r="S408" s="217"/>
      <c r="U408">
        <v>760000</v>
      </c>
      <c r="AA408" s="215"/>
    </row>
    <row r="409" spans="1:27" ht="13.2">
      <c r="A409" s="216">
        <v>3062871</v>
      </c>
      <c r="D409" t="s">
        <v>719</v>
      </c>
      <c r="F409" s="214"/>
      <c r="G409" s="215"/>
      <c r="I409" s="215">
        <v>3062871</v>
      </c>
      <c r="J409" s="215"/>
      <c r="K409" s="215"/>
      <c r="L409" s="215"/>
      <c r="M409" s="215"/>
      <c r="P409" s="215">
        <f t="shared" si="4"/>
        <v>3062871</v>
      </c>
      <c r="S409" s="217"/>
      <c r="U409">
        <v>3062871</v>
      </c>
      <c r="AA409" s="215"/>
    </row>
    <row r="410" spans="1:27" ht="13.2">
      <c r="A410" s="216">
        <v>5000000</v>
      </c>
      <c r="D410" t="s">
        <v>719</v>
      </c>
      <c r="F410" s="214"/>
      <c r="G410" s="215"/>
      <c r="I410" s="215">
        <v>5000000</v>
      </c>
      <c r="J410" s="215"/>
      <c r="K410" s="215"/>
      <c r="L410" s="215"/>
      <c r="M410" s="215"/>
      <c r="P410" s="215">
        <f t="shared" si="4"/>
        <v>5000000</v>
      </c>
      <c r="S410" s="217"/>
      <c r="U410">
        <v>5000000</v>
      </c>
      <c r="AA410" s="215"/>
    </row>
    <row r="411" spans="1:27" ht="13.2">
      <c r="A411" s="216">
        <v>6561600</v>
      </c>
      <c r="D411" t="s">
        <v>719</v>
      </c>
      <c r="F411" s="214"/>
      <c r="G411" s="215"/>
      <c r="I411" s="215">
        <v>6561600</v>
      </c>
      <c r="J411" s="215"/>
      <c r="K411" s="215"/>
      <c r="L411" s="215"/>
      <c r="M411" s="215"/>
      <c r="P411" s="215">
        <f t="shared" si="4"/>
        <v>6561600</v>
      </c>
      <c r="S411" s="217"/>
      <c r="U411">
        <v>6561600</v>
      </c>
      <c r="AA411" s="215"/>
    </row>
    <row r="412" spans="1:27" ht="13.2">
      <c r="A412" s="216"/>
      <c r="D412">
        <v>3998304</v>
      </c>
      <c r="F412" s="214"/>
      <c r="G412" s="215"/>
      <c r="I412" s="215">
        <v>3998304</v>
      </c>
      <c r="J412" s="215"/>
      <c r="K412" s="215"/>
      <c r="L412" s="215"/>
      <c r="M412" s="215"/>
      <c r="P412" s="215">
        <f t="shared" si="4"/>
        <v>3998304</v>
      </c>
      <c r="S412" s="217"/>
      <c r="U412">
        <v>3998304</v>
      </c>
      <c r="AA412" s="215"/>
    </row>
    <row r="413" spans="1:27" ht="13.2">
      <c r="A413" s="216">
        <v>19201088</v>
      </c>
      <c r="D413" t="s">
        <v>719</v>
      </c>
      <c r="F413" s="214"/>
      <c r="G413" s="215"/>
      <c r="I413" s="215">
        <v>19201088</v>
      </c>
      <c r="J413" s="215"/>
      <c r="K413" s="215"/>
      <c r="L413" s="215"/>
      <c r="M413" s="215"/>
      <c r="P413" s="215">
        <f t="shared" si="4"/>
        <v>19201088</v>
      </c>
      <c r="S413" s="217"/>
      <c r="U413">
        <v>19201088</v>
      </c>
      <c r="AA413" s="215"/>
    </row>
    <row r="414" spans="1:27" ht="13.2">
      <c r="A414" s="216">
        <v>6200000</v>
      </c>
      <c r="D414" t="s">
        <v>719</v>
      </c>
      <c r="F414" s="214"/>
      <c r="G414" s="215"/>
      <c r="I414" s="215">
        <v>6200000</v>
      </c>
      <c r="J414" s="215"/>
      <c r="K414" s="215"/>
      <c r="L414" s="215"/>
      <c r="M414" s="215"/>
      <c r="P414" s="215">
        <f t="shared" si="4"/>
        <v>6200000</v>
      </c>
      <c r="S414" s="217"/>
      <c r="U414">
        <v>6200000</v>
      </c>
      <c r="AA414" s="215"/>
    </row>
    <row r="415" spans="1:27" ht="13.2">
      <c r="A415" s="216"/>
      <c r="D415">
        <v>5000000</v>
      </c>
      <c r="F415" s="214"/>
      <c r="G415" s="215"/>
      <c r="I415" s="215">
        <v>5000000</v>
      </c>
      <c r="J415" s="215"/>
      <c r="K415" s="215"/>
      <c r="L415" s="215"/>
      <c r="M415" s="215"/>
      <c r="P415" s="215">
        <f t="shared" si="4"/>
        <v>5000000</v>
      </c>
      <c r="S415" s="217"/>
      <c r="U415">
        <v>5000000</v>
      </c>
      <c r="AA415" s="215"/>
    </row>
    <row r="416" spans="1:27" ht="13.2">
      <c r="A416" s="216"/>
      <c r="D416">
        <v>15000000</v>
      </c>
      <c r="F416" s="214"/>
      <c r="G416" s="215"/>
      <c r="I416" s="215">
        <v>15000000</v>
      </c>
      <c r="J416" s="215"/>
      <c r="K416" s="215"/>
      <c r="L416" s="215"/>
      <c r="M416" s="215"/>
      <c r="P416" s="215">
        <f t="shared" si="4"/>
        <v>15000000</v>
      </c>
      <c r="S416" s="217"/>
      <c r="U416">
        <v>15000000</v>
      </c>
      <c r="AA416" s="215"/>
    </row>
    <row r="417" spans="1:27" ht="13.2">
      <c r="A417" s="216"/>
      <c r="D417">
        <v>3960000</v>
      </c>
      <c r="F417" s="214"/>
      <c r="G417" s="215"/>
      <c r="I417" s="215">
        <v>3960000</v>
      </c>
      <c r="J417" s="215"/>
      <c r="K417" s="215"/>
      <c r="L417" s="215"/>
      <c r="M417" s="215"/>
      <c r="P417" s="215">
        <f t="shared" si="4"/>
        <v>3960000</v>
      </c>
      <c r="S417" s="217"/>
      <c r="U417">
        <v>3960000</v>
      </c>
      <c r="AA417" s="215"/>
    </row>
    <row r="418" spans="1:27" ht="13.2">
      <c r="A418" s="216"/>
      <c r="D418">
        <v>2000000</v>
      </c>
      <c r="F418" s="214"/>
      <c r="G418" s="215"/>
      <c r="I418" s="215">
        <v>2000000</v>
      </c>
      <c r="J418" s="215"/>
      <c r="K418" s="215"/>
      <c r="L418" s="215"/>
      <c r="M418" s="215"/>
      <c r="P418" s="215">
        <f t="shared" si="4"/>
        <v>2000000</v>
      </c>
      <c r="S418" s="217"/>
      <c r="U418">
        <v>2000000</v>
      </c>
      <c r="AA418" s="215"/>
    </row>
    <row r="419" spans="1:27" ht="13.2">
      <c r="A419" s="216">
        <v>5000000</v>
      </c>
      <c r="D419" t="s">
        <v>719</v>
      </c>
      <c r="F419" s="214"/>
      <c r="G419" s="215"/>
      <c r="I419" s="215">
        <v>5000000</v>
      </c>
      <c r="J419" s="215"/>
      <c r="K419" s="215"/>
      <c r="L419" s="215"/>
      <c r="M419" s="215"/>
      <c r="P419" s="215">
        <f t="shared" si="4"/>
        <v>5000000</v>
      </c>
      <c r="S419" s="217"/>
      <c r="U419">
        <v>5000000</v>
      </c>
      <c r="AA419" s="215"/>
    </row>
    <row r="420" spans="1:27" ht="13.2">
      <c r="A420" s="216">
        <v>19621196</v>
      </c>
      <c r="D420" t="s">
        <v>719</v>
      </c>
      <c r="F420" s="214"/>
      <c r="G420" s="215"/>
      <c r="I420" s="215">
        <v>19621196</v>
      </c>
      <c r="J420" s="215"/>
      <c r="K420" s="215"/>
      <c r="L420" s="215"/>
      <c r="M420" s="215"/>
      <c r="P420" s="215">
        <f t="shared" si="4"/>
        <v>19621196</v>
      </c>
      <c r="S420" s="217"/>
      <c r="U420">
        <v>19621196</v>
      </c>
      <c r="AA420" s="215"/>
    </row>
    <row r="421" spans="1:27" ht="13.2">
      <c r="A421" s="216"/>
      <c r="D421">
        <v>3200000</v>
      </c>
      <c r="F421" s="214"/>
      <c r="G421" s="215"/>
      <c r="I421" s="215">
        <v>3200000</v>
      </c>
      <c r="J421" s="215"/>
      <c r="K421" s="215"/>
      <c r="L421" s="215"/>
      <c r="M421" s="215"/>
      <c r="P421" s="215">
        <f t="shared" si="4"/>
        <v>3200000</v>
      </c>
      <c r="S421" s="217"/>
      <c r="U421">
        <v>3200000</v>
      </c>
      <c r="AA421" s="215"/>
    </row>
    <row r="422" spans="1:27" ht="13.2">
      <c r="A422" s="216"/>
      <c r="D422">
        <v>7920000</v>
      </c>
      <c r="F422" s="214"/>
      <c r="G422" s="215"/>
      <c r="I422" s="215">
        <v>7920000</v>
      </c>
      <c r="J422" s="215"/>
      <c r="K422" s="215"/>
      <c r="L422" s="215"/>
      <c r="M422" s="215"/>
      <c r="P422" s="215">
        <f t="shared" si="4"/>
        <v>7920000</v>
      </c>
      <c r="S422" s="217"/>
      <c r="U422">
        <v>7920000</v>
      </c>
      <c r="AA422" s="215"/>
    </row>
    <row r="423" spans="1:27" ht="13.2">
      <c r="A423" s="216"/>
      <c r="D423">
        <v>4000000</v>
      </c>
      <c r="F423" s="214"/>
      <c r="G423" s="215"/>
      <c r="I423" s="215">
        <v>4000000</v>
      </c>
      <c r="J423" s="215"/>
      <c r="K423" s="215"/>
      <c r="L423" s="215"/>
      <c r="M423" s="215"/>
      <c r="P423" s="215">
        <f t="shared" si="4"/>
        <v>4000000</v>
      </c>
      <c r="S423" s="217"/>
      <c r="U423">
        <v>4000000</v>
      </c>
      <c r="AA423" s="215"/>
    </row>
    <row r="424" spans="1:27" ht="13.2">
      <c r="A424" s="216"/>
      <c r="D424">
        <v>6000000</v>
      </c>
      <c r="F424" s="214"/>
      <c r="G424" s="215"/>
      <c r="I424" s="215">
        <v>6000000</v>
      </c>
      <c r="J424" s="215"/>
      <c r="K424" s="215"/>
      <c r="L424" s="215"/>
      <c r="M424" s="215"/>
      <c r="P424" s="215">
        <f t="shared" si="4"/>
        <v>6000000</v>
      </c>
      <c r="S424" s="217"/>
      <c r="U424">
        <v>6000000</v>
      </c>
      <c r="AA424" s="215"/>
    </row>
    <row r="425" spans="1:27" ht="13.2">
      <c r="A425" s="216">
        <v>15000000</v>
      </c>
      <c r="D425" t="s">
        <v>719</v>
      </c>
      <c r="F425" s="214"/>
      <c r="G425" s="215"/>
      <c r="I425" s="215">
        <v>15000000</v>
      </c>
      <c r="J425" s="215"/>
      <c r="K425" s="215"/>
      <c r="L425" s="215"/>
      <c r="M425" s="215"/>
      <c r="P425" s="215">
        <f t="shared" si="4"/>
        <v>15000000</v>
      </c>
      <c r="S425" s="217"/>
      <c r="U425">
        <v>15000000</v>
      </c>
      <c r="AA425" s="215"/>
    </row>
    <row r="426" spans="1:27" ht="13.2">
      <c r="A426" s="216">
        <v>17600000</v>
      </c>
      <c r="D426" t="s">
        <v>719</v>
      </c>
      <c r="F426" s="214"/>
      <c r="G426" s="215"/>
      <c r="I426" s="215">
        <v>17600000</v>
      </c>
      <c r="J426" s="215"/>
      <c r="K426" s="215"/>
      <c r="L426" s="215"/>
      <c r="M426" s="215"/>
      <c r="P426" s="215">
        <f t="shared" si="4"/>
        <v>17600000</v>
      </c>
      <c r="S426" s="217"/>
      <c r="U426">
        <v>17600000</v>
      </c>
      <c r="AA426" s="215"/>
    </row>
    <row r="427" spans="1:27" ht="13.2">
      <c r="A427" s="216"/>
      <c r="D427">
        <v>3600000</v>
      </c>
      <c r="F427" s="214"/>
      <c r="G427" s="215"/>
      <c r="I427" s="215">
        <v>3600000</v>
      </c>
      <c r="J427" s="215"/>
      <c r="K427" s="215"/>
      <c r="L427" s="215"/>
      <c r="M427" s="215"/>
      <c r="P427" s="215">
        <f t="shared" si="4"/>
        <v>3600000</v>
      </c>
      <c r="S427" s="217"/>
      <c r="U427">
        <v>3600000</v>
      </c>
      <c r="AA427" s="215"/>
    </row>
    <row r="428" spans="1:27" ht="13.2">
      <c r="A428" s="216">
        <v>5040000</v>
      </c>
      <c r="D428" t="s">
        <v>719</v>
      </c>
      <c r="F428" s="214"/>
      <c r="G428" s="215"/>
      <c r="I428" s="215">
        <v>5040000</v>
      </c>
      <c r="J428" s="215"/>
      <c r="K428" s="215"/>
      <c r="L428" s="215"/>
      <c r="M428" s="215"/>
      <c r="P428" s="215">
        <f t="shared" si="4"/>
        <v>5040000</v>
      </c>
      <c r="S428" s="217"/>
      <c r="U428">
        <v>5040000</v>
      </c>
      <c r="AA428" s="215"/>
    </row>
    <row r="429" spans="1:27" ht="13.2">
      <c r="A429" s="216">
        <v>6000000</v>
      </c>
      <c r="D429" t="s">
        <v>719</v>
      </c>
      <c r="F429" s="214"/>
      <c r="G429" s="215"/>
      <c r="I429" s="215">
        <v>6000000</v>
      </c>
      <c r="J429" s="215"/>
      <c r="K429" s="215"/>
      <c r="L429" s="215"/>
      <c r="M429" s="215"/>
      <c r="P429" s="215">
        <f t="shared" si="4"/>
        <v>6000000</v>
      </c>
      <c r="S429" s="217"/>
      <c r="U429">
        <v>6000000</v>
      </c>
      <c r="AA429" s="215"/>
    </row>
    <row r="430" spans="1:27" ht="13.2">
      <c r="A430" s="216">
        <v>7504410</v>
      </c>
      <c r="D430" t="s">
        <v>719</v>
      </c>
      <c r="F430" s="214"/>
      <c r="G430" s="215"/>
      <c r="I430" s="215">
        <v>7504410</v>
      </c>
      <c r="J430" s="215"/>
      <c r="K430" s="215"/>
      <c r="L430" s="215"/>
      <c r="M430" s="215"/>
      <c r="P430" s="215">
        <f t="shared" si="4"/>
        <v>7504410</v>
      </c>
      <c r="S430" s="217"/>
      <c r="U430">
        <v>7504410</v>
      </c>
      <c r="AA430" s="215"/>
    </row>
    <row r="431" spans="1:27" ht="13.2">
      <c r="A431" s="216">
        <v>14029817</v>
      </c>
      <c r="D431" t="s">
        <v>719</v>
      </c>
      <c r="F431" s="214"/>
      <c r="G431" s="215"/>
      <c r="I431" s="215">
        <v>14029817</v>
      </c>
      <c r="J431" s="215"/>
      <c r="K431" s="215"/>
      <c r="L431" s="215"/>
      <c r="M431" s="215"/>
      <c r="P431" s="215">
        <f t="shared" si="4"/>
        <v>14029817</v>
      </c>
      <c r="S431" s="217"/>
      <c r="U431">
        <v>14029817</v>
      </c>
      <c r="AA431" s="215"/>
    </row>
    <row r="432" spans="1:27" ht="13.2">
      <c r="A432" s="216">
        <v>2400000</v>
      </c>
      <c r="D432" t="s">
        <v>719</v>
      </c>
      <c r="F432" s="214"/>
      <c r="G432" s="215"/>
      <c r="I432" s="215">
        <v>2400000</v>
      </c>
      <c r="J432" s="215"/>
      <c r="K432" s="215"/>
      <c r="L432" s="215"/>
      <c r="M432" s="215"/>
      <c r="P432" s="215">
        <f t="shared" si="4"/>
        <v>2400000</v>
      </c>
      <c r="S432" s="217"/>
      <c r="U432">
        <v>2400000</v>
      </c>
      <c r="AA432" s="215"/>
    </row>
    <row r="433" spans="1:27" ht="13.2">
      <c r="A433" s="216">
        <v>10000000</v>
      </c>
      <c r="D433" t="s">
        <v>719</v>
      </c>
      <c r="F433" s="214"/>
      <c r="G433" s="215"/>
      <c r="I433" s="215">
        <v>10000000</v>
      </c>
      <c r="J433" s="215"/>
      <c r="K433" s="215"/>
      <c r="L433" s="215"/>
      <c r="M433" s="215"/>
      <c r="P433" s="215">
        <f t="shared" si="4"/>
        <v>10000000</v>
      </c>
      <c r="S433" s="217"/>
      <c r="U433">
        <v>10000000</v>
      </c>
      <c r="AA433" s="215"/>
    </row>
    <row r="434" spans="1:27" ht="13.2">
      <c r="A434" s="216">
        <v>33995244</v>
      </c>
      <c r="D434" t="s">
        <v>719</v>
      </c>
      <c r="F434" s="214"/>
      <c r="G434" s="215"/>
      <c r="I434" s="215">
        <v>33995244</v>
      </c>
      <c r="J434" s="215"/>
      <c r="K434" s="215"/>
      <c r="L434" s="215"/>
      <c r="M434" s="215"/>
      <c r="P434" s="215">
        <f t="shared" si="4"/>
        <v>33995244</v>
      </c>
      <c r="S434" s="217"/>
      <c r="U434">
        <v>33995244</v>
      </c>
      <c r="AA434" s="215"/>
    </row>
    <row r="435" spans="1:27" ht="13.2">
      <c r="A435" s="216">
        <v>12400000</v>
      </c>
      <c r="D435" t="s">
        <v>719</v>
      </c>
      <c r="F435" s="214"/>
      <c r="G435" s="215"/>
      <c r="I435" s="215">
        <v>12400000</v>
      </c>
      <c r="J435" s="215"/>
      <c r="K435" s="215"/>
      <c r="L435" s="215"/>
      <c r="M435" s="215"/>
      <c r="P435" s="215">
        <f t="shared" si="4"/>
        <v>12400000</v>
      </c>
      <c r="S435" s="217"/>
      <c r="U435">
        <v>12400000</v>
      </c>
      <c r="AA435" s="215"/>
    </row>
    <row r="436" spans="1:27" ht="13.2">
      <c r="A436" s="216">
        <v>8000000</v>
      </c>
      <c r="D436" t="s">
        <v>719</v>
      </c>
      <c r="F436" s="214"/>
      <c r="G436" s="215"/>
      <c r="I436" s="215">
        <v>8000000</v>
      </c>
      <c r="J436" s="215"/>
      <c r="K436" s="215"/>
      <c r="L436" s="215"/>
      <c r="M436" s="215"/>
      <c r="P436" s="215">
        <f t="shared" si="4"/>
        <v>8000000</v>
      </c>
      <c r="S436" s="217"/>
      <c r="U436">
        <v>8000000</v>
      </c>
      <c r="AA436" s="215"/>
    </row>
    <row r="437" spans="1:27" ht="13.2">
      <c r="A437" s="216"/>
      <c r="D437">
        <v>3200000</v>
      </c>
      <c r="F437" s="214"/>
      <c r="G437" s="215"/>
      <c r="I437" s="215">
        <v>3200000</v>
      </c>
      <c r="J437" s="215"/>
      <c r="K437" s="215"/>
      <c r="L437" s="215"/>
      <c r="M437" s="215"/>
      <c r="P437" s="215">
        <f t="shared" si="4"/>
        <v>3200000</v>
      </c>
      <c r="S437" s="217"/>
      <c r="U437">
        <v>3200000</v>
      </c>
      <c r="AA437" s="215"/>
    </row>
    <row r="438" spans="1:27" ht="13.2">
      <c r="A438" s="216">
        <v>3000000</v>
      </c>
      <c r="D438" t="s">
        <v>719</v>
      </c>
      <c r="F438" s="214"/>
      <c r="G438" s="215"/>
      <c r="I438" s="215">
        <v>3000000</v>
      </c>
      <c r="J438" s="215"/>
      <c r="K438" s="215"/>
      <c r="L438" s="215"/>
      <c r="M438" s="215"/>
      <c r="P438" s="215">
        <f t="shared" si="4"/>
        <v>3000000</v>
      </c>
      <c r="S438" s="217"/>
      <c r="U438">
        <v>3000000</v>
      </c>
      <c r="AA438" s="215"/>
    </row>
    <row r="439" spans="1:27" ht="13.2">
      <c r="A439" s="216"/>
      <c r="D439">
        <v>9600000</v>
      </c>
      <c r="F439" s="214"/>
      <c r="G439" s="215"/>
      <c r="I439" s="215">
        <v>9600000</v>
      </c>
      <c r="J439" s="215"/>
      <c r="K439" s="215"/>
      <c r="L439" s="215"/>
      <c r="M439" s="215"/>
      <c r="P439" s="215">
        <f t="shared" si="4"/>
        <v>9600000</v>
      </c>
      <c r="S439" s="217"/>
      <c r="U439">
        <v>9600000</v>
      </c>
      <c r="AA439" s="215"/>
    </row>
    <row r="440" spans="1:27" ht="13.2">
      <c r="A440" s="216">
        <v>1730000</v>
      </c>
      <c r="D440" t="s">
        <v>719</v>
      </c>
      <c r="F440" s="214"/>
      <c r="G440" s="215"/>
      <c r="I440" s="215">
        <v>1730000</v>
      </c>
      <c r="J440" s="215"/>
      <c r="K440" s="215"/>
      <c r="L440" s="215"/>
      <c r="M440" s="215"/>
      <c r="P440" s="215">
        <f t="shared" si="4"/>
        <v>1730000</v>
      </c>
      <c r="S440" s="217"/>
      <c r="U440">
        <v>1730000</v>
      </c>
      <c r="AA440" s="215"/>
    </row>
    <row r="441" spans="1:27" ht="13.2">
      <c r="A441" s="216">
        <v>8930000</v>
      </c>
      <c r="D441" t="s">
        <v>719</v>
      </c>
      <c r="F441" s="214"/>
      <c r="G441" s="215"/>
      <c r="I441" s="215">
        <v>8930000</v>
      </c>
      <c r="J441" s="215"/>
      <c r="K441" s="215"/>
      <c r="L441" s="215"/>
      <c r="M441" s="215"/>
      <c r="P441" s="215">
        <f t="shared" si="4"/>
        <v>8930000</v>
      </c>
      <c r="S441" s="217"/>
      <c r="U441">
        <v>8930000</v>
      </c>
      <c r="AA441" s="215"/>
    </row>
    <row r="442" spans="1:27" ht="13.2">
      <c r="A442" s="216">
        <v>6051033</v>
      </c>
      <c r="D442" t="s">
        <v>719</v>
      </c>
      <c r="F442" s="214"/>
      <c r="G442" s="215"/>
      <c r="I442" s="215">
        <v>6051033</v>
      </c>
      <c r="J442" s="215"/>
      <c r="K442" s="215"/>
      <c r="L442" s="215"/>
      <c r="M442" s="215"/>
      <c r="P442" s="215">
        <f t="shared" si="4"/>
        <v>6051033</v>
      </c>
      <c r="S442" s="217"/>
      <c r="U442">
        <v>6051033</v>
      </c>
      <c r="AA442" s="215"/>
    </row>
    <row r="443" spans="1:27" ht="13.2">
      <c r="A443" s="216">
        <v>4961250</v>
      </c>
      <c r="D443" t="s">
        <v>719</v>
      </c>
      <c r="F443" s="214"/>
      <c r="G443" s="215"/>
      <c r="I443" s="215">
        <v>4961250</v>
      </c>
      <c r="J443" s="215"/>
      <c r="K443" s="215"/>
      <c r="L443" s="215"/>
      <c r="M443" s="215"/>
      <c r="P443" s="215">
        <f t="shared" si="4"/>
        <v>4961250</v>
      </c>
      <c r="S443" s="217"/>
      <c r="U443">
        <v>4961250</v>
      </c>
      <c r="AA443" s="215"/>
    </row>
    <row r="444" spans="1:27" ht="13.2">
      <c r="A444" s="216">
        <v>5000000</v>
      </c>
      <c r="D444" t="s">
        <v>719</v>
      </c>
      <c r="F444" s="214"/>
      <c r="G444" s="215"/>
      <c r="I444" s="215">
        <v>5000000</v>
      </c>
      <c r="J444" s="215"/>
      <c r="K444" s="215"/>
      <c r="L444" s="215"/>
      <c r="M444" s="215"/>
      <c r="P444" s="215">
        <f t="shared" si="4"/>
        <v>5000000</v>
      </c>
      <c r="S444" s="217"/>
      <c r="U444">
        <v>5000000</v>
      </c>
      <c r="AA444" s="215"/>
    </row>
    <row r="445" spans="1:27" ht="13.2">
      <c r="A445" s="216">
        <v>10715000</v>
      </c>
      <c r="D445" t="s">
        <v>719</v>
      </c>
      <c r="F445" s="214"/>
      <c r="G445" s="215"/>
      <c r="I445" s="215">
        <v>10715000</v>
      </c>
      <c r="J445" s="215"/>
      <c r="K445" s="215"/>
      <c r="L445" s="215"/>
      <c r="M445" s="215"/>
      <c r="P445" s="215">
        <f t="shared" si="4"/>
        <v>10715000</v>
      </c>
      <c r="S445" s="217"/>
      <c r="U445">
        <v>10715000</v>
      </c>
      <c r="AA445" s="215"/>
    </row>
    <row r="446" spans="1:27" ht="13.2">
      <c r="A446" s="216"/>
      <c r="D446">
        <v>4500000</v>
      </c>
      <c r="F446" s="214"/>
      <c r="G446" s="215"/>
      <c r="I446" s="215">
        <v>4500000</v>
      </c>
      <c r="J446" s="215"/>
      <c r="K446" s="215"/>
      <c r="L446" s="215"/>
      <c r="M446" s="215"/>
      <c r="P446" s="215">
        <f t="shared" si="4"/>
        <v>4500000</v>
      </c>
      <c r="S446" s="217"/>
      <c r="U446">
        <v>4500000</v>
      </c>
      <c r="AA446" s="215"/>
    </row>
    <row r="447" spans="1:27" ht="13.2">
      <c r="A447" s="216"/>
      <c r="D447">
        <v>4250000</v>
      </c>
      <c r="F447" s="214"/>
      <c r="G447" s="215"/>
      <c r="I447" s="215">
        <v>4250000</v>
      </c>
      <c r="J447" s="215"/>
      <c r="K447" s="215"/>
      <c r="L447" s="215"/>
      <c r="M447" s="215"/>
      <c r="P447" s="215">
        <f t="shared" si="4"/>
        <v>4250000</v>
      </c>
      <c r="S447" s="217"/>
      <c r="U447">
        <v>4250000</v>
      </c>
      <c r="AA447" s="215"/>
    </row>
    <row r="448" spans="1:27" ht="13.2">
      <c r="A448" s="216"/>
      <c r="D448">
        <v>4000000</v>
      </c>
      <c r="F448" s="214"/>
      <c r="G448" s="215"/>
      <c r="I448" s="215">
        <v>4000000</v>
      </c>
      <c r="J448" s="215"/>
      <c r="K448" s="215"/>
      <c r="L448" s="215"/>
      <c r="M448" s="215"/>
      <c r="P448" s="215">
        <f t="shared" si="4"/>
        <v>4000000</v>
      </c>
      <c r="S448" s="217"/>
      <c r="U448">
        <v>4000000</v>
      </c>
      <c r="AA448" s="215"/>
    </row>
    <row r="449" spans="1:27" ht="13.2">
      <c r="A449" s="216"/>
      <c r="D449">
        <v>4000000</v>
      </c>
      <c r="F449" s="214"/>
      <c r="G449" s="215"/>
      <c r="I449" s="215">
        <v>4000000</v>
      </c>
      <c r="J449" s="215"/>
      <c r="K449" s="215"/>
      <c r="L449" s="215"/>
      <c r="M449" s="215"/>
      <c r="P449" s="215">
        <f t="shared" si="4"/>
        <v>4000000</v>
      </c>
      <c r="S449" s="217"/>
      <c r="U449">
        <v>4000000</v>
      </c>
      <c r="AA449" s="215"/>
    </row>
    <row r="450" spans="1:27" ht="13.2">
      <c r="A450" s="216">
        <v>10000000</v>
      </c>
      <c r="D450" t="s">
        <v>719</v>
      </c>
      <c r="F450" s="214"/>
      <c r="G450" s="215"/>
      <c r="I450" s="215">
        <v>10000000</v>
      </c>
      <c r="J450" s="215"/>
      <c r="K450" s="215"/>
      <c r="L450" s="215"/>
      <c r="M450" s="215"/>
      <c r="P450" s="215">
        <f t="shared" si="4"/>
        <v>10000000</v>
      </c>
      <c r="S450" s="217"/>
      <c r="U450">
        <v>10000000</v>
      </c>
      <c r="AA450" s="215"/>
    </row>
    <row r="451" spans="1:27" ht="13.2">
      <c r="A451" s="216"/>
      <c r="D451">
        <v>12000000</v>
      </c>
      <c r="F451" s="214"/>
      <c r="G451" s="215"/>
      <c r="I451" s="215">
        <v>12000000</v>
      </c>
      <c r="J451" s="215"/>
      <c r="K451" s="215"/>
      <c r="L451" s="215"/>
      <c r="M451" s="215"/>
      <c r="P451" s="215">
        <f t="shared" si="4"/>
        <v>12000000</v>
      </c>
      <c r="S451" s="217"/>
      <c r="U451">
        <v>12000000</v>
      </c>
      <c r="AA451" s="215"/>
    </row>
    <row r="452" spans="1:27" ht="13.2">
      <c r="A452" s="216"/>
      <c r="D452">
        <v>7200000</v>
      </c>
      <c r="F452" s="214"/>
      <c r="G452" s="215"/>
      <c r="I452" s="215">
        <v>7200000</v>
      </c>
      <c r="J452" s="215"/>
      <c r="K452" s="215"/>
      <c r="L452" s="215"/>
      <c r="M452" s="215"/>
      <c r="P452" s="215">
        <f t="shared" si="4"/>
        <v>7200000</v>
      </c>
      <c r="S452" s="217"/>
      <c r="U452">
        <v>7200000</v>
      </c>
      <c r="AA452" s="215"/>
    </row>
    <row r="453" spans="1:27" ht="13.2">
      <c r="A453" s="216"/>
      <c r="D453">
        <v>9000000</v>
      </c>
      <c r="F453" s="214"/>
      <c r="G453" s="215"/>
      <c r="I453" s="215">
        <v>9000000</v>
      </c>
      <c r="J453" s="215"/>
      <c r="K453" s="215"/>
      <c r="L453" s="215"/>
      <c r="M453" s="215"/>
      <c r="P453" s="215">
        <f t="shared" si="4"/>
        <v>9000000</v>
      </c>
      <c r="S453" s="217"/>
      <c r="U453">
        <v>9000000</v>
      </c>
      <c r="AA453" s="215"/>
    </row>
    <row r="454" spans="1:27" ht="13.2">
      <c r="A454" s="216"/>
      <c r="D454">
        <v>3000000</v>
      </c>
      <c r="F454" s="214"/>
      <c r="G454" s="215"/>
      <c r="I454" s="215">
        <v>3000000</v>
      </c>
      <c r="J454" s="215"/>
      <c r="K454" s="215"/>
      <c r="L454" s="215"/>
      <c r="M454" s="215"/>
      <c r="P454" s="215">
        <f t="shared" si="4"/>
        <v>3000000</v>
      </c>
      <c r="S454" s="217"/>
      <c r="U454">
        <v>3000000</v>
      </c>
      <c r="AA454" s="215"/>
    </row>
    <row r="455" spans="1:27" ht="13.2">
      <c r="A455" s="216"/>
      <c r="D455">
        <v>2800000</v>
      </c>
      <c r="F455" s="214"/>
      <c r="G455" s="215"/>
      <c r="I455" s="215">
        <v>2800000</v>
      </c>
      <c r="J455" s="215"/>
      <c r="K455" s="215"/>
      <c r="L455" s="215"/>
      <c r="M455" s="215"/>
      <c r="P455" s="215">
        <f t="shared" si="4"/>
        <v>2800000</v>
      </c>
      <c r="S455" s="217"/>
      <c r="U455">
        <v>2800000</v>
      </c>
      <c r="AA455" s="215"/>
    </row>
    <row r="456" spans="1:27" ht="13.2">
      <c r="A456" s="216"/>
      <c r="D456">
        <v>6750000</v>
      </c>
      <c r="F456" s="214"/>
      <c r="G456" s="215"/>
      <c r="I456" s="215">
        <v>6750000</v>
      </c>
      <c r="J456" s="215"/>
      <c r="K456" s="215"/>
      <c r="L456" s="215"/>
      <c r="M456" s="215"/>
      <c r="P456" s="215">
        <f t="shared" si="4"/>
        <v>6750000</v>
      </c>
      <c r="S456" s="217"/>
      <c r="U456">
        <v>6750000</v>
      </c>
      <c r="AA456" s="215"/>
    </row>
    <row r="457" spans="1:27" ht="13.2">
      <c r="A457" s="216">
        <v>31535500</v>
      </c>
      <c r="D457" t="s">
        <v>719</v>
      </c>
      <c r="F457" s="214"/>
      <c r="G457" s="215"/>
      <c r="I457" s="215">
        <v>31535500</v>
      </c>
      <c r="J457" s="215"/>
      <c r="K457" s="215"/>
      <c r="L457" s="215"/>
      <c r="M457" s="215"/>
      <c r="P457" s="215">
        <f t="shared" si="4"/>
        <v>31535500</v>
      </c>
      <c r="S457" s="217"/>
      <c r="U457">
        <v>31535500</v>
      </c>
      <c r="AA457" s="215"/>
    </row>
    <row r="458" spans="1:27" ht="13.2">
      <c r="A458" s="216"/>
      <c r="D458">
        <v>3666666</v>
      </c>
      <c r="F458" s="214"/>
      <c r="G458" s="215"/>
      <c r="I458" s="215">
        <v>3666666</v>
      </c>
      <c r="J458" s="215"/>
      <c r="K458" s="215"/>
      <c r="L458" s="215"/>
      <c r="M458" s="215"/>
      <c r="P458" s="215">
        <f t="shared" si="4"/>
        <v>3666666</v>
      </c>
      <c r="S458" s="217"/>
      <c r="U458">
        <v>3666666</v>
      </c>
      <c r="AA458" s="215"/>
    </row>
    <row r="459" spans="1:27" ht="13.2">
      <c r="A459" s="216">
        <v>9497442</v>
      </c>
      <c r="D459" t="s">
        <v>719</v>
      </c>
      <c r="F459" s="214"/>
      <c r="G459" s="215"/>
      <c r="I459" s="215">
        <v>9497442</v>
      </c>
      <c r="J459" s="215"/>
      <c r="K459" s="215"/>
      <c r="L459" s="215"/>
      <c r="M459" s="215"/>
      <c r="P459" s="215">
        <f t="shared" si="4"/>
        <v>9497442</v>
      </c>
      <c r="S459" s="217"/>
      <c r="U459">
        <v>9497442</v>
      </c>
      <c r="AA459" s="215"/>
    </row>
    <row r="460" spans="1:27" ht="13.2">
      <c r="A460" s="216">
        <v>10000000</v>
      </c>
      <c r="D460" t="s">
        <v>719</v>
      </c>
      <c r="F460" s="214"/>
      <c r="G460" s="215"/>
      <c r="I460" s="215">
        <v>10000000</v>
      </c>
      <c r="J460" s="215"/>
      <c r="K460" s="215"/>
      <c r="L460" s="215"/>
      <c r="M460" s="215"/>
      <c r="P460" s="215">
        <f t="shared" si="4"/>
        <v>10000000</v>
      </c>
      <c r="S460" s="217"/>
      <c r="U460">
        <v>10000000</v>
      </c>
      <c r="AA460" s="215"/>
    </row>
    <row r="461" spans="1:27" ht="13.2">
      <c r="A461" s="216">
        <v>5000000</v>
      </c>
      <c r="D461" t="s">
        <v>719</v>
      </c>
      <c r="F461" s="214"/>
      <c r="G461" s="215"/>
      <c r="I461" s="215">
        <v>5000000</v>
      </c>
      <c r="J461" s="215"/>
      <c r="K461" s="215"/>
      <c r="L461" s="215"/>
      <c r="M461" s="215"/>
      <c r="P461" s="215">
        <f t="shared" si="4"/>
        <v>5000000</v>
      </c>
      <c r="S461" s="217"/>
      <c r="U461">
        <v>5000000</v>
      </c>
      <c r="AA461" s="215"/>
    </row>
    <row r="462" spans="1:27" ht="13.2">
      <c r="A462" s="216">
        <v>3900000</v>
      </c>
      <c r="D462" t="s">
        <v>719</v>
      </c>
      <c r="F462" s="214"/>
      <c r="G462" s="215"/>
      <c r="I462" s="215">
        <v>3900000</v>
      </c>
      <c r="J462" s="215"/>
      <c r="K462" s="215"/>
      <c r="L462" s="215"/>
      <c r="M462" s="215"/>
      <c r="P462" s="215">
        <f t="shared" si="4"/>
        <v>3900000</v>
      </c>
      <c r="S462" s="217"/>
      <c r="U462">
        <v>3900000</v>
      </c>
      <c r="AA462" s="215"/>
    </row>
    <row r="463" spans="1:27" ht="13.2">
      <c r="A463" s="216">
        <v>9985000</v>
      </c>
      <c r="D463" t="s">
        <v>719</v>
      </c>
      <c r="F463" s="214"/>
      <c r="G463" s="215"/>
      <c r="I463" s="215">
        <v>9985000</v>
      </c>
      <c r="J463" s="215"/>
      <c r="K463" s="215"/>
      <c r="L463" s="215"/>
      <c r="M463" s="215"/>
      <c r="P463" s="215">
        <f t="shared" si="4"/>
        <v>9985000</v>
      </c>
      <c r="S463" s="217"/>
      <c r="U463">
        <v>9985000</v>
      </c>
      <c r="AA463" s="215"/>
    </row>
    <row r="464" spans="1:27" ht="13.2">
      <c r="A464" s="216"/>
      <c r="D464">
        <v>6750000</v>
      </c>
      <c r="F464" s="214"/>
      <c r="G464" s="215"/>
      <c r="I464" s="215">
        <v>6750000</v>
      </c>
      <c r="J464" s="215"/>
      <c r="K464" s="215"/>
      <c r="L464" s="215"/>
      <c r="M464" s="215"/>
      <c r="P464" s="215">
        <f t="shared" si="4"/>
        <v>6750000</v>
      </c>
      <c r="S464" s="217"/>
      <c r="U464">
        <v>6750000</v>
      </c>
      <c r="AA464" s="215"/>
    </row>
    <row r="465" spans="1:27" ht="13.2">
      <c r="A465" s="216"/>
      <c r="D465">
        <v>8000000</v>
      </c>
      <c r="F465" s="214"/>
      <c r="G465" s="215"/>
      <c r="I465" s="215">
        <v>8000000</v>
      </c>
      <c r="J465" s="215"/>
      <c r="K465" s="215"/>
      <c r="L465" s="215"/>
      <c r="M465" s="215"/>
      <c r="P465" s="215">
        <f t="shared" si="4"/>
        <v>8000000</v>
      </c>
      <c r="S465" s="217"/>
      <c r="U465">
        <v>8000000</v>
      </c>
      <c r="AA465" s="215"/>
    </row>
    <row r="466" spans="1:27" ht="13.2">
      <c r="A466" s="216">
        <v>6375000</v>
      </c>
      <c r="D466" t="s">
        <v>719</v>
      </c>
      <c r="F466" s="214"/>
      <c r="G466" s="215"/>
      <c r="I466" s="215">
        <v>6375000</v>
      </c>
      <c r="J466" s="215"/>
      <c r="K466" s="215"/>
      <c r="L466" s="215"/>
      <c r="M466" s="215"/>
      <c r="P466" s="215">
        <f t="shared" si="4"/>
        <v>6375000</v>
      </c>
      <c r="S466" s="217"/>
      <c r="U466">
        <v>6375000</v>
      </c>
      <c r="AA466" s="215"/>
    </row>
    <row r="467" spans="1:27" ht="13.2">
      <c r="A467" s="216">
        <v>51470577</v>
      </c>
      <c r="D467" t="s">
        <v>719</v>
      </c>
      <c r="F467" s="214"/>
      <c r="G467" s="215"/>
      <c r="I467" s="215">
        <v>51470577</v>
      </c>
      <c r="J467" s="215"/>
      <c r="K467" s="215"/>
      <c r="L467" s="215"/>
      <c r="M467" s="215"/>
      <c r="P467" s="215">
        <f t="shared" si="4"/>
        <v>51470577</v>
      </c>
      <c r="S467" s="217"/>
      <c r="U467">
        <v>51470577</v>
      </c>
      <c r="AA467" s="215"/>
    </row>
    <row r="468" spans="1:27" ht="13.2">
      <c r="A468" s="216">
        <v>34019537</v>
      </c>
      <c r="D468" t="s">
        <v>719</v>
      </c>
      <c r="F468" s="214"/>
      <c r="G468" s="215"/>
      <c r="I468" s="215">
        <v>34019537</v>
      </c>
      <c r="J468" s="215"/>
      <c r="K468" s="215"/>
      <c r="L468" s="215"/>
      <c r="M468" s="215"/>
      <c r="P468" s="215">
        <f t="shared" si="4"/>
        <v>34019537</v>
      </c>
      <c r="S468" s="217"/>
      <c r="U468">
        <v>34019537</v>
      </c>
      <c r="AA468" s="215"/>
    </row>
    <row r="469" spans="1:27" ht="13.2">
      <c r="A469" s="216"/>
      <c r="D469">
        <v>9600000</v>
      </c>
      <c r="F469" s="214"/>
      <c r="G469" s="215"/>
      <c r="I469" s="215">
        <v>9600000</v>
      </c>
      <c r="J469" s="215"/>
      <c r="K469" s="215"/>
      <c r="L469" s="215"/>
      <c r="M469" s="215"/>
      <c r="P469" s="215">
        <f t="shared" si="4"/>
        <v>9600000</v>
      </c>
      <c r="S469" s="217"/>
      <c r="U469">
        <v>9600000</v>
      </c>
      <c r="AA469" s="215"/>
    </row>
    <row r="470" spans="1:27" ht="13.2">
      <c r="A470" s="216">
        <v>4500000</v>
      </c>
      <c r="D470" t="s">
        <v>719</v>
      </c>
      <c r="F470" s="214"/>
      <c r="G470" s="215"/>
      <c r="I470" s="215">
        <v>4500000</v>
      </c>
      <c r="J470" s="215"/>
      <c r="K470" s="215"/>
      <c r="L470" s="215"/>
      <c r="M470" s="215"/>
      <c r="P470" s="215">
        <f t="shared" si="4"/>
        <v>4500000</v>
      </c>
      <c r="S470" s="217"/>
      <c r="U470">
        <v>4500000</v>
      </c>
      <c r="AA470" s="215"/>
    </row>
    <row r="471" spans="1:27" ht="13.2">
      <c r="A471" s="216">
        <v>7500000</v>
      </c>
      <c r="D471" t="s">
        <v>719</v>
      </c>
      <c r="F471" s="214"/>
      <c r="G471" s="215"/>
      <c r="I471" s="215">
        <v>7500000</v>
      </c>
      <c r="J471" s="215"/>
      <c r="K471" s="215"/>
      <c r="L471" s="215"/>
      <c r="M471" s="215"/>
      <c r="P471" s="215">
        <f t="shared" si="4"/>
        <v>7500000</v>
      </c>
      <c r="S471" s="217"/>
      <c r="U471">
        <v>7500000</v>
      </c>
      <c r="AA471" s="215"/>
    </row>
    <row r="472" spans="1:27" ht="13.2">
      <c r="A472" s="216"/>
      <c r="D472">
        <v>8000000</v>
      </c>
      <c r="F472" s="214"/>
      <c r="G472" s="215"/>
      <c r="I472" s="215">
        <v>8000000</v>
      </c>
      <c r="J472" s="215"/>
      <c r="K472" s="215"/>
      <c r="L472" s="215"/>
      <c r="M472" s="215"/>
      <c r="P472" s="215">
        <f t="shared" si="4"/>
        <v>8000000</v>
      </c>
      <c r="S472" s="217"/>
      <c r="U472">
        <v>8000000</v>
      </c>
      <c r="AA472" s="215"/>
    </row>
    <row r="473" spans="1:27" ht="13.2">
      <c r="A473" s="216">
        <v>14000000</v>
      </c>
      <c r="D473" t="s">
        <v>719</v>
      </c>
      <c r="F473" s="214"/>
      <c r="G473" s="215"/>
      <c r="I473" s="215">
        <v>14000000</v>
      </c>
      <c r="J473" s="215"/>
      <c r="K473" s="215"/>
      <c r="L473" s="215"/>
      <c r="M473" s="215"/>
      <c r="P473" s="215">
        <f t="shared" si="4"/>
        <v>14000000</v>
      </c>
      <c r="S473" s="217"/>
      <c r="U473">
        <v>14000000</v>
      </c>
      <c r="AA473" s="215"/>
    </row>
    <row r="474" spans="1:27" ht="13.2">
      <c r="A474" s="216">
        <v>8000000</v>
      </c>
      <c r="D474" t="s">
        <v>719</v>
      </c>
      <c r="F474" s="214"/>
      <c r="G474" s="215"/>
      <c r="I474" s="215">
        <v>8000000</v>
      </c>
      <c r="J474" s="215"/>
      <c r="K474" s="215"/>
      <c r="L474" s="215"/>
      <c r="M474" s="215"/>
      <c r="P474" s="215">
        <f t="shared" si="4"/>
        <v>8000000</v>
      </c>
      <c r="S474" s="217"/>
      <c r="U474">
        <v>8000000</v>
      </c>
      <c r="AA474" s="215"/>
    </row>
    <row r="475" spans="1:27" ht="13.2">
      <c r="A475" s="216">
        <v>25982318</v>
      </c>
      <c r="D475" t="s">
        <v>719</v>
      </c>
      <c r="F475" s="214"/>
      <c r="G475" s="215"/>
      <c r="I475" s="215">
        <v>25982318</v>
      </c>
      <c r="J475" s="215"/>
      <c r="K475" s="215"/>
      <c r="L475" s="215"/>
      <c r="M475" s="215"/>
      <c r="P475" s="215">
        <f t="shared" si="4"/>
        <v>25982318</v>
      </c>
      <c r="S475" s="217"/>
      <c r="U475">
        <v>25982318</v>
      </c>
      <c r="AA475" s="215"/>
    </row>
    <row r="476" spans="1:27" ht="13.2">
      <c r="A476" s="216">
        <v>12304998</v>
      </c>
      <c r="D476" t="s">
        <v>719</v>
      </c>
      <c r="F476" s="214"/>
      <c r="G476" s="215"/>
      <c r="I476" s="215">
        <v>12304998</v>
      </c>
      <c r="J476" s="215"/>
      <c r="K476" s="215"/>
      <c r="L476" s="215"/>
      <c r="M476" s="215"/>
      <c r="P476" s="215">
        <f t="shared" si="4"/>
        <v>12304998</v>
      </c>
      <c r="S476" s="217"/>
      <c r="U476">
        <v>12304998</v>
      </c>
      <c r="AA476" s="215"/>
    </row>
    <row r="477" spans="1:27" ht="13.2">
      <c r="A477" s="216">
        <v>4992000</v>
      </c>
      <c r="D477" t="s">
        <v>719</v>
      </c>
      <c r="F477" s="214"/>
      <c r="G477" s="215"/>
      <c r="I477" s="215">
        <v>4992000</v>
      </c>
      <c r="J477" s="215"/>
      <c r="K477" s="215"/>
      <c r="L477" s="215"/>
      <c r="M477" s="215"/>
      <c r="P477" s="215">
        <f t="shared" si="4"/>
        <v>4992000</v>
      </c>
      <c r="S477" s="217"/>
      <c r="U477">
        <v>4992000</v>
      </c>
      <c r="AA477" s="215"/>
    </row>
    <row r="478" spans="1:27" ht="13.2">
      <c r="A478" s="216"/>
      <c r="D478">
        <v>5500000</v>
      </c>
      <c r="F478" s="214"/>
      <c r="G478" s="215"/>
      <c r="I478" s="215">
        <v>5500000</v>
      </c>
      <c r="J478" s="215"/>
      <c r="K478" s="215"/>
      <c r="L478" s="215"/>
      <c r="M478" s="215"/>
      <c r="P478" s="215">
        <f t="shared" si="4"/>
        <v>5500000</v>
      </c>
      <c r="S478" s="217"/>
      <c r="U478">
        <v>5500000</v>
      </c>
      <c r="AA478" s="215"/>
    </row>
    <row r="479" spans="1:27" ht="13.2">
      <c r="A479" s="216">
        <v>12000000</v>
      </c>
      <c r="D479" t="s">
        <v>719</v>
      </c>
      <c r="F479" s="214"/>
      <c r="G479" s="215"/>
      <c r="I479" s="215">
        <v>12000000</v>
      </c>
      <c r="J479" s="215"/>
      <c r="K479" s="215"/>
      <c r="L479" s="215"/>
      <c r="M479" s="215"/>
      <c r="P479" s="215">
        <f t="shared" si="4"/>
        <v>12000000</v>
      </c>
      <c r="S479" s="217"/>
      <c r="U479">
        <v>12000000</v>
      </c>
      <c r="AA479" s="215"/>
    </row>
    <row r="480" spans="1:27" ht="13.2">
      <c r="A480" s="216">
        <v>10200000</v>
      </c>
      <c r="D480" t="s">
        <v>719</v>
      </c>
      <c r="F480" s="214"/>
      <c r="G480" s="215"/>
      <c r="I480" s="215">
        <v>10200000</v>
      </c>
      <c r="J480" s="215"/>
      <c r="K480" s="215"/>
      <c r="L480" s="215"/>
      <c r="M480" s="215"/>
      <c r="P480" s="215">
        <f t="shared" si="4"/>
        <v>10200000</v>
      </c>
      <c r="S480" s="217"/>
      <c r="U480">
        <v>10200000</v>
      </c>
      <c r="AA480" s="215"/>
    </row>
    <row r="481" spans="1:27" ht="13.2">
      <c r="A481" s="216">
        <v>3900000</v>
      </c>
      <c r="D481" t="s">
        <v>719</v>
      </c>
      <c r="F481" s="214"/>
      <c r="G481" s="215"/>
      <c r="I481" s="215">
        <v>3900000</v>
      </c>
      <c r="J481" s="215"/>
      <c r="K481" s="215"/>
      <c r="L481" s="215"/>
      <c r="M481" s="215"/>
      <c r="P481" s="215">
        <f t="shared" si="4"/>
        <v>3900000</v>
      </c>
      <c r="S481" s="217"/>
      <c r="U481">
        <v>3900000</v>
      </c>
      <c r="AA481" s="215"/>
    </row>
    <row r="482" spans="1:27" ht="13.2">
      <c r="A482" s="216"/>
      <c r="D482">
        <v>3200000</v>
      </c>
      <c r="F482" s="214"/>
      <c r="G482" s="215"/>
      <c r="I482" s="215">
        <v>3200000</v>
      </c>
      <c r="J482" s="215"/>
      <c r="K482" s="215"/>
      <c r="L482" s="215"/>
      <c r="M482" s="215"/>
      <c r="P482" s="215">
        <f t="shared" si="4"/>
        <v>3200000</v>
      </c>
      <c r="S482" s="217"/>
      <c r="U482">
        <v>3200000</v>
      </c>
      <c r="AA482" s="215"/>
    </row>
    <row r="483" spans="1:27" ht="13.2">
      <c r="A483" s="216"/>
      <c r="D483">
        <v>18000000</v>
      </c>
      <c r="F483" s="214"/>
      <c r="G483" s="215"/>
      <c r="I483" s="215">
        <v>18000000</v>
      </c>
      <c r="J483" s="215"/>
      <c r="K483" s="215"/>
      <c r="L483" s="215"/>
      <c r="M483" s="215"/>
      <c r="P483" s="215">
        <f t="shared" si="4"/>
        <v>18000000</v>
      </c>
      <c r="S483" s="217"/>
      <c r="U483">
        <v>18000000</v>
      </c>
      <c r="AA483" s="215"/>
    </row>
    <row r="484" spans="1:27" ht="13.2">
      <c r="A484" s="216"/>
      <c r="D484">
        <v>5600000</v>
      </c>
      <c r="F484" s="214"/>
      <c r="G484" s="215"/>
      <c r="I484" s="215">
        <v>5600000</v>
      </c>
      <c r="J484" s="215"/>
      <c r="K484" s="215"/>
      <c r="L484" s="215"/>
      <c r="M484" s="215"/>
      <c r="P484" s="215">
        <f t="shared" si="4"/>
        <v>5600000</v>
      </c>
      <c r="S484" s="217"/>
      <c r="U484">
        <v>5600000</v>
      </c>
      <c r="AA484" s="215"/>
    </row>
    <row r="485" spans="1:27" ht="13.2">
      <c r="A485" s="216"/>
      <c r="D485">
        <v>4000000</v>
      </c>
      <c r="F485" s="214"/>
      <c r="G485" s="215"/>
      <c r="I485" s="215">
        <v>4000000</v>
      </c>
      <c r="J485" s="215"/>
      <c r="K485" s="215"/>
      <c r="L485" s="215"/>
      <c r="M485" s="215"/>
      <c r="P485" s="215">
        <f t="shared" si="4"/>
        <v>4000000</v>
      </c>
      <c r="S485" s="217"/>
      <c r="U485">
        <v>4000000</v>
      </c>
      <c r="AA485" s="215"/>
    </row>
    <row r="486" spans="1:27" ht="13.2">
      <c r="A486" s="216">
        <v>6500000</v>
      </c>
      <c r="D486" t="s">
        <v>719</v>
      </c>
      <c r="F486" s="214"/>
      <c r="G486" s="215"/>
      <c r="I486" s="215">
        <v>6500000</v>
      </c>
      <c r="J486" s="215"/>
      <c r="K486" s="215"/>
      <c r="L486" s="215"/>
      <c r="M486" s="215"/>
      <c r="P486" s="215">
        <f t="shared" si="4"/>
        <v>6500000</v>
      </c>
      <c r="S486" s="217"/>
      <c r="U486">
        <v>6500000</v>
      </c>
      <c r="AA486" s="215"/>
    </row>
    <row r="487" spans="1:27" ht="13.2">
      <c r="A487" s="216">
        <v>4000000</v>
      </c>
      <c r="D487" t="s">
        <v>719</v>
      </c>
      <c r="F487" s="214"/>
      <c r="G487" s="215"/>
      <c r="I487" s="215">
        <v>4000000</v>
      </c>
      <c r="J487" s="215"/>
      <c r="K487" s="215"/>
      <c r="L487" s="215"/>
      <c r="M487" s="215"/>
      <c r="P487" s="215">
        <f t="shared" si="4"/>
        <v>4000000</v>
      </c>
      <c r="S487" s="217"/>
      <c r="U487">
        <v>4000000</v>
      </c>
      <c r="AA487" s="215"/>
    </row>
    <row r="488" spans="1:27" ht="13.2">
      <c r="A488" s="216"/>
      <c r="D488">
        <v>3600000</v>
      </c>
      <c r="F488" s="214"/>
      <c r="G488" s="215"/>
      <c r="I488" s="215">
        <v>3600000</v>
      </c>
      <c r="J488" s="215"/>
      <c r="K488" s="215"/>
      <c r="L488" s="215"/>
      <c r="M488" s="215"/>
      <c r="P488" s="215">
        <f t="shared" si="4"/>
        <v>3600000</v>
      </c>
      <c r="S488" s="217"/>
      <c r="U488">
        <v>3600000</v>
      </c>
      <c r="AA488" s="215"/>
    </row>
    <row r="489" spans="1:27" ht="13.2">
      <c r="A489" s="216">
        <v>2500000</v>
      </c>
      <c r="D489" t="s">
        <v>719</v>
      </c>
      <c r="F489" s="214"/>
      <c r="G489" s="215"/>
      <c r="I489" s="215">
        <v>2500000</v>
      </c>
      <c r="J489" s="215"/>
      <c r="K489" s="215"/>
      <c r="L489" s="215"/>
      <c r="M489" s="215"/>
      <c r="P489" s="215">
        <f t="shared" si="4"/>
        <v>2500000</v>
      </c>
      <c r="S489" s="217"/>
      <c r="U489">
        <v>2500000</v>
      </c>
      <c r="AA489" s="215"/>
    </row>
    <row r="490" spans="1:27" ht="13.2">
      <c r="A490" s="216"/>
      <c r="D490">
        <v>4800000</v>
      </c>
      <c r="F490" s="214"/>
      <c r="G490" s="215"/>
      <c r="I490" s="215">
        <v>4800000</v>
      </c>
      <c r="J490" s="215"/>
      <c r="K490" s="215"/>
      <c r="L490" s="215"/>
      <c r="M490" s="215"/>
      <c r="P490" s="215">
        <f t="shared" si="4"/>
        <v>4800000</v>
      </c>
      <c r="S490" s="217"/>
      <c r="U490">
        <v>4800000</v>
      </c>
      <c r="AA490" s="215"/>
    </row>
    <row r="491" spans="1:27" ht="13.2">
      <c r="A491" s="216"/>
      <c r="D491">
        <v>3000000</v>
      </c>
      <c r="F491" s="214"/>
      <c r="G491" s="215"/>
      <c r="I491" s="215">
        <v>3000000</v>
      </c>
      <c r="J491" s="215"/>
      <c r="K491" s="215"/>
      <c r="L491" s="215"/>
      <c r="M491" s="215"/>
      <c r="P491" s="215">
        <f t="shared" si="4"/>
        <v>3000000</v>
      </c>
      <c r="S491" s="217"/>
      <c r="U491">
        <v>3000000</v>
      </c>
      <c r="AA491" s="215"/>
    </row>
    <row r="492" spans="1:27" ht="13.2">
      <c r="A492" s="216">
        <v>11050000</v>
      </c>
      <c r="D492" t="s">
        <v>719</v>
      </c>
      <c r="F492" s="214"/>
      <c r="G492" s="215"/>
      <c r="I492" s="215">
        <v>11050000</v>
      </c>
      <c r="J492" s="215"/>
      <c r="K492" s="215"/>
      <c r="L492" s="215"/>
      <c r="M492" s="215"/>
      <c r="P492" s="215">
        <f t="shared" si="4"/>
        <v>11050000</v>
      </c>
      <c r="S492" s="217"/>
      <c r="U492">
        <v>11050000</v>
      </c>
      <c r="AA492" s="215"/>
    </row>
    <row r="493" spans="1:27" ht="13.2">
      <c r="A493" s="216">
        <v>5000000</v>
      </c>
      <c r="D493" t="s">
        <v>719</v>
      </c>
      <c r="F493" s="214"/>
      <c r="G493" s="215"/>
      <c r="I493" s="215">
        <v>5000000</v>
      </c>
      <c r="J493" s="215"/>
      <c r="K493" s="215"/>
      <c r="L493" s="215"/>
      <c r="M493" s="215"/>
      <c r="P493" s="215">
        <f t="shared" si="4"/>
        <v>5000000</v>
      </c>
      <c r="S493" s="217"/>
      <c r="U493">
        <v>5000000</v>
      </c>
      <c r="AA493" s="215"/>
    </row>
    <row r="494" spans="1:27" ht="13.2">
      <c r="A494" s="216"/>
      <c r="D494">
        <v>3977777</v>
      </c>
      <c r="F494" s="214"/>
      <c r="G494" s="215"/>
      <c r="I494" s="215">
        <v>3977777</v>
      </c>
      <c r="J494" s="215"/>
      <c r="K494" s="215"/>
      <c r="L494" s="215"/>
      <c r="M494" s="215"/>
      <c r="P494" s="215">
        <f t="shared" si="4"/>
        <v>3977777</v>
      </c>
      <c r="S494" s="217"/>
      <c r="U494">
        <v>3977777</v>
      </c>
      <c r="AA494" s="215"/>
    </row>
    <row r="495" spans="1:27" ht="13.2">
      <c r="A495" s="216"/>
      <c r="D495">
        <v>2339270</v>
      </c>
      <c r="F495" s="214"/>
      <c r="G495" s="215"/>
      <c r="I495" s="215">
        <v>2339270</v>
      </c>
      <c r="J495" s="215"/>
      <c r="K495" s="215"/>
      <c r="L495" s="215"/>
      <c r="M495" s="215"/>
      <c r="P495" s="215">
        <f t="shared" si="4"/>
        <v>2339270</v>
      </c>
      <c r="S495" s="217"/>
      <c r="U495">
        <v>2339270</v>
      </c>
      <c r="AA495" s="215"/>
    </row>
    <row r="496" spans="1:27" ht="13.2">
      <c r="A496" s="216"/>
      <c r="D496">
        <v>8000000</v>
      </c>
      <c r="F496" s="214"/>
      <c r="G496" s="215"/>
      <c r="I496" s="215">
        <v>8000000</v>
      </c>
      <c r="J496" s="215"/>
      <c r="K496" s="215"/>
      <c r="L496" s="215"/>
      <c r="M496" s="215"/>
      <c r="P496" s="215">
        <f t="shared" si="4"/>
        <v>8000000</v>
      </c>
      <c r="S496" s="217"/>
      <c r="U496">
        <v>8000000</v>
      </c>
      <c r="AA496" s="215"/>
    </row>
    <row r="497" spans="1:27" ht="13.2">
      <c r="A497" s="216"/>
      <c r="D497">
        <v>2800000</v>
      </c>
      <c r="F497" s="214"/>
      <c r="G497" s="215"/>
      <c r="I497" s="215">
        <v>2800000</v>
      </c>
      <c r="J497" s="215"/>
      <c r="K497" s="215"/>
      <c r="L497" s="215"/>
      <c r="M497" s="215"/>
      <c r="P497" s="215">
        <f t="shared" si="4"/>
        <v>2800000</v>
      </c>
      <c r="S497" s="217"/>
      <c r="U497">
        <v>2800000</v>
      </c>
      <c r="AA497" s="215"/>
    </row>
    <row r="498" spans="1:27" ht="13.2">
      <c r="A498" s="216"/>
      <c r="D498">
        <v>4800000</v>
      </c>
      <c r="F498" s="214"/>
      <c r="G498" s="215"/>
      <c r="I498" s="215">
        <v>4800000</v>
      </c>
      <c r="J498" s="215"/>
      <c r="K498" s="215"/>
      <c r="L498" s="215"/>
      <c r="M498" s="215"/>
      <c r="P498" s="215">
        <f t="shared" si="4"/>
        <v>4800000</v>
      </c>
      <c r="S498" s="217"/>
      <c r="U498">
        <v>4800000</v>
      </c>
      <c r="AA498" s="215"/>
    </row>
    <row r="499" spans="1:27" ht="13.2">
      <c r="A499" s="216">
        <v>8300000</v>
      </c>
      <c r="D499" t="s">
        <v>719</v>
      </c>
      <c r="F499" s="214"/>
      <c r="G499" s="215"/>
      <c r="I499" s="215">
        <v>8300000</v>
      </c>
      <c r="J499" s="215"/>
      <c r="K499" s="215"/>
      <c r="L499" s="215"/>
      <c r="M499" s="215"/>
      <c r="P499" s="215">
        <f t="shared" si="4"/>
        <v>8300000</v>
      </c>
      <c r="S499" s="217"/>
      <c r="U499">
        <v>8300000</v>
      </c>
      <c r="AA499" s="215"/>
    </row>
    <row r="500" spans="1:27" ht="13.2">
      <c r="A500" s="216"/>
      <c r="D500">
        <v>52000000</v>
      </c>
      <c r="F500" s="214"/>
      <c r="G500" s="215"/>
      <c r="I500" s="215">
        <v>52000000</v>
      </c>
      <c r="J500" s="215"/>
      <c r="K500" s="215"/>
      <c r="L500" s="215"/>
      <c r="M500" s="215"/>
      <c r="P500" s="215">
        <f t="shared" si="4"/>
        <v>52000000</v>
      </c>
      <c r="S500" s="217"/>
      <c r="U500">
        <v>52000000</v>
      </c>
      <c r="AA500" s="215"/>
    </row>
    <row r="501" spans="1:27" ht="13.2">
      <c r="A501" s="216">
        <v>18350000</v>
      </c>
      <c r="D501" t="s">
        <v>719</v>
      </c>
      <c r="F501" s="214"/>
      <c r="G501" s="215"/>
      <c r="I501" s="215">
        <v>18350000</v>
      </c>
      <c r="J501" s="215"/>
      <c r="K501" s="215"/>
      <c r="L501" s="215"/>
      <c r="M501" s="215"/>
      <c r="P501" s="215">
        <f t="shared" si="4"/>
        <v>18350000</v>
      </c>
      <c r="S501" s="217"/>
      <c r="U501">
        <v>18350000</v>
      </c>
      <c r="AA501" s="215"/>
    </row>
    <row r="502" spans="1:27" ht="13.2">
      <c r="A502" s="216">
        <v>10000000</v>
      </c>
      <c r="D502" t="s">
        <v>719</v>
      </c>
      <c r="F502" s="214"/>
      <c r="G502" s="215"/>
      <c r="I502" s="215">
        <v>10000000</v>
      </c>
      <c r="J502" s="215"/>
      <c r="K502" s="215"/>
      <c r="L502" s="215"/>
      <c r="M502" s="215"/>
      <c r="P502" s="215">
        <f t="shared" si="4"/>
        <v>10000000</v>
      </c>
      <c r="S502" s="217"/>
      <c r="U502">
        <v>10000000</v>
      </c>
      <c r="AA502" s="215"/>
    </row>
    <row r="503" spans="1:27" ht="13.2">
      <c r="A503" s="216"/>
      <c r="D503">
        <v>1680000</v>
      </c>
      <c r="F503" s="214"/>
      <c r="G503" s="215"/>
      <c r="I503" s="215">
        <v>1680000</v>
      </c>
      <c r="J503" s="215"/>
      <c r="K503" s="215"/>
      <c r="L503" s="215"/>
      <c r="M503" s="215"/>
      <c r="P503" s="215">
        <f t="shared" si="4"/>
        <v>1680000</v>
      </c>
      <c r="S503" s="217"/>
      <c r="U503">
        <v>1680000</v>
      </c>
      <c r="AA503" s="215"/>
    </row>
    <row r="504" spans="1:27" ht="13.2">
      <c r="A504" s="216">
        <v>4000000</v>
      </c>
      <c r="D504" t="s">
        <v>719</v>
      </c>
      <c r="F504" s="214"/>
      <c r="G504" s="215"/>
      <c r="I504" s="215">
        <v>4000000</v>
      </c>
      <c r="J504" s="215"/>
      <c r="K504" s="215"/>
      <c r="L504" s="215"/>
      <c r="M504" s="215"/>
      <c r="P504" s="215">
        <f t="shared" si="4"/>
        <v>4000000</v>
      </c>
      <c r="S504" s="217"/>
      <c r="U504">
        <v>4000000</v>
      </c>
      <c r="AA504" s="215"/>
    </row>
    <row r="505" spans="1:27" ht="13.2">
      <c r="A505" s="216"/>
      <c r="D505">
        <v>4000000</v>
      </c>
      <c r="F505" s="214"/>
      <c r="G505" s="215"/>
      <c r="I505" s="215">
        <v>4000000</v>
      </c>
      <c r="J505" s="215"/>
      <c r="K505" s="215"/>
      <c r="L505" s="215"/>
      <c r="M505" s="215"/>
      <c r="P505" s="215">
        <f t="shared" si="4"/>
        <v>4000000</v>
      </c>
      <c r="S505" s="217"/>
      <c r="U505">
        <v>4000000</v>
      </c>
      <c r="AA505" s="215"/>
    </row>
    <row r="506" spans="1:27" ht="13.2">
      <c r="A506" s="216"/>
      <c r="D506">
        <v>5500000</v>
      </c>
      <c r="F506" s="214"/>
      <c r="G506" s="215"/>
      <c r="I506" s="215">
        <v>5500000</v>
      </c>
      <c r="J506" s="215"/>
      <c r="K506" s="215"/>
      <c r="L506" s="215"/>
      <c r="M506" s="215"/>
      <c r="P506" s="215">
        <f t="shared" si="4"/>
        <v>5500000</v>
      </c>
      <c r="S506" s="217"/>
      <c r="U506">
        <v>5500000</v>
      </c>
      <c r="AA506" s="215"/>
    </row>
    <row r="507" spans="1:27" ht="13.2">
      <c r="A507" s="216"/>
      <c r="D507">
        <v>10000000</v>
      </c>
      <c r="F507" s="214"/>
      <c r="G507" s="215"/>
      <c r="I507" s="215">
        <v>10000000</v>
      </c>
      <c r="J507" s="215"/>
      <c r="K507" s="215"/>
      <c r="L507" s="215"/>
      <c r="M507" s="215"/>
      <c r="P507" s="215">
        <f t="shared" si="4"/>
        <v>10000000</v>
      </c>
      <c r="S507" s="217"/>
      <c r="U507">
        <v>10000000</v>
      </c>
      <c r="AA507" s="215"/>
    </row>
    <row r="508" spans="1:27" ht="13.2">
      <c r="A508" s="216"/>
      <c r="D508">
        <v>3200000</v>
      </c>
      <c r="F508" s="214"/>
      <c r="G508" s="215"/>
      <c r="I508" s="215">
        <v>3200000</v>
      </c>
      <c r="J508" s="215"/>
      <c r="K508" s="215"/>
      <c r="L508" s="215"/>
      <c r="M508" s="215"/>
      <c r="P508" s="215">
        <f t="shared" si="4"/>
        <v>3200000</v>
      </c>
      <c r="S508" s="217"/>
      <c r="U508">
        <v>3200000</v>
      </c>
      <c r="AA508" s="215"/>
    </row>
    <row r="509" spans="1:27" ht="13.2">
      <c r="A509" s="216">
        <v>80384390</v>
      </c>
      <c r="D509" t="s">
        <v>719</v>
      </c>
      <c r="F509" s="214"/>
      <c r="G509" s="215"/>
      <c r="I509" s="215">
        <v>80384390</v>
      </c>
      <c r="J509" s="215"/>
      <c r="K509" s="215"/>
      <c r="L509" s="215"/>
      <c r="M509" s="215"/>
      <c r="P509" t="str">
        <f t="shared" si="4"/>
        <v/>
      </c>
      <c r="S509" s="217"/>
      <c r="U509" t="s">
        <v>719</v>
      </c>
      <c r="AA509" s="215"/>
    </row>
    <row r="510" spans="1:27" ht="13.2">
      <c r="A510" s="216">
        <v>10998984</v>
      </c>
      <c r="D510" t="s">
        <v>719</v>
      </c>
      <c r="F510" s="214"/>
      <c r="G510" s="215"/>
      <c r="I510" s="215">
        <v>10998984</v>
      </c>
      <c r="J510" s="215"/>
      <c r="K510" s="215"/>
      <c r="L510" s="215"/>
      <c r="M510" s="215"/>
      <c r="P510" s="215">
        <f t="shared" si="4"/>
        <v>10998984</v>
      </c>
      <c r="S510" s="217"/>
      <c r="U510">
        <v>10998984</v>
      </c>
      <c r="AA510" s="215"/>
    </row>
    <row r="511" spans="1:27" ht="13.2">
      <c r="A511" s="216">
        <v>3000000</v>
      </c>
      <c r="D511" t="s">
        <v>719</v>
      </c>
      <c r="F511" s="214"/>
      <c r="G511" s="215"/>
      <c r="I511" s="215">
        <v>3000000</v>
      </c>
      <c r="J511" s="215"/>
      <c r="K511" s="215"/>
      <c r="L511" s="215"/>
      <c r="M511" s="215"/>
      <c r="P511" s="215">
        <f t="shared" si="4"/>
        <v>3000000</v>
      </c>
      <c r="S511" s="217"/>
      <c r="U511">
        <v>3000000</v>
      </c>
      <c r="AA511" s="215"/>
    </row>
    <row r="512" spans="1:27" ht="13.2">
      <c r="A512" s="216">
        <v>2448000</v>
      </c>
      <c r="D512" t="s">
        <v>719</v>
      </c>
      <c r="F512" s="214"/>
      <c r="G512" s="215"/>
      <c r="I512" s="215">
        <v>2448000</v>
      </c>
      <c r="J512" s="215"/>
      <c r="K512" s="215"/>
      <c r="L512" s="215"/>
      <c r="M512" s="215"/>
      <c r="P512" s="215">
        <f t="shared" si="4"/>
        <v>2448000</v>
      </c>
      <c r="S512" s="217"/>
      <c r="U512">
        <v>2448000</v>
      </c>
      <c r="AA512" s="215"/>
    </row>
    <row r="513" spans="1:27" ht="13.2">
      <c r="A513" s="216"/>
      <c r="D513">
        <v>10800000</v>
      </c>
      <c r="F513" s="214"/>
      <c r="G513" s="215"/>
      <c r="I513" s="215">
        <v>10800000</v>
      </c>
      <c r="J513" s="215"/>
      <c r="K513" s="215"/>
      <c r="L513" s="215"/>
      <c r="M513" s="215"/>
      <c r="P513" s="215">
        <f t="shared" si="4"/>
        <v>10800000</v>
      </c>
      <c r="S513" s="217"/>
      <c r="U513">
        <v>10800000</v>
      </c>
      <c r="AA513" s="215"/>
    </row>
    <row r="514" spans="1:27" ht="13.2">
      <c r="A514" s="216"/>
      <c r="D514">
        <v>4000000</v>
      </c>
      <c r="F514" s="214"/>
      <c r="G514" s="215"/>
      <c r="I514" s="215">
        <v>4000000</v>
      </c>
      <c r="J514" s="215"/>
      <c r="K514" s="215"/>
      <c r="L514" s="215"/>
      <c r="M514" s="215"/>
      <c r="P514" s="215">
        <f t="shared" si="4"/>
        <v>4000000</v>
      </c>
      <c r="S514" s="217"/>
      <c r="U514">
        <v>4000000</v>
      </c>
      <c r="AA514" s="215"/>
    </row>
    <row r="515" spans="1:27" ht="13.2">
      <c r="A515" s="216">
        <v>15600000</v>
      </c>
      <c r="D515" t="s">
        <v>719</v>
      </c>
      <c r="F515" s="214"/>
      <c r="G515" s="215"/>
      <c r="I515" s="215">
        <v>15600000</v>
      </c>
      <c r="J515" s="215"/>
      <c r="K515" s="215"/>
      <c r="L515" s="215"/>
      <c r="M515" s="215"/>
      <c r="P515" s="215">
        <f t="shared" si="4"/>
        <v>15600000</v>
      </c>
      <c r="S515" s="217"/>
      <c r="U515">
        <v>15600000</v>
      </c>
      <c r="AA515" s="215"/>
    </row>
    <row r="516" spans="1:27" ht="13.2">
      <c r="A516" s="216"/>
      <c r="D516">
        <v>1600000</v>
      </c>
      <c r="F516" s="214"/>
      <c r="G516" s="215"/>
      <c r="I516" s="215">
        <v>1600000</v>
      </c>
      <c r="J516" s="215"/>
      <c r="K516" s="215"/>
      <c r="L516" s="215"/>
      <c r="M516" s="215"/>
      <c r="P516" s="215">
        <f t="shared" si="4"/>
        <v>1600000</v>
      </c>
      <c r="S516" s="217"/>
      <c r="U516">
        <v>1600000</v>
      </c>
      <c r="AA516" s="215"/>
    </row>
    <row r="517" spans="1:27" ht="13.2">
      <c r="A517" s="216">
        <v>67934930</v>
      </c>
      <c r="D517" t="s">
        <v>719</v>
      </c>
      <c r="F517" s="214"/>
      <c r="G517" s="215"/>
      <c r="I517" s="215">
        <v>67934930</v>
      </c>
      <c r="J517" s="215"/>
      <c r="K517" s="215"/>
      <c r="L517" s="215"/>
      <c r="M517" s="215"/>
      <c r="P517" s="215">
        <f t="shared" si="4"/>
        <v>67934930</v>
      </c>
      <c r="S517" s="217"/>
      <c r="U517">
        <v>67934930</v>
      </c>
      <c r="AA517" s="215"/>
    </row>
    <row r="518" spans="1:27" ht="13.2">
      <c r="A518" s="216">
        <v>2970000</v>
      </c>
      <c r="D518" t="s">
        <v>719</v>
      </c>
      <c r="F518" s="214"/>
      <c r="G518" s="215"/>
      <c r="I518" s="215">
        <v>2970000</v>
      </c>
      <c r="J518" s="215"/>
      <c r="K518" s="215"/>
      <c r="L518" s="215"/>
      <c r="M518" s="215"/>
      <c r="P518" s="215">
        <f t="shared" si="4"/>
        <v>2970000</v>
      </c>
      <c r="S518" s="217"/>
      <c r="U518">
        <v>2970000</v>
      </c>
      <c r="AA518" s="215"/>
    </row>
    <row r="519" spans="1:27" ht="13.2">
      <c r="A519" s="216"/>
      <c r="D519">
        <v>10000000</v>
      </c>
      <c r="F519" s="214"/>
      <c r="G519" s="215"/>
      <c r="I519" s="215">
        <v>10000000</v>
      </c>
      <c r="J519" s="215"/>
      <c r="K519" s="215"/>
      <c r="L519" s="215"/>
      <c r="M519" s="215"/>
      <c r="P519" s="215">
        <f t="shared" si="4"/>
        <v>10000000</v>
      </c>
      <c r="S519" s="217"/>
      <c r="U519">
        <v>10000000</v>
      </c>
      <c r="AA519" s="215"/>
    </row>
    <row r="520" spans="1:27" ht="13.2">
      <c r="A520" s="216">
        <v>4200000</v>
      </c>
      <c r="D520" t="s">
        <v>719</v>
      </c>
      <c r="F520" s="214"/>
      <c r="G520" s="215"/>
      <c r="I520" s="215">
        <v>4200000</v>
      </c>
      <c r="J520" s="215"/>
      <c r="K520" s="215"/>
      <c r="L520" s="215"/>
      <c r="M520" s="215"/>
      <c r="P520" s="215">
        <f t="shared" si="4"/>
        <v>4200000</v>
      </c>
      <c r="S520" s="217"/>
      <c r="U520">
        <v>4200000</v>
      </c>
      <c r="AA520" s="215"/>
    </row>
    <row r="521" spans="1:27" ht="13.2">
      <c r="A521" s="216">
        <v>5436506</v>
      </c>
      <c r="D521" t="s">
        <v>719</v>
      </c>
      <c r="F521" s="214"/>
      <c r="G521" s="215"/>
      <c r="I521" s="215">
        <v>5436506</v>
      </c>
      <c r="J521" s="215"/>
      <c r="K521" s="215"/>
      <c r="L521" s="215"/>
      <c r="M521" s="215"/>
      <c r="P521" s="215">
        <f t="shared" si="4"/>
        <v>5436506</v>
      </c>
      <c r="S521" s="217"/>
      <c r="U521">
        <v>5436506</v>
      </c>
      <c r="AA521" s="215"/>
    </row>
    <row r="522" spans="1:27" ht="13.2">
      <c r="A522" s="216">
        <v>6000000</v>
      </c>
      <c r="D522" t="s">
        <v>719</v>
      </c>
      <c r="F522" s="214"/>
      <c r="G522" s="215"/>
      <c r="I522" s="215">
        <v>6000000</v>
      </c>
      <c r="J522" s="215"/>
      <c r="K522" s="215"/>
      <c r="L522" s="215"/>
      <c r="M522" s="215"/>
      <c r="P522" s="215">
        <f t="shared" si="4"/>
        <v>6000000</v>
      </c>
      <c r="S522" s="217"/>
      <c r="U522">
        <v>6000000</v>
      </c>
      <c r="AA522" s="215"/>
    </row>
    <row r="523" spans="1:27" ht="13.2">
      <c r="A523" s="216">
        <v>5000000</v>
      </c>
      <c r="D523" t="s">
        <v>719</v>
      </c>
      <c r="F523" s="214"/>
      <c r="G523" s="215"/>
      <c r="I523" s="215">
        <v>5000000</v>
      </c>
      <c r="J523" s="215"/>
      <c r="K523" s="215"/>
      <c r="L523" s="215"/>
      <c r="M523" s="215"/>
      <c r="P523" s="215">
        <f t="shared" si="4"/>
        <v>5000000</v>
      </c>
      <c r="S523" s="217"/>
      <c r="U523">
        <v>5000000</v>
      </c>
      <c r="AA523" s="215"/>
    </row>
    <row r="524" spans="1:27" ht="13.2">
      <c r="A524" s="216">
        <v>9000000</v>
      </c>
      <c r="D524" t="s">
        <v>719</v>
      </c>
      <c r="F524" s="214"/>
      <c r="G524" s="215"/>
      <c r="I524" s="215">
        <v>9000000</v>
      </c>
      <c r="J524" s="215"/>
      <c r="K524" s="215"/>
      <c r="L524" s="215"/>
      <c r="M524" s="215"/>
      <c r="P524" s="215">
        <f t="shared" si="4"/>
        <v>9000000</v>
      </c>
      <c r="S524" s="217"/>
      <c r="U524">
        <v>9000000</v>
      </c>
      <c r="AA524" s="215"/>
    </row>
    <row r="525" spans="1:27" ht="13.2">
      <c r="A525" s="216">
        <v>6030000</v>
      </c>
      <c r="D525" t="s">
        <v>719</v>
      </c>
      <c r="F525" s="214"/>
      <c r="G525" s="215"/>
      <c r="I525" s="215">
        <v>6030000</v>
      </c>
      <c r="J525" s="215"/>
      <c r="K525" s="215"/>
      <c r="L525" s="215"/>
      <c r="M525" s="215"/>
      <c r="P525" s="215">
        <f t="shared" si="4"/>
        <v>6030000</v>
      </c>
      <c r="S525" s="217"/>
      <c r="U525">
        <v>6030000</v>
      </c>
      <c r="AA525" s="215"/>
    </row>
    <row r="526" spans="1:27" ht="13.2">
      <c r="A526" s="216">
        <v>6250010</v>
      </c>
      <c r="D526" t="s">
        <v>719</v>
      </c>
      <c r="F526" s="214"/>
      <c r="G526" s="215"/>
      <c r="I526" s="215">
        <v>6250010</v>
      </c>
      <c r="J526" s="215"/>
      <c r="K526" s="215"/>
      <c r="L526" s="215"/>
      <c r="M526" s="215"/>
      <c r="P526" s="215">
        <f t="shared" si="4"/>
        <v>6250010</v>
      </c>
      <c r="S526" s="217"/>
      <c r="U526">
        <v>6250010</v>
      </c>
      <c r="AA526" s="215"/>
    </row>
    <row r="527" spans="1:27" ht="13.2">
      <c r="A527" s="216">
        <v>2500000</v>
      </c>
      <c r="D527" t="s">
        <v>719</v>
      </c>
      <c r="F527" s="214"/>
      <c r="G527" s="215"/>
      <c r="I527" s="215">
        <v>2500000</v>
      </c>
      <c r="J527" s="215"/>
      <c r="K527" s="215"/>
      <c r="L527" s="215"/>
      <c r="M527" s="215"/>
      <c r="P527" s="215">
        <f t="shared" si="4"/>
        <v>2500000</v>
      </c>
      <c r="S527" s="217"/>
      <c r="U527">
        <v>2500000</v>
      </c>
      <c r="AA527" s="215"/>
    </row>
    <row r="528" spans="1:27" ht="13.2">
      <c r="A528" s="216"/>
      <c r="D528">
        <v>3000000</v>
      </c>
      <c r="F528" s="214"/>
      <c r="G528" s="215"/>
      <c r="I528" s="215">
        <v>3000000</v>
      </c>
      <c r="J528" s="215"/>
      <c r="K528" s="215"/>
      <c r="L528" s="215"/>
      <c r="M528" s="215"/>
      <c r="P528" s="215">
        <f t="shared" si="4"/>
        <v>3000000</v>
      </c>
      <c r="S528" s="217"/>
      <c r="U528">
        <v>3000000</v>
      </c>
      <c r="AA528" s="215"/>
    </row>
    <row r="529" spans="1:27" ht="13.2">
      <c r="A529" s="216">
        <v>8600000</v>
      </c>
      <c r="D529" t="s">
        <v>719</v>
      </c>
      <c r="F529" s="214"/>
      <c r="G529" s="215"/>
      <c r="I529" s="215">
        <v>8600000</v>
      </c>
      <c r="J529" s="215"/>
      <c r="K529" s="215"/>
      <c r="L529" s="215"/>
      <c r="M529" s="215"/>
      <c r="P529" s="215">
        <f t="shared" si="4"/>
        <v>8600000</v>
      </c>
      <c r="S529" s="217"/>
      <c r="U529">
        <v>8600000</v>
      </c>
      <c r="AA529" s="215"/>
    </row>
    <row r="530" spans="1:27" ht="13.2">
      <c r="A530" s="216">
        <v>7000000</v>
      </c>
      <c r="D530" t="s">
        <v>719</v>
      </c>
      <c r="F530" s="214"/>
      <c r="G530" s="215"/>
      <c r="I530" s="215">
        <v>7000000</v>
      </c>
      <c r="J530" s="215"/>
      <c r="K530" s="215"/>
      <c r="L530" s="215"/>
      <c r="M530" s="215"/>
      <c r="P530" s="215">
        <f t="shared" si="4"/>
        <v>7000000</v>
      </c>
      <c r="S530" s="217"/>
      <c r="U530">
        <v>7000000</v>
      </c>
      <c r="AA530" s="215"/>
    </row>
    <row r="531" spans="1:27" ht="13.2">
      <c r="A531" s="216">
        <v>8000000</v>
      </c>
      <c r="D531" t="s">
        <v>719</v>
      </c>
      <c r="F531" s="214"/>
      <c r="G531" s="215"/>
      <c r="I531" s="215">
        <v>8000000</v>
      </c>
      <c r="J531" s="215"/>
      <c r="K531" s="215"/>
      <c r="L531" s="215"/>
      <c r="M531" s="215"/>
      <c r="P531" s="215">
        <f t="shared" si="4"/>
        <v>8000000</v>
      </c>
      <c r="S531" s="217"/>
      <c r="U531">
        <v>8000000</v>
      </c>
      <c r="AA531" s="215"/>
    </row>
    <row r="532" spans="1:27" ht="13.2">
      <c r="A532" s="216"/>
      <c r="D532">
        <v>450000</v>
      </c>
      <c r="F532" s="214"/>
      <c r="G532" s="215"/>
      <c r="I532" s="215">
        <v>450000</v>
      </c>
      <c r="J532" s="215"/>
      <c r="K532" s="215"/>
      <c r="L532" s="215"/>
      <c r="M532" s="215"/>
      <c r="P532" s="215">
        <f t="shared" si="4"/>
        <v>450000</v>
      </c>
      <c r="S532" s="217"/>
      <c r="U532">
        <v>450000</v>
      </c>
      <c r="AA532" s="215"/>
    </row>
    <row r="533" spans="1:27" ht="13.2">
      <c r="A533" s="216"/>
      <c r="D533">
        <v>464285</v>
      </c>
      <c r="F533" s="214"/>
      <c r="G533" s="215"/>
      <c r="I533" s="215">
        <v>464285</v>
      </c>
      <c r="J533" s="215"/>
      <c r="K533" s="215"/>
      <c r="L533" s="215"/>
      <c r="M533" s="215"/>
      <c r="P533" s="215">
        <f t="shared" si="4"/>
        <v>464285</v>
      </c>
      <c r="S533" s="217"/>
      <c r="U533">
        <v>464285</v>
      </c>
      <c r="AA533" s="215"/>
    </row>
    <row r="534" spans="1:27" ht="13.2">
      <c r="A534" s="216">
        <v>2660000</v>
      </c>
      <c r="D534" t="s">
        <v>719</v>
      </c>
      <c r="F534" s="214"/>
      <c r="G534" s="215"/>
      <c r="I534" s="215">
        <v>2660000</v>
      </c>
      <c r="J534" s="215"/>
      <c r="K534" s="215"/>
      <c r="L534" s="215"/>
      <c r="M534" s="215"/>
      <c r="P534" s="215">
        <f t="shared" si="4"/>
        <v>2660000</v>
      </c>
      <c r="S534" s="217"/>
      <c r="U534">
        <v>2660000</v>
      </c>
      <c r="AA534" s="215"/>
    </row>
    <row r="535" spans="1:27" ht="13.2">
      <c r="A535" s="216">
        <v>25000000</v>
      </c>
      <c r="D535" t="s">
        <v>719</v>
      </c>
      <c r="F535" s="214"/>
      <c r="G535" s="215"/>
      <c r="I535" s="215">
        <v>25000000</v>
      </c>
      <c r="J535" s="215"/>
      <c r="K535" s="215"/>
      <c r="L535" s="215"/>
      <c r="M535" s="215"/>
      <c r="P535" s="215">
        <f t="shared" si="4"/>
        <v>25000000</v>
      </c>
      <c r="S535" s="217"/>
      <c r="U535">
        <v>25000000</v>
      </c>
      <c r="AA535" s="215"/>
    </row>
    <row r="536" spans="1:27" ht="13.2">
      <c r="A536" s="216">
        <v>8996400</v>
      </c>
      <c r="D536" t="s">
        <v>719</v>
      </c>
      <c r="F536" s="214"/>
      <c r="G536" s="215"/>
      <c r="I536" s="215">
        <v>8996400</v>
      </c>
      <c r="J536" s="215"/>
      <c r="K536" s="215"/>
      <c r="L536" s="215"/>
      <c r="M536" s="215"/>
      <c r="P536" s="215">
        <f t="shared" si="4"/>
        <v>8996400</v>
      </c>
      <c r="S536" s="217"/>
      <c r="U536">
        <v>8996400</v>
      </c>
      <c r="AA536" s="215"/>
    </row>
    <row r="537" spans="1:27" ht="13.2">
      <c r="A537">
        <v>51633010</v>
      </c>
      <c r="D537" t="s">
        <v>719</v>
      </c>
      <c r="F537" s="214"/>
      <c r="G537" s="215"/>
      <c r="I537" s="215">
        <v>51633010</v>
      </c>
      <c r="J537" s="215"/>
      <c r="K537" s="215"/>
      <c r="L537" s="215"/>
      <c r="M537" s="215"/>
      <c r="P537" s="215">
        <f t="shared" si="4"/>
        <v>51633010</v>
      </c>
      <c r="S537" s="217"/>
      <c r="U537">
        <v>51633010</v>
      </c>
      <c r="AA537" s="215"/>
    </row>
    <row r="538" spans="1:27" ht="13.2">
      <c r="D538">
        <v>4000000</v>
      </c>
      <c r="F538" s="214"/>
      <c r="G538" s="215"/>
      <c r="I538" s="215">
        <v>4000000</v>
      </c>
      <c r="J538" s="215"/>
      <c r="K538" s="215"/>
      <c r="L538" s="215"/>
      <c r="M538" s="215"/>
      <c r="P538" s="215">
        <f t="shared" si="4"/>
        <v>4000000</v>
      </c>
      <c r="S538" s="217"/>
      <c r="U538">
        <v>4000000</v>
      </c>
      <c r="AA538" s="215"/>
    </row>
    <row r="539" spans="1:27" ht="13.2">
      <c r="F539" s="214"/>
      <c r="G539" s="215"/>
      <c r="J539" s="215"/>
      <c r="K539" s="215"/>
      <c r="L539" s="215"/>
      <c r="M539" s="215"/>
      <c r="S539" s="217"/>
      <c r="AA539" s="215"/>
    </row>
    <row r="540" spans="1:27" ht="13.2">
      <c r="F540" s="214"/>
      <c r="G540" s="215"/>
      <c r="J540" s="215"/>
      <c r="K540" s="215"/>
      <c r="L540" s="215"/>
      <c r="M540" s="215"/>
      <c r="S540" s="217"/>
      <c r="AA540" s="215"/>
    </row>
    <row r="541" spans="1:27" ht="13.2">
      <c r="F541" s="214"/>
      <c r="G541" s="215"/>
      <c r="J541" s="215"/>
      <c r="K541" s="215"/>
      <c r="L541" s="215"/>
      <c r="M541" s="215"/>
      <c r="S541" s="217"/>
      <c r="AA541" s="215"/>
    </row>
    <row r="542" spans="1:27" ht="13.2">
      <c r="F542" s="214"/>
      <c r="G542" s="215"/>
      <c r="J542" s="215"/>
      <c r="K542" s="215"/>
      <c r="L542" s="215"/>
      <c r="M542" s="215"/>
      <c r="S542" s="217"/>
      <c r="AA542" s="215"/>
    </row>
    <row r="543" spans="1:27" ht="13.2">
      <c r="F543" s="214"/>
      <c r="G543" s="215"/>
      <c r="J543" s="215"/>
      <c r="K543" s="215"/>
      <c r="L543" s="215"/>
      <c r="M543" s="215"/>
      <c r="S543" s="217"/>
      <c r="AA543" s="215"/>
    </row>
    <row r="544" spans="1:27" ht="13.2">
      <c r="F544" s="214"/>
      <c r="G544" s="215"/>
      <c r="J544" s="215"/>
      <c r="K544" s="215"/>
      <c r="L544" s="215"/>
      <c r="M544" s="215"/>
      <c r="S544" s="217"/>
      <c r="AA544" s="215"/>
    </row>
    <row r="545" spans="6:27" ht="13.2">
      <c r="F545" s="214"/>
      <c r="G545" s="215"/>
      <c r="J545" s="215"/>
      <c r="K545" s="215"/>
      <c r="L545" s="215"/>
      <c r="M545" s="215"/>
      <c r="S545" s="217"/>
      <c r="AA545" s="215"/>
    </row>
    <row r="546" spans="6:27" ht="13.2">
      <c r="F546" s="214"/>
      <c r="G546" s="215"/>
      <c r="J546" s="215"/>
      <c r="K546" s="215"/>
      <c r="L546" s="215"/>
      <c r="M546" s="215"/>
      <c r="S546" s="217"/>
      <c r="AA546" s="215"/>
    </row>
    <row r="547" spans="6:27" ht="13.2">
      <c r="F547" s="214"/>
      <c r="G547" s="215"/>
      <c r="J547" s="215"/>
      <c r="K547" s="215"/>
      <c r="L547" s="215"/>
      <c r="M547" s="215"/>
      <c r="S547" s="217"/>
      <c r="AA547" s="215"/>
    </row>
    <row r="548" spans="6:27" ht="13.2">
      <c r="F548" s="214"/>
      <c r="G548" s="215"/>
      <c r="J548" s="215"/>
      <c r="K548" s="215"/>
      <c r="L548" s="215"/>
      <c r="M548" s="215"/>
      <c r="S548" s="217"/>
      <c r="AA548" s="215"/>
    </row>
    <row r="549" spans="6:27" ht="13.2">
      <c r="F549" s="214"/>
      <c r="G549" s="215"/>
      <c r="J549" s="215"/>
      <c r="K549" s="215"/>
      <c r="L549" s="215"/>
      <c r="M549" s="215"/>
      <c r="S549" s="217"/>
      <c r="AA549" s="215"/>
    </row>
    <row r="550" spans="6:27" ht="13.2">
      <c r="F550" s="214"/>
      <c r="G550" s="215"/>
      <c r="J550" s="215"/>
      <c r="K550" s="215"/>
      <c r="L550" s="215"/>
      <c r="M550" s="215"/>
      <c r="S550" s="217"/>
      <c r="AA550" s="215"/>
    </row>
    <row r="551" spans="6:27" ht="13.2">
      <c r="F551" s="214"/>
      <c r="G551" s="215"/>
      <c r="J551" s="215"/>
      <c r="K551" s="215"/>
      <c r="L551" s="215"/>
      <c r="M551" s="215"/>
      <c r="S551" s="217"/>
      <c r="AA551" s="215"/>
    </row>
    <row r="552" spans="6:27" ht="13.2">
      <c r="F552" s="214"/>
      <c r="G552" s="215"/>
      <c r="J552" s="215"/>
      <c r="K552" s="215"/>
      <c r="L552" s="215"/>
      <c r="M552" s="215"/>
      <c r="S552" s="217"/>
      <c r="AA552" s="215"/>
    </row>
    <row r="553" spans="6:27" ht="13.2">
      <c r="F553" s="214"/>
      <c r="G553" s="215"/>
      <c r="J553" s="215"/>
      <c r="K553" s="215"/>
      <c r="L553" s="215"/>
      <c r="M553" s="215"/>
      <c r="S553" s="217"/>
      <c r="AA553" s="215"/>
    </row>
    <row r="554" spans="6:27" ht="13.2">
      <c r="F554" s="214"/>
      <c r="G554" s="215"/>
      <c r="J554" s="215"/>
      <c r="K554" s="215"/>
      <c r="L554" s="215"/>
      <c r="M554" s="215"/>
      <c r="S554" s="217"/>
      <c r="AA554" s="215"/>
    </row>
    <row r="555" spans="6:27" ht="13.2">
      <c r="F555" s="214"/>
      <c r="G555" s="215"/>
      <c r="J555" s="215"/>
      <c r="K555" s="215"/>
      <c r="L555" s="215"/>
      <c r="M555" s="215"/>
      <c r="S555" s="217"/>
      <c r="AA555" s="215"/>
    </row>
    <row r="556" spans="6:27" ht="13.2">
      <c r="F556" s="214"/>
      <c r="G556" s="215"/>
      <c r="J556" s="215"/>
      <c r="K556" s="215"/>
      <c r="L556" s="215"/>
      <c r="M556" s="215"/>
      <c r="S556" s="217"/>
      <c r="AA556" s="215"/>
    </row>
    <row r="557" spans="6:27" ht="13.2">
      <c r="F557" s="214"/>
      <c r="G557" s="215"/>
      <c r="J557" s="215"/>
      <c r="K557" s="215"/>
      <c r="L557" s="215"/>
      <c r="M557" s="215"/>
      <c r="S557" s="217"/>
      <c r="AA557" s="215"/>
    </row>
    <row r="558" spans="6:27" ht="13.2">
      <c r="F558" s="214"/>
      <c r="G558" s="215"/>
      <c r="J558" s="215"/>
      <c r="K558" s="215"/>
      <c r="L558" s="215"/>
      <c r="M558" s="215"/>
      <c r="S558" s="217"/>
      <c r="AA558" s="215"/>
    </row>
    <row r="559" spans="6:27" ht="13.2">
      <c r="F559" s="214"/>
      <c r="G559" s="215"/>
      <c r="J559" s="215"/>
      <c r="K559" s="215"/>
      <c r="L559" s="215"/>
      <c r="M559" s="215"/>
      <c r="S559" s="217"/>
      <c r="AA559" s="215"/>
    </row>
    <row r="560" spans="6:27" ht="13.2">
      <c r="F560" s="214"/>
      <c r="G560" s="215"/>
      <c r="J560" s="215"/>
      <c r="K560" s="215"/>
      <c r="L560" s="215"/>
      <c r="M560" s="215"/>
      <c r="S560" s="217"/>
      <c r="AA560" s="215"/>
    </row>
    <row r="561" spans="6:27" ht="13.2">
      <c r="F561" s="214"/>
      <c r="G561" s="215"/>
      <c r="J561" s="215"/>
      <c r="K561" s="215"/>
      <c r="L561" s="215"/>
      <c r="M561" s="215"/>
      <c r="S561" s="217"/>
      <c r="AA561" s="215"/>
    </row>
    <row r="562" spans="6:27" ht="13.2">
      <c r="F562" s="214"/>
      <c r="G562" s="215"/>
      <c r="J562" s="215"/>
      <c r="K562" s="215"/>
      <c r="L562" s="215"/>
      <c r="M562" s="215"/>
      <c r="S562" s="217"/>
      <c r="AA562" s="215"/>
    </row>
    <row r="563" spans="6:27" ht="13.2">
      <c r="F563" s="214"/>
      <c r="G563" s="215"/>
      <c r="J563" s="215"/>
      <c r="K563" s="215"/>
      <c r="L563" s="215"/>
      <c r="M563" s="215"/>
      <c r="S563" s="217"/>
      <c r="AA563" s="215"/>
    </row>
    <row r="564" spans="6:27" ht="13.2">
      <c r="F564" s="214"/>
      <c r="G564" s="215"/>
      <c r="J564" s="215"/>
      <c r="K564" s="215"/>
      <c r="L564" s="215"/>
      <c r="M564" s="215"/>
      <c r="S564" s="217"/>
      <c r="AA564" s="215"/>
    </row>
    <row r="565" spans="6:27" ht="13.2">
      <c r="F565" s="214"/>
      <c r="G565" s="215"/>
      <c r="J565" s="215"/>
      <c r="K565" s="215"/>
      <c r="L565" s="215"/>
      <c r="M565" s="215"/>
      <c r="S565" s="217"/>
      <c r="AA565" s="215"/>
    </row>
    <row r="566" spans="6:27" ht="13.2">
      <c r="F566" s="214"/>
      <c r="G566" s="215"/>
      <c r="J566" s="215"/>
      <c r="K566" s="215"/>
      <c r="L566" s="215"/>
      <c r="M566" s="215"/>
      <c r="S566" s="217"/>
      <c r="AA566" s="215"/>
    </row>
    <row r="567" spans="6:27" ht="13.2">
      <c r="F567" s="214"/>
      <c r="G567" s="215"/>
      <c r="J567" s="215"/>
      <c r="K567" s="215"/>
      <c r="L567" s="215"/>
      <c r="M567" s="215"/>
      <c r="S567" s="217"/>
      <c r="AA567" s="215"/>
    </row>
    <row r="568" spans="6:27" ht="13.2">
      <c r="F568" s="214"/>
      <c r="G568" s="215"/>
      <c r="J568" s="215"/>
      <c r="K568" s="215"/>
      <c r="L568" s="215"/>
      <c r="M568" s="215"/>
      <c r="S568" s="217"/>
      <c r="AA568" s="215"/>
    </row>
    <row r="569" spans="6:27" ht="13.2">
      <c r="F569" s="214"/>
      <c r="G569" s="215"/>
      <c r="J569" s="215"/>
      <c r="K569" s="215"/>
      <c r="L569" s="215"/>
      <c r="M569" s="215"/>
      <c r="S569" s="217"/>
      <c r="AA569" s="215"/>
    </row>
    <row r="570" spans="6:27" ht="13.2">
      <c r="F570" s="214"/>
      <c r="G570" s="215"/>
      <c r="J570" s="215"/>
      <c r="K570" s="215"/>
      <c r="L570" s="215"/>
      <c r="M570" s="215"/>
      <c r="S570" s="217"/>
      <c r="AA570" s="215"/>
    </row>
    <row r="571" spans="6:27" ht="13.2">
      <c r="F571" s="214"/>
      <c r="G571" s="215"/>
      <c r="J571" s="215"/>
      <c r="K571" s="215"/>
      <c r="L571" s="215"/>
      <c r="M571" s="215"/>
      <c r="S571" s="217"/>
      <c r="AA571" s="215"/>
    </row>
    <row r="572" spans="6:27" ht="13.2">
      <c r="F572" s="214"/>
      <c r="G572" s="215"/>
      <c r="J572" s="215"/>
      <c r="K572" s="215"/>
      <c r="L572" s="215"/>
      <c r="M572" s="215"/>
      <c r="S572" s="217"/>
      <c r="AA572" s="215"/>
    </row>
    <row r="573" spans="6:27" ht="13.2">
      <c r="F573" s="214"/>
      <c r="G573" s="215"/>
      <c r="J573" s="215"/>
      <c r="K573" s="215"/>
      <c r="L573" s="215"/>
      <c r="M573" s="215"/>
      <c r="S573" s="217"/>
      <c r="AA573" s="215"/>
    </row>
    <row r="574" spans="6:27" ht="13.2">
      <c r="F574" s="214"/>
      <c r="G574" s="215"/>
      <c r="J574" s="215"/>
      <c r="K574" s="215"/>
      <c r="L574" s="215"/>
      <c r="M574" s="215"/>
      <c r="S574" s="217"/>
      <c r="AA574" s="215"/>
    </row>
    <row r="575" spans="6:27" ht="13.2">
      <c r="F575" s="214"/>
      <c r="G575" s="215"/>
      <c r="J575" s="215"/>
      <c r="K575" s="215"/>
      <c r="L575" s="215"/>
      <c r="M575" s="215"/>
      <c r="S575" s="217"/>
      <c r="AA575" s="215"/>
    </row>
    <row r="576" spans="6:27" ht="13.2">
      <c r="F576" s="214"/>
      <c r="G576" s="215"/>
      <c r="J576" s="215"/>
      <c r="K576" s="215"/>
      <c r="L576" s="215"/>
      <c r="M576" s="215"/>
      <c r="S576" s="217"/>
      <c r="AA576" s="215"/>
    </row>
    <row r="577" spans="6:27" ht="13.2">
      <c r="F577" s="214"/>
      <c r="G577" s="215"/>
      <c r="J577" s="215"/>
      <c r="K577" s="215"/>
      <c r="L577" s="215"/>
      <c r="M577" s="215"/>
      <c r="S577" s="217"/>
      <c r="AA577" s="215"/>
    </row>
    <row r="578" spans="6:27" ht="13.2">
      <c r="F578" s="214"/>
      <c r="G578" s="215"/>
      <c r="J578" s="215"/>
      <c r="K578" s="215"/>
      <c r="L578" s="215"/>
      <c r="M578" s="215"/>
      <c r="S578" s="217"/>
      <c r="AA578" s="215"/>
    </row>
    <row r="579" spans="6:27" ht="13.2">
      <c r="F579" s="214"/>
      <c r="G579" s="215"/>
      <c r="J579" s="215"/>
      <c r="K579" s="215"/>
      <c r="L579" s="215"/>
      <c r="M579" s="215"/>
      <c r="S579" s="217"/>
      <c r="AA579" s="215"/>
    </row>
    <row r="580" spans="6:27" ht="13.2">
      <c r="F580" s="214"/>
      <c r="G580" s="215"/>
      <c r="J580" s="215"/>
      <c r="K580" s="215"/>
      <c r="L580" s="215"/>
      <c r="M580" s="215"/>
      <c r="S580" s="217"/>
      <c r="AA580" s="215"/>
    </row>
    <row r="581" spans="6:27" ht="13.2">
      <c r="F581" s="214"/>
      <c r="G581" s="215"/>
      <c r="J581" s="215"/>
      <c r="K581" s="215"/>
      <c r="L581" s="215"/>
      <c r="M581" s="215"/>
      <c r="S581" s="217"/>
      <c r="AA581" s="215"/>
    </row>
    <row r="582" spans="6:27" ht="13.2">
      <c r="F582" s="214"/>
      <c r="G582" s="215"/>
      <c r="J582" s="215"/>
      <c r="K582" s="215"/>
      <c r="L582" s="215"/>
      <c r="M582" s="215"/>
      <c r="S582" s="217"/>
      <c r="AA582" s="215"/>
    </row>
    <row r="583" spans="6:27" ht="13.2">
      <c r="F583" s="214"/>
      <c r="G583" s="215"/>
      <c r="J583" s="215"/>
      <c r="K583" s="215"/>
      <c r="L583" s="215"/>
      <c r="M583" s="215"/>
      <c r="S583" s="217"/>
      <c r="AA583" s="215"/>
    </row>
    <row r="584" spans="6:27" ht="13.2">
      <c r="F584" s="214"/>
      <c r="G584" s="215"/>
      <c r="J584" s="215"/>
      <c r="K584" s="215"/>
      <c r="L584" s="215"/>
      <c r="M584" s="215"/>
      <c r="S584" s="217"/>
      <c r="AA584" s="215"/>
    </row>
    <row r="585" spans="6:27" ht="13.2">
      <c r="F585" s="214"/>
      <c r="G585" s="215"/>
      <c r="J585" s="215"/>
      <c r="K585" s="215"/>
      <c r="L585" s="215"/>
      <c r="M585" s="215"/>
      <c r="S585" s="217"/>
      <c r="AA585" s="215"/>
    </row>
    <row r="586" spans="6:27" ht="13.2">
      <c r="F586" s="214"/>
      <c r="G586" s="215"/>
      <c r="J586" s="215"/>
      <c r="K586" s="215"/>
      <c r="L586" s="215"/>
      <c r="M586" s="215"/>
      <c r="S586" s="217"/>
      <c r="AA586" s="215"/>
    </row>
    <row r="587" spans="6:27" ht="13.2">
      <c r="F587" s="214"/>
      <c r="G587" s="215"/>
      <c r="J587" s="215"/>
      <c r="K587" s="215"/>
      <c r="L587" s="215"/>
      <c r="M587" s="215"/>
      <c r="S587" s="217"/>
      <c r="AA587" s="215"/>
    </row>
    <row r="588" spans="6:27" ht="13.2">
      <c r="F588" s="214"/>
      <c r="G588" s="215"/>
      <c r="J588" s="215"/>
      <c r="K588" s="215"/>
      <c r="L588" s="215"/>
      <c r="M588" s="215"/>
      <c r="S588" s="217"/>
      <c r="AA588" s="215"/>
    </row>
    <row r="589" spans="6:27" ht="13.2">
      <c r="F589" s="214"/>
      <c r="G589" s="215"/>
      <c r="J589" s="215"/>
      <c r="K589" s="215"/>
      <c r="L589" s="215"/>
      <c r="M589" s="215"/>
      <c r="S589" s="217"/>
      <c r="AA589" s="215"/>
    </row>
    <row r="590" spans="6:27" ht="13.2">
      <c r="F590" s="214"/>
      <c r="G590" s="215"/>
      <c r="J590" s="215"/>
      <c r="K590" s="215"/>
      <c r="L590" s="215"/>
      <c r="M590" s="215"/>
      <c r="S590" s="217"/>
      <c r="AA590" s="215"/>
    </row>
    <row r="591" spans="6:27" ht="13.2">
      <c r="F591" s="214"/>
      <c r="G591" s="215"/>
      <c r="J591" s="215"/>
      <c r="K591" s="215"/>
      <c r="L591" s="215"/>
      <c r="M591" s="215"/>
      <c r="S591" s="217"/>
      <c r="AA591" s="215"/>
    </row>
    <row r="592" spans="6:27" ht="13.2">
      <c r="F592" s="214"/>
      <c r="G592" s="215"/>
      <c r="J592" s="215"/>
      <c r="K592" s="215"/>
      <c r="L592" s="215"/>
      <c r="M592" s="215"/>
      <c r="S592" s="217"/>
      <c r="AA592" s="215"/>
    </row>
    <row r="593" spans="6:27" ht="13.2">
      <c r="F593" s="214"/>
      <c r="G593" s="215"/>
      <c r="J593" s="215"/>
      <c r="K593" s="215"/>
      <c r="L593" s="215"/>
      <c r="M593" s="215"/>
      <c r="S593" s="217"/>
      <c r="AA593" s="215"/>
    </row>
    <row r="594" spans="6:27" ht="13.2">
      <c r="F594" s="214"/>
      <c r="G594" s="215"/>
      <c r="J594" s="215"/>
      <c r="K594" s="215"/>
      <c r="L594" s="215"/>
      <c r="M594" s="215"/>
      <c r="S594" s="217"/>
      <c r="AA594" s="215"/>
    </row>
    <row r="595" spans="6:27" ht="13.2">
      <c r="F595" s="214"/>
      <c r="G595" s="215"/>
      <c r="J595" s="215"/>
      <c r="K595" s="215"/>
      <c r="L595" s="215"/>
      <c r="M595" s="215"/>
      <c r="S595" s="217"/>
      <c r="AA595" s="215"/>
    </row>
    <row r="596" spans="6:27" ht="13.2">
      <c r="F596" s="214"/>
      <c r="G596" s="215"/>
      <c r="J596" s="215"/>
      <c r="K596" s="215"/>
      <c r="L596" s="215"/>
      <c r="M596" s="215"/>
      <c r="S596" s="217"/>
      <c r="AA596" s="215"/>
    </row>
    <row r="597" spans="6:27" ht="13.2">
      <c r="F597" s="214"/>
      <c r="G597" s="215"/>
      <c r="J597" s="215"/>
      <c r="K597" s="215"/>
      <c r="L597" s="215"/>
      <c r="M597" s="215"/>
      <c r="S597" s="217"/>
      <c r="AA597" s="215"/>
    </row>
    <row r="598" spans="6:27" ht="13.2">
      <c r="F598" s="214"/>
      <c r="G598" s="215"/>
      <c r="J598" s="215"/>
      <c r="K598" s="215"/>
      <c r="L598" s="215"/>
      <c r="M598" s="215"/>
      <c r="S598" s="217"/>
      <c r="AA598" s="215"/>
    </row>
    <row r="599" spans="6:27" ht="13.2">
      <c r="F599" s="214"/>
      <c r="G599" s="215"/>
      <c r="J599" s="215"/>
      <c r="K599" s="215"/>
      <c r="L599" s="215"/>
      <c r="M599" s="215"/>
      <c r="S599" s="217"/>
      <c r="AA599" s="215"/>
    </row>
    <row r="600" spans="6:27" ht="13.2">
      <c r="F600" s="214"/>
      <c r="G600" s="215"/>
      <c r="J600" s="215"/>
      <c r="K600" s="215"/>
      <c r="L600" s="215"/>
      <c r="M600" s="215"/>
      <c r="S600" s="217"/>
      <c r="AA600" s="215"/>
    </row>
    <row r="601" spans="6:27" ht="13.2">
      <c r="F601" s="214"/>
      <c r="G601" s="215"/>
      <c r="J601" s="215"/>
      <c r="K601" s="215"/>
      <c r="L601" s="215"/>
      <c r="M601" s="215"/>
      <c r="S601" s="217"/>
      <c r="AA601" s="215"/>
    </row>
    <row r="602" spans="6:27" ht="13.2">
      <c r="F602" s="214"/>
      <c r="G602" s="215"/>
      <c r="J602" s="215"/>
      <c r="K602" s="215"/>
      <c r="L602" s="215"/>
      <c r="M602" s="215"/>
      <c r="S602" s="217"/>
      <c r="AA602" s="215"/>
    </row>
    <row r="603" spans="6:27" ht="13.2">
      <c r="F603" s="214"/>
      <c r="G603" s="215"/>
      <c r="J603" s="215"/>
      <c r="K603" s="215"/>
      <c r="L603" s="215"/>
      <c r="M603" s="215"/>
      <c r="S603" s="217"/>
      <c r="AA603" s="215"/>
    </row>
    <row r="604" spans="6:27" ht="13.2">
      <c r="F604" s="214"/>
      <c r="G604" s="215"/>
      <c r="J604" s="215"/>
      <c r="K604" s="215"/>
      <c r="L604" s="215"/>
      <c r="M604" s="215"/>
      <c r="S604" s="217"/>
      <c r="AA604" s="215"/>
    </row>
    <row r="605" spans="6:27" ht="13.2">
      <c r="F605" s="214"/>
      <c r="G605" s="215"/>
      <c r="J605" s="215"/>
      <c r="K605" s="215"/>
      <c r="L605" s="215"/>
      <c r="M605" s="215"/>
      <c r="S605" s="217"/>
      <c r="AA605" s="215"/>
    </row>
    <row r="606" spans="6:27" ht="13.2">
      <c r="F606" s="214"/>
      <c r="G606" s="215"/>
      <c r="J606" s="215"/>
      <c r="K606" s="215"/>
      <c r="L606" s="215"/>
      <c r="M606" s="215"/>
      <c r="S606" s="217"/>
      <c r="AA606" s="215"/>
    </row>
    <row r="607" spans="6:27" ht="13.2">
      <c r="F607" s="214"/>
      <c r="G607" s="215"/>
      <c r="J607" s="215"/>
      <c r="K607" s="215"/>
      <c r="L607" s="215"/>
      <c r="M607" s="215"/>
      <c r="S607" s="217"/>
      <c r="AA607" s="215"/>
    </row>
    <row r="608" spans="6:27" ht="13.2">
      <c r="F608" s="214"/>
      <c r="G608" s="215"/>
      <c r="J608" s="215"/>
      <c r="K608" s="215"/>
      <c r="L608" s="215"/>
      <c r="M608" s="215"/>
      <c r="S608" s="217"/>
      <c r="AA608" s="215"/>
    </row>
    <row r="609" spans="6:27" ht="13.2">
      <c r="F609" s="214"/>
      <c r="G609" s="215"/>
      <c r="J609" s="215"/>
      <c r="K609" s="215"/>
      <c r="L609" s="215"/>
      <c r="M609" s="215"/>
      <c r="S609" s="217"/>
      <c r="AA609" s="215"/>
    </row>
    <row r="610" spans="6:27" ht="13.2">
      <c r="F610" s="214"/>
      <c r="G610" s="215"/>
      <c r="J610" s="215"/>
      <c r="K610" s="215"/>
      <c r="L610" s="215"/>
      <c r="M610" s="215"/>
      <c r="S610" s="217"/>
      <c r="AA610" s="215"/>
    </row>
    <row r="611" spans="6:27" ht="13.2">
      <c r="F611" s="214"/>
      <c r="G611" s="215"/>
      <c r="J611" s="215"/>
      <c r="K611" s="215"/>
      <c r="L611" s="215"/>
      <c r="M611" s="215"/>
      <c r="S611" s="217"/>
      <c r="AA611" s="215"/>
    </row>
    <row r="612" spans="6:27" ht="13.2">
      <c r="F612" s="214"/>
      <c r="G612" s="215"/>
      <c r="J612" s="215"/>
      <c r="K612" s="215"/>
      <c r="L612" s="215"/>
      <c r="M612" s="215"/>
      <c r="S612" s="217"/>
      <c r="AA612" s="215"/>
    </row>
    <row r="613" spans="6:27" ht="13.2">
      <c r="F613" s="214"/>
      <c r="G613" s="215"/>
      <c r="J613" s="215"/>
      <c r="K613" s="215"/>
      <c r="L613" s="215"/>
      <c r="M613" s="215"/>
      <c r="S613" s="217"/>
      <c r="AA613" s="215"/>
    </row>
    <row r="614" spans="6:27" ht="13.2">
      <c r="F614" s="214"/>
      <c r="G614" s="215"/>
      <c r="J614" s="215"/>
      <c r="K614" s="215"/>
      <c r="L614" s="215"/>
      <c r="M614" s="215"/>
      <c r="S614" s="217"/>
      <c r="AA614" s="215"/>
    </row>
    <row r="615" spans="6:27" ht="13.2">
      <c r="F615" s="214"/>
      <c r="G615" s="215"/>
      <c r="J615" s="215"/>
      <c r="K615" s="215"/>
      <c r="L615" s="215"/>
      <c r="M615" s="215"/>
      <c r="S615" s="217"/>
      <c r="AA615" s="215"/>
    </row>
    <row r="616" spans="6:27" ht="13.2">
      <c r="F616" s="214"/>
      <c r="G616" s="215"/>
      <c r="J616" s="215"/>
      <c r="K616" s="215"/>
      <c r="L616" s="215"/>
      <c r="M616" s="215"/>
      <c r="S616" s="217"/>
      <c r="AA616" s="215"/>
    </row>
    <row r="617" spans="6:27" ht="13.2">
      <c r="F617" s="214"/>
      <c r="G617" s="215"/>
      <c r="J617" s="215"/>
      <c r="K617" s="215"/>
      <c r="L617" s="215"/>
      <c r="M617" s="215"/>
      <c r="S617" s="217"/>
      <c r="AA617" s="215"/>
    </row>
    <row r="618" spans="6:27" ht="13.2">
      <c r="F618" s="214"/>
      <c r="G618" s="215"/>
      <c r="J618" s="215"/>
      <c r="K618" s="215"/>
      <c r="L618" s="215"/>
      <c r="M618" s="215"/>
      <c r="S618" s="217"/>
      <c r="AA618" s="215"/>
    </row>
    <row r="619" spans="6:27" ht="13.2">
      <c r="F619" s="214"/>
      <c r="G619" s="215"/>
      <c r="J619" s="215"/>
      <c r="K619" s="215"/>
      <c r="L619" s="215"/>
      <c r="M619" s="215"/>
      <c r="S619" s="217"/>
      <c r="AA619" s="215"/>
    </row>
    <row r="620" spans="6:27" ht="13.2">
      <c r="F620" s="214"/>
      <c r="G620" s="215"/>
      <c r="J620" s="215"/>
      <c r="K620" s="215"/>
      <c r="L620" s="215"/>
      <c r="M620" s="215"/>
      <c r="S620" s="217"/>
      <c r="AA620" s="215"/>
    </row>
    <row r="621" spans="6:27" ht="13.2">
      <c r="F621" s="214"/>
      <c r="G621" s="215"/>
      <c r="J621" s="215"/>
      <c r="K621" s="215"/>
      <c r="L621" s="215"/>
      <c r="M621" s="215"/>
      <c r="S621" s="217"/>
      <c r="AA621" s="215"/>
    </row>
    <row r="622" spans="6:27" ht="13.2">
      <c r="F622" s="214"/>
      <c r="G622" s="215"/>
      <c r="J622" s="215"/>
      <c r="K622" s="215"/>
      <c r="L622" s="215"/>
      <c r="M622" s="215"/>
      <c r="S622" s="217"/>
      <c r="AA622" s="215"/>
    </row>
    <row r="623" spans="6:27" ht="13.2">
      <c r="F623" s="214"/>
      <c r="G623" s="215"/>
      <c r="J623" s="215"/>
      <c r="K623" s="215"/>
      <c r="L623" s="215"/>
      <c r="M623" s="215"/>
      <c r="S623" s="217"/>
      <c r="AA623" s="215"/>
    </row>
    <row r="624" spans="6:27" ht="13.2">
      <c r="F624" s="214"/>
      <c r="G624" s="215"/>
      <c r="J624" s="215"/>
      <c r="K624" s="215"/>
      <c r="L624" s="215"/>
      <c r="M624" s="215"/>
      <c r="S624" s="217"/>
      <c r="AA624" s="215"/>
    </row>
    <row r="625" spans="6:27" ht="13.2">
      <c r="F625" s="214"/>
      <c r="G625" s="215"/>
      <c r="J625" s="215"/>
      <c r="K625" s="215"/>
      <c r="L625" s="215"/>
      <c r="M625" s="215"/>
      <c r="S625" s="217"/>
      <c r="AA625" s="215"/>
    </row>
    <row r="626" spans="6:27" ht="13.2">
      <c r="F626" s="214"/>
      <c r="G626" s="215"/>
      <c r="J626" s="215"/>
      <c r="K626" s="215"/>
      <c r="L626" s="215"/>
      <c r="M626" s="215"/>
      <c r="S626" s="217"/>
      <c r="AA626" s="215"/>
    </row>
    <row r="627" spans="6:27" ht="13.2">
      <c r="F627" s="214"/>
      <c r="G627" s="215"/>
      <c r="J627" s="215"/>
      <c r="K627" s="215"/>
      <c r="L627" s="215"/>
      <c r="M627" s="215"/>
      <c r="S627" s="217"/>
      <c r="AA627" s="215"/>
    </row>
    <row r="628" spans="6:27" ht="13.2">
      <c r="F628" s="214"/>
      <c r="G628" s="215"/>
      <c r="J628" s="215"/>
      <c r="K628" s="215"/>
      <c r="L628" s="215"/>
      <c r="M628" s="215"/>
      <c r="S628" s="217"/>
      <c r="AA628" s="215"/>
    </row>
    <row r="629" spans="6:27" ht="13.2">
      <c r="F629" s="214"/>
      <c r="G629" s="215"/>
      <c r="J629" s="215"/>
      <c r="K629" s="215"/>
      <c r="L629" s="215"/>
      <c r="M629" s="215"/>
      <c r="S629" s="217"/>
      <c r="AA629" s="215"/>
    </row>
    <row r="630" spans="6:27" ht="13.2">
      <c r="F630" s="214"/>
      <c r="G630" s="215"/>
      <c r="J630" s="215"/>
      <c r="K630" s="215"/>
      <c r="L630" s="215"/>
      <c r="M630" s="215"/>
      <c r="S630" s="217"/>
      <c r="AA630" s="215"/>
    </row>
    <row r="631" spans="6:27" ht="13.2">
      <c r="F631" s="214"/>
      <c r="G631" s="215"/>
      <c r="J631" s="215"/>
      <c r="K631" s="215"/>
      <c r="L631" s="215"/>
      <c r="M631" s="215"/>
      <c r="S631" s="217"/>
      <c r="AA631" s="215"/>
    </row>
    <row r="632" spans="6:27" ht="13.2">
      <c r="F632" s="214"/>
      <c r="G632" s="215"/>
      <c r="J632" s="215"/>
      <c r="K632" s="215"/>
      <c r="L632" s="215"/>
      <c r="M632" s="215"/>
      <c r="S632" s="217"/>
      <c r="AA632" s="215"/>
    </row>
    <row r="633" spans="6:27" ht="13.2">
      <c r="F633" s="214"/>
      <c r="G633" s="215"/>
      <c r="J633" s="215"/>
      <c r="K633" s="215"/>
      <c r="L633" s="215"/>
      <c r="M633" s="215"/>
      <c r="S633" s="217"/>
      <c r="AA633" s="215"/>
    </row>
    <row r="634" spans="6:27" ht="13.2">
      <c r="F634" s="214"/>
      <c r="G634" s="215"/>
      <c r="J634" s="215"/>
      <c r="K634" s="215"/>
      <c r="L634" s="215"/>
      <c r="M634" s="215"/>
      <c r="S634" s="217"/>
      <c r="AA634" s="215"/>
    </row>
    <row r="635" spans="6:27" ht="13.2">
      <c r="F635" s="214"/>
      <c r="G635" s="215"/>
      <c r="J635" s="215"/>
      <c r="K635" s="215"/>
      <c r="L635" s="215"/>
      <c r="M635" s="215"/>
      <c r="S635" s="217"/>
      <c r="AA635" s="215"/>
    </row>
    <row r="636" spans="6:27" ht="13.2">
      <c r="F636" s="214"/>
      <c r="G636" s="215"/>
      <c r="J636" s="215"/>
      <c r="K636" s="215"/>
      <c r="L636" s="215"/>
      <c r="M636" s="215"/>
      <c r="S636" s="217"/>
      <c r="AA636" s="215"/>
    </row>
    <row r="637" spans="6:27" ht="13.2">
      <c r="F637" s="214"/>
      <c r="G637" s="215"/>
      <c r="J637" s="215"/>
      <c r="K637" s="215"/>
      <c r="L637" s="215"/>
      <c r="M637" s="215"/>
      <c r="S637" s="217"/>
      <c r="AA637" s="215"/>
    </row>
    <row r="638" spans="6:27" ht="13.2">
      <c r="F638" s="214"/>
      <c r="G638" s="215"/>
      <c r="J638" s="215"/>
      <c r="K638" s="215"/>
      <c r="L638" s="215"/>
      <c r="M638" s="215"/>
      <c r="S638" s="217"/>
      <c r="AA638" s="215"/>
    </row>
    <row r="639" spans="6:27" ht="13.2">
      <c r="F639" s="214"/>
      <c r="G639" s="215"/>
      <c r="J639" s="215"/>
      <c r="K639" s="215"/>
      <c r="L639" s="215"/>
      <c r="M639" s="215"/>
      <c r="S639" s="217"/>
      <c r="AA639" s="215"/>
    </row>
    <row r="640" spans="6:27" ht="13.2">
      <c r="F640" s="214"/>
      <c r="G640" s="215"/>
      <c r="J640" s="215"/>
      <c r="K640" s="215"/>
      <c r="L640" s="215"/>
      <c r="M640" s="215"/>
      <c r="S640" s="217"/>
      <c r="AA640" s="215"/>
    </row>
    <row r="641" spans="6:27" ht="13.2">
      <c r="F641" s="214"/>
      <c r="G641" s="215"/>
      <c r="J641" s="215"/>
      <c r="K641" s="215"/>
      <c r="L641" s="215"/>
      <c r="M641" s="215"/>
      <c r="S641" s="217"/>
      <c r="AA641" s="215"/>
    </row>
    <row r="642" spans="6:27" ht="13.2">
      <c r="F642" s="214"/>
      <c r="G642" s="215"/>
      <c r="J642" s="215"/>
      <c r="K642" s="215"/>
      <c r="L642" s="215"/>
      <c r="M642" s="215"/>
      <c r="S642" s="217"/>
      <c r="AA642" s="215"/>
    </row>
    <row r="643" spans="6:27" ht="13.2">
      <c r="F643" s="214"/>
      <c r="G643" s="215"/>
      <c r="J643" s="215"/>
      <c r="K643" s="215"/>
      <c r="L643" s="215"/>
      <c r="M643" s="215"/>
      <c r="S643" s="217"/>
      <c r="AA643" s="215"/>
    </row>
    <row r="644" spans="6:27" ht="13.2">
      <c r="F644" s="214"/>
      <c r="G644" s="215"/>
      <c r="J644" s="215"/>
      <c r="K644" s="215"/>
      <c r="L644" s="215"/>
      <c r="M644" s="215"/>
      <c r="S644" s="217"/>
      <c r="AA644" s="215"/>
    </row>
    <row r="645" spans="6:27" ht="13.2">
      <c r="F645" s="214"/>
      <c r="G645" s="215"/>
      <c r="J645" s="215"/>
      <c r="K645" s="215"/>
      <c r="L645" s="215"/>
      <c r="M645" s="215"/>
      <c r="S645" s="217"/>
      <c r="AA645" s="215"/>
    </row>
    <row r="646" spans="6:27" ht="13.2">
      <c r="F646" s="214"/>
      <c r="G646" s="215"/>
      <c r="J646" s="215"/>
      <c r="K646" s="215"/>
      <c r="L646" s="215"/>
      <c r="M646" s="215"/>
      <c r="S646" s="217"/>
      <c r="AA646" s="215"/>
    </row>
    <row r="647" spans="6:27" ht="13.2">
      <c r="F647" s="214"/>
      <c r="G647" s="215"/>
      <c r="J647" s="215"/>
      <c r="K647" s="215"/>
      <c r="L647" s="215"/>
      <c r="M647" s="215"/>
      <c r="S647" s="217"/>
      <c r="AA647" s="215"/>
    </row>
    <row r="648" spans="6:27" ht="13.2">
      <c r="F648" s="214"/>
      <c r="G648" s="215"/>
      <c r="J648" s="215"/>
      <c r="K648" s="215"/>
      <c r="L648" s="215"/>
      <c r="M648" s="215"/>
      <c r="S648" s="217"/>
      <c r="AA648" s="215"/>
    </row>
    <row r="649" spans="6:27" ht="13.2">
      <c r="F649" s="214"/>
      <c r="G649" s="215"/>
      <c r="J649" s="215"/>
      <c r="K649" s="215"/>
      <c r="L649" s="215"/>
      <c r="M649" s="215"/>
      <c r="S649" s="217"/>
      <c r="AA649" s="215"/>
    </row>
    <row r="650" spans="6:27" ht="13.2">
      <c r="F650" s="214"/>
      <c r="G650" s="215"/>
      <c r="J650" s="215"/>
      <c r="K650" s="215"/>
      <c r="L650" s="215"/>
      <c r="M650" s="215"/>
      <c r="S650" s="217"/>
      <c r="AA650" s="215"/>
    </row>
    <row r="651" spans="6:27" ht="13.2">
      <c r="F651" s="214"/>
      <c r="G651" s="215"/>
      <c r="J651" s="215"/>
      <c r="K651" s="215"/>
      <c r="L651" s="215"/>
      <c r="M651" s="215"/>
      <c r="S651" s="217"/>
      <c r="AA651" s="215"/>
    </row>
    <row r="652" spans="6:27" ht="13.2">
      <c r="F652" s="214"/>
      <c r="G652" s="215"/>
      <c r="J652" s="215"/>
      <c r="K652" s="215"/>
      <c r="L652" s="215"/>
      <c r="M652" s="215"/>
      <c r="S652" s="217"/>
      <c r="AA652" s="215"/>
    </row>
    <row r="653" spans="6:27" ht="13.2">
      <c r="F653" s="214"/>
      <c r="G653" s="215"/>
      <c r="J653" s="215"/>
      <c r="K653" s="215"/>
      <c r="L653" s="215"/>
      <c r="M653" s="215"/>
      <c r="S653" s="217"/>
      <c r="AA653" s="215"/>
    </row>
    <row r="654" spans="6:27" ht="13.2">
      <c r="F654" s="214"/>
      <c r="G654" s="215"/>
      <c r="J654" s="215"/>
      <c r="K654" s="215"/>
      <c r="L654" s="215"/>
      <c r="M654" s="215"/>
      <c r="S654" s="217"/>
      <c r="AA654" s="215"/>
    </row>
    <row r="655" spans="6:27" ht="13.2">
      <c r="F655" s="214"/>
      <c r="G655" s="215"/>
      <c r="J655" s="215"/>
      <c r="K655" s="215"/>
      <c r="L655" s="215"/>
      <c r="M655" s="215"/>
      <c r="S655" s="217"/>
      <c r="AA655" s="215"/>
    </row>
    <row r="656" spans="6:27" ht="13.2">
      <c r="F656" s="214"/>
      <c r="G656" s="215"/>
      <c r="J656" s="215"/>
      <c r="K656" s="215"/>
      <c r="L656" s="215"/>
      <c r="M656" s="215"/>
      <c r="S656" s="217"/>
      <c r="AA656" s="215"/>
    </row>
    <row r="657" spans="6:27" ht="13.2">
      <c r="F657" s="214"/>
      <c r="G657" s="215"/>
      <c r="J657" s="215"/>
      <c r="K657" s="215"/>
      <c r="L657" s="215"/>
      <c r="M657" s="215"/>
      <c r="S657" s="217"/>
      <c r="AA657" s="215"/>
    </row>
    <row r="658" spans="6:27" ht="13.2">
      <c r="F658" s="214"/>
      <c r="G658" s="215"/>
      <c r="J658" s="215"/>
      <c r="K658" s="215"/>
      <c r="L658" s="215"/>
      <c r="M658" s="215"/>
      <c r="S658" s="217"/>
      <c r="AA658" s="215"/>
    </row>
    <row r="659" spans="6:27" ht="13.2">
      <c r="F659" s="214"/>
      <c r="G659" s="215"/>
      <c r="J659" s="215"/>
      <c r="K659" s="215"/>
      <c r="L659" s="215"/>
      <c r="M659" s="215"/>
      <c r="S659" s="217"/>
      <c r="AA659" s="215"/>
    </row>
    <row r="660" spans="6:27" ht="13.2">
      <c r="F660" s="214"/>
      <c r="G660" s="215"/>
      <c r="J660" s="215"/>
      <c r="K660" s="215"/>
      <c r="L660" s="215"/>
      <c r="M660" s="215"/>
      <c r="S660" s="217"/>
      <c r="AA660" s="215"/>
    </row>
    <row r="661" spans="6:27" ht="13.2">
      <c r="F661" s="214"/>
      <c r="G661" s="215"/>
      <c r="J661" s="215"/>
      <c r="K661" s="215"/>
      <c r="L661" s="215"/>
      <c r="M661" s="215"/>
      <c r="S661" s="217"/>
      <c r="AA661" s="215"/>
    </row>
    <row r="662" spans="6:27" ht="13.2">
      <c r="F662" s="214"/>
      <c r="G662" s="215"/>
      <c r="J662" s="215"/>
      <c r="K662" s="215"/>
      <c r="L662" s="215"/>
      <c r="M662" s="215"/>
      <c r="S662" s="217"/>
      <c r="AA662" s="215"/>
    </row>
    <row r="663" spans="6:27" ht="13.2">
      <c r="F663" s="214"/>
      <c r="G663" s="215"/>
      <c r="J663" s="215"/>
      <c r="K663" s="215"/>
      <c r="L663" s="215"/>
      <c r="M663" s="215"/>
      <c r="S663" s="217"/>
      <c r="AA663" s="215"/>
    </row>
    <row r="664" spans="6:27" ht="13.2">
      <c r="F664" s="214"/>
      <c r="G664" s="215"/>
      <c r="J664" s="215"/>
      <c r="K664" s="215"/>
      <c r="L664" s="215"/>
      <c r="M664" s="215"/>
      <c r="S664" s="217"/>
      <c r="AA664" s="215"/>
    </row>
    <row r="665" spans="6:27" ht="13.2">
      <c r="F665" s="214"/>
      <c r="G665" s="215"/>
      <c r="J665" s="215"/>
      <c r="K665" s="215"/>
      <c r="L665" s="215"/>
      <c r="M665" s="215"/>
      <c r="S665" s="217"/>
      <c r="AA665" s="215"/>
    </row>
    <row r="666" spans="6:27" ht="13.2">
      <c r="F666" s="214"/>
      <c r="G666" s="215"/>
      <c r="J666" s="215"/>
      <c r="K666" s="215"/>
      <c r="L666" s="215"/>
      <c r="M666" s="215"/>
      <c r="S666" s="217"/>
      <c r="AA666" s="215"/>
    </row>
    <row r="667" spans="6:27" ht="13.2">
      <c r="F667" s="214"/>
      <c r="G667" s="215"/>
      <c r="J667" s="215"/>
      <c r="K667" s="215"/>
      <c r="L667" s="215"/>
      <c r="M667" s="215"/>
      <c r="S667" s="217"/>
      <c r="AA667" s="215"/>
    </row>
    <row r="668" spans="6:27" ht="13.2">
      <c r="F668" s="214"/>
      <c r="G668" s="215"/>
      <c r="J668" s="215"/>
      <c r="K668" s="215"/>
      <c r="L668" s="215"/>
      <c r="M668" s="215"/>
      <c r="S668" s="217"/>
      <c r="AA668" s="215"/>
    </row>
    <row r="669" spans="6:27" ht="13.2">
      <c r="F669" s="214"/>
      <c r="G669" s="215"/>
      <c r="J669" s="215"/>
      <c r="K669" s="215"/>
      <c r="L669" s="215"/>
      <c r="M669" s="215"/>
      <c r="S669" s="217"/>
      <c r="AA669" s="215"/>
    </row>
    <row r="670" spans="6:27" ht="13.2">
      <c r="F670" s="214"/>
      <c r="G670" s="215"/>
      <c r="J670" s="215"/>
      <c r="K670" s="215"/>
      <c r="L670" s="215"/>
      <c r="M670" s="215"/>
      <c r="S670" s="217"/>
      <c r="AA670" s="215"/>
    </row>
    <row r="671" spans="6:27" ht="13.2">
      <c r="F671" s="214"/>
      <c r="G671" s="215"/>
      <c r="J671" s="215"/>
      <c r="K671" s="215"/>
      <c r="L671" s="215"/>
      <c r="M671" s="215"/>
      <c r="S671" s="217"/>
      <c r="AA671" s="215"/>
    </row>
    <row r="672" spans="6:27" ht="13.2">
      <c r="F672" s="214"/>
      <c r="G672" s="215"/>
      <c r="J672" s="215"/>
      <c r="K672" s="215"/>
      <c r="L672" s="215"/>
      <c r="M672" s="215"/>
      <c r="S672" s="217"/>
      <c r="AA672" s="215"/>
    </row>
    <row r="673" spans="6:27" ht="13.2">
      <c r="F673" s="214"/>
      <c r="G673" s="215"/>
      <c r="J673" s="215"/>
      <c r="K673" s="215"/>
      <c r="L673" s="215"/>
      <c r="M673" s="215"/>
      <c r="S673" s="217"/>
      <c r="AA673" s="215"/>
    </row>
    <row r="674" spans="6:27" ht="13.2">
      <c r="F674" s="214"/>
      <c r="G674" s="215"/>
      <c r="J674" s="215"/>
      <c r="K674" s="215"/>
      <c r="L674" s="215"/>
      <c r="M674" s="215"/>
      <c r="S674" s="217"/>
      <c r="AA674" s="215"/>
    </row>
    <row r="675" spans="6:27" ht="13.2">
      <c r="F675" s="214"/>
      <c r="G675" s="215"/>
      <c r="J675" s="215"/>
      <c r="K675" s="215"/>
      <c r="L675" s="215"/>
      <c r="M675" s="215"/>
      <c r="S675" s="217"/>
      <c r="AA675" s="215"/>
    </row>
    <row r="676" spans="6:27" ht="13.2">
      <c r="F676" s="214"/>
      <c r="G676" s="215"/>
      <c r="J676" s="215"/>
      <c r="K676" s="215"/>
      <c r="L676" s="215"/>
      <c r="M676" s="215"/>
      <c r="S676" s="217"/>
      <c r="AA676" s="215"/>
    </row>
    <row r="677" spans="6:27" ht="13.2">
      <c r="F677" s="214"/>
      <c r="G677" s="215"/>
      <c r="J677" s="215"/>
      <c r="K677" s="215"/>
      <c r="L677" s="215"/>
      <c r="M677" s="215"/>
      <c r="S677" s="217"/>
      <c r="AA677" s="215"/>
    </row>
    <row r="678" spans="6:27" ht="13.2">
      <c r="F678" s="214"/>
      <c r="G678" s="215"/>
      <c r="J678" s="215"/>
      <c r="K678" s="215"/>
      <c r="L678" s="215"/>
      <c r="M678" s="215"/>
      <c r="S678" s="217"/>
      <c r="AA678" s="215"/>
    </row>
    <row r="679" spans="6:27" ht="13.2">
      <c r="F679" s="214"/>
      <c r="G679" s="215"/>
      <c r="J679" s="215"/>
      <c r="K679" s="215"/>
      <c r="L679" s="215"/>
      <c r="M679" s="215"/>
      <c r="S679" s="217"/>
      <c r="AA679" s="215"/>
    </row>
    <row r="680" spans="6:27" ht="13.2">
      <c r="F680" s="214"/>
      <c r="G680" s="215"/>
      <c r="J680" s="215"/>
      <c r="K680" s="215"/>
      <c r="L680" s="215"/>
      <c r="M680" s="215"/>
      <c r="S680" s="217"/>
      <c r="AA680" s="215"/>
    </row>
    <row r="681" spans="6:27" ht="13.2">
      <c r="F681" s="214"/>
      <c r="G681" s="215"/>
      <c r="J681" s="215"/>
      <c r="K681" s="215"/>
      <c r="L681" s="215"/>
      <c r="M681" s="215"/>
      <c r="S681" s="217"/>
      <c r="AA681" s="215"/>
    </row>
    <row r="682" spans="6:27" ht="13.2">
      <c r="F682" s="214"/>
      <c r="G682" s="215"/>
      <c r="J682" s="215"/>
      <c r="K682" s="215"/>
      <c r="L682" s="215"/>
      <c r="M682" s="215"/>
      <c r="S682" s="217"/>
      <c r="AA682" s="215"/>
    </row>
    <row r="683" spans="6:27" ht="13.2">
      <c r="F683" s="214"/>
      <c r="G683" s="215"/>
      <c r="J683" s="215"/>
      <c r="K683" s="215"/>
      <c r="L683" s="215"/>
      <c r="M683" s="215"/>
      <c r="S683" s="217"/>
      <c r="AA683" s="215"/>
    </row>
    <row r="684" spans="6:27" ht="13.2">
      <c r="F684" s="214"/>
      <c r="G684" s="215"/>
      <c r="J684" s="215"/>
      <c r="K684" s="215"/>
      <c r="L684" s="215"/>
      <c r="M684" s="215"/>
      <c r="S684" s="217"/>
      <c r="AA684" s="215"/>
    </row>
    <row r="685" spans="6:27" ht="13.2">
      <c r="F685" s="214"/>
      <c r="G685" s="215"/>
      <c r="J685" s="215"/>
      <c r="K685" s="215"/>
      <c r="L685" s="215"/>
      <c r="M685" s="215"/>
      <c r="S685" s="217"/>
      <c r="AA685" s="215"/>
    </row>
    <row r="686" spans="6:27" ht="13.2">
      <c r="F686" s="214"/>
      <c r="G686" s="215"/>
      <c r="J686" s="215"/>
      <c r="K686" s="215"/>
      <c r="L686" s="215"/>
      <c r="M686" s="215"/>
      <c r="S686" s="217"/>
      <c r="AA686" s="215"/>
    </row>
    <row r="687" spans="6:27" ht="13.2">
      <c r="F687" s="214"/>
      <c r="G687" s="215"/>
      <c r="J687" s="215"/>
      <c r="K687" s="215"/>
      <c r="L687" s="215"/>
      <c r="M687" s="215"/>
      <c r="S687" s="217"/>
      <c r="AA687" s="215"/>
    </row>
    <row r="688" spans="6:27" ht="13.2">
      <c r="F688" s="214"/>
      <c r="G688" s="215"/>
      <c r="J688" s="215"/>
      <c r="K688" s="215"/>
      <c r="L688" s="215"/>
      <c r="M688" s="215"/>
      <c r="S688" s="217"/>
      <c r="AA688" s="215"/>
    </row>
    <row r="689" spans="6:27" ht="13.2">
      <c r="F689" s="214"/>
      <c r="G689" s="215"/>
      <c r="J689" s="215"/>
      <c r="K689" s="215"/>
      <c r="L689" s="215"/>
      <c r="M689" s="215"/>
      <c r="S689" s="217"/>
      <c r="AA689" s="215"/>
    </row>
    <row r="690" spans="6:27" ht="13.2">
      <c r="F690" s="214"/>
      <c r="G690" s="215"/>
      <c r="J690" s="215"/>
      <c r="K690" s="215"/>
      <c r="L690" s="215"/>
      <c r="M690" s="215"/>
      <c r="S690" s="217"/>
      <c r="AA690" s="215"/>
    </row>
    <row r="691" spans="6:27" ht="13.2">
      <c r="F691" s="214"/>
      <c r="G691" s="215"/>
      <c r="J691" s="215"/>
      <c r="K691" s="215"/>
      <c r="L691" s="215"/>
      <c r="M691" s="215"/>
      <c r="S691" s="217"/>
      <c r="AA691" s="215"/>
    </row>
    <row r="692" spans="6:27" ht="13.2">
      <c r="F692" s="214"/>
      <c r="G692" s="215"/>
      <c r="J692" s="215"/>
      <c r="K692" s="215"/>
      <c r="L692" s="215"/>
      <c r="M692" s="215"/>
      <c r="S692" s="217"/>
      <c r="AA692" s="215"/>
    </row>
    <row r="693" spans="6:27" ht="13.2">
      <c r="F693" s="214"/>
      <c r="G693" s="215"/>
      <c r="J693" s="215"/>
      <c r="K693" s="215"/>
      <c r="L693" s="215"/>
      <c r="M693" s="215"/>
      <c r="S693" s="217"/>
      <c r="AA693" s="215"/>
    </row>
    <row r="694" spans="6:27" ht="13.2">
      <c r="F694" s="214"/>
      <c r="G694" s="215"/>
      <c r="J694" s="215"/>
      <c r="K694" s="215"/>
      <c r="L694" s="215"/>
      <c r="M694" s="215"/>
      <c r="S694" s="217"/>
      <c r="AA694" s="215"/>
    </row>
    <row r="695" spans="6:27" ht="13.2">
      <c r="F695" s="214"/>
      <c r="G695" s="215"/>
      <c r="J695" s="215"/>
      <c r="K695" s="215"/>
      <c r="L695" s="215"/>
      <c r="M695" s="215"/>
      <c r="S695" s="217"/>
      <c r="AA695" s="215"/>
    </row>
    <row r="696" spans="6:27" ht="13.2">
      <c r="F696" s="214"/>
      <c r="G696" s="215"/>
      <c r="J696" s="215"/>
      <c r="K696" s="215"/>
      <c r="L696" s="215"/>
      <c r="M696" s="215"/>
      <c r="S696" s="217"/>
      <c r="AA696" s="215"/>
    </row>
    <row r="697" spans="6:27" ht="13.2">
      <c r="F697" s="214"/>
      <c r="G697" s="215"/>
      <c r="J697" s="215"/>
      <c r="K697" s="215"/>
      <c r="L697" s="215"/>
      <c r="M697" s="215"/>
      <c r="S697" s="217"/>
      <c r="AA697" s="215"/>
    </row>
    <row r="698" spans="6:27" ht="13.2">
      <c r="F698" s="214"/>
      <c r="G698" s="215"/>
      <c r="J698" s="215"/>
      <c r="K698" s="215"/>
      <c r="L698" s="215"/>
      <c r="M698" s="215"/>
      <c r="S698" s="217"/>
      <c r="AA698" s="215"/>
    </row>
    <row r="699" spans="6:27" ht="13.2">
      <c r="F699" s="214"/>
      <c r="G699" s="215"/>
      <c r="J699" s="215"/>
      <c r="K699" s="215"/>
      <c r="L699" s="215"/>
      <c r="M699" s="215"/>
      <c r="S699" s="217"/>
      <c r="AA699" s="215"/>
    </row>
    <row r="700" spans="6:27" ht="13.2">
      <c r="F700" s="214"/>
      <c r="G700" s="215"/>
      <c r="J700" s="215"/>
      <c r="K700" s="215"/>
      <c r="L700" s="215"/>
      <c r="M700" s="215"/>
      <c r="S700" s="217"/>
      <c r="AA700" s="215"/>
    </row>
    <row r="701" spans="6:27" ht="13.2">
      <c r="F701" s="214"/>
      <c r="G701" s="215"/>
      <c r="J701" s="215"/>
      <c r="K701" s="215"/>
      <c r="L701" s="215"/>
      <c r="M701" s="215"/>
      <c r="S701" s="217"/>
      <c r="AA701" s="215"/>
    </row>
    <row r="702" spans="6:27" ht="13.2">
      <c r="F702" s="214"/>
      <c r="G702" s="215"/>
      <c r="J702" s="215"/>
      <c r="K702" s="215"/>
      <c r="L702" s="215"/>
      <c r="M702" s="215"/>
      <c r="S702" s="217"/>
      <c r="AA702" s="215"/>
    </row>
    <row r="703" spans="6:27" ht="13.2">
      <c r="F703" s="214"/>
      <c r="G703" s="215"/>
      <c r="J703" s="215"/>
      <c r="K703" s="215"/>
      <c r="L703" s="215"/>
      <c r="M703" s="215"/>
      <c r="S703" s="217"/>
      <c r="AA703" s="215"/>
    </row>
    <row r="704" spans="6:27" ht="13.2">
      <c r="F704" s="214"/>
      <c r="G704" s="215"/>
      <c r="J704" s="215"/>
      <c r="K704" s="215"/>
      <c r="L704" s="215"/>
      <c r="M704" s="215"/>
      <c r="S704" s="217"/>
      <c r="AA704" s="215"/>
    </row>
    <row r="705" spans="6:27" ht="13.2">
      <c r="F705" s="214"/>
      <c r="G705" s="215"/>
      <c r="J705" s="215"/>
      <c r="K705" s="215"/>
      <c r="L705" s="215"/>
      <c r="M705" s="215"/>
      <c r="S705" s="217"/>
      <c r="AA705" s="215"/>
    </row>
    <row r="706" spans="6:27" ht="13.2">
      <c r="F706" s="214"/>
      <c r="G706" s="215"/>
      <c r="J706" s="215"/>
      <c r="K706" s="215"/>
      <c r="L706" s="215"/>
      <c r="M706" s="215"/>
      <c r="S706" s="217"/>
      <c r="AA706" s="215"/>
    </row>
    <row r="707" spans="6:27" ht="13.2">
      <c r="F707" s="214"/>
      <c r="G707" s="215"/>
      <c r="J707" s="215"/>
      <c r="K707" s="215"/>
      <c r="L707" s="215"/>
      <c r="M707" s="215"/>
      <c r="S707" s="217"/>
      <c r="AA707" s="215"/>
    </row>
    <row r="708" spans="6:27" ht="13.2">
      <c r="F708" s="214"/>
      <c r="G708" s="215"/>
      <c r="J708" s="215"/>
      <c r="K708" s="215"/>
      <c r="L708" s="215"/>
      <c r="M708" s="215"/>
      <c r="S708" s="217"/>
      <c r="AA708" s="215"/>
    </row>
    <row r="709" spans="6:27" ht="13.2">
      <c r="F709" s="214"/>
      <c r="G709" s="215"/>
      <c r="J709" s="215"/>
      <c r="K709" s="215"/>
      <c r="L709" s="215"/>
      <c r="M709" s="215"/>
      <c r="S709" s="217"/>
      <c r="AA709" s="215"/>
    </row>
    <row r="710" spans="6:27" ht="13.2">
      <c r="F710" s="214"/>
      <c r="G710" s="215"/>
      <c r="J710" s="215"/>
      <c r="K710" s="215"/>
      <c r="L710" s="215"/>
      <c r="M710" s="215"/>
      <c r="S710" s="217"/>
      <c r="AA710" s="215"/>
    </row>
    <row r="711" spans="6:27" ht="13.2">
      <c r="F711" s="214"/>
      <c r="G711" s="215"/>
      <c r="J711" s="215"/>
      <c r="K711" s="215"/>
      <c r="L711" s="215"/>
      <c r="M711" s="215"/>
      <c r="S711" s="217"/>
      <c r="AA711" s="215"/>
    </row>
    <row r="712" spans="6:27" ht="13.2">
      <c r="F712" s="214"/>
      <c r="G712" s="215"/>
      <c r="J712" s="215"/>
      <c r="K712" s="215"/>
      <c r="L712" s="215"/>
      <c r="M712" s="215"/>
      <c r="S712" s="217"/>
      <c r="AA712" s="215"/>
    </row>
    <row r="713" spans="6:27" ht="13.2">
      <c r="F713" s="214"/>
      <c r="G713" s="215"/>
      <c r="J713" s="215"/>
      <c r="K713" s="215"/>
      <c r="L713" s="215"/>
      <c r="M713" s="215"/>
      <c r="S713" s="217"/>
      <c r="AA713" s="215"/>
    </row>
    <row r="714" spans="6:27" ht="13.2">
      <c r="F714" s="214"/>
      <c r="G714" s="215"/>
      <c r="J714" s="215"/>
      <c r="K714" s="215"/>
      <c r="L714" s="215"/>
      <c r="M714" s="215"/>
      <c r="S714" s="217"/>
      <c r="AA714" s="215"/>
    </row>
    <row r="715" spans="6:27" ht="13.2">
      <c r="F715" s="214"/>
      <c r="G715" s="215"/>
      <c r="J715" s="215"/>
      <c r="K715" s="215"/>
      <c r="L715" s="215"/>
      <c r="M715" s="215"/>
      <c r="S715" s="217"/>
      <c r="AA715" s="215"/>
    </row>
    <row r="716" spans="6:27" ht="13.2">
      <c r="F716" s="214"/>
      <c r="G716" s="215"/>
      <c r="J716" s="215"/>
      <c r="K716" s="215"/>
      <c r="L716" s="215"/>
      <c r="M716" s="215"/>
      <c r="S716" s="217"/>
      <c r="AA716" s="215"/>
    </row>
    <row r="717" spans="6:27" ht="13.2">
      <c r="F717" s="214"/>
      <c r="G717" s="215"/>
      <c r="J717" s="215"/>
      <c r="K717" s="215"/>
      <c r="L717" s="215"/>
      <c r="M717" s="215"/>
      <c r="S717" s="217"/>
      <c r="AA717" s="215"/>
    </row>
    <row r="718" spans="6:27" ht="13.2">
      <c r="F718" s="214"/>
      <c r="G718" s="215"/>
      <c r="J718" s="215"/>
      <c r="K718" s="215"/>
      <c r="L718" s="215"/>
      <c r="M718" s="215"/>
      <c r="S718" s="217"/>
      <c r="AA718" s="215"/>
    </row>
    <row r="719" spans="6:27" ht="13.2">
      <c r="F719" s="214"/>
      <c r="G719" s="215"/>
      <c r="J719" s="215"/>
      <c r="K719" s="215"/>
      <c r="L719" s="215"/>
      <c r="M719" s="215"/>
      <c r="S719" s="217"/>
      <c r="AA719" s="215"/>
    </row>
    <row r="720" spans="6:27" ht="13.2">
      <c r="F720" s="214"/>
      <c r="G720" s="215"/>
      <c r="J720" s="215"/>
      <c r="K720" s="215"/>
      <c r="L720" s="215"/>
      <c r="M720" s="215"/>
      <c r="S720" s="217"/>
      <c r="AA720" s="215"/>
    </row>
    <row r="721" spans="6:27" ht="13.2">
      <c r="F721" s="214"/>
      <c r="G721" s="215"/>
      <c r="J721" s="215"/>
      <c r="K721" s="215"/>
      <c r="L721" s="215"/>
      <c r="M721" s="215"/>
      <c r="S721" s="217"/>
      <c r="AA721" s="215"/>
    </row>
    <row r="722" spans="6:27" ht="13.2">
      <c r="F722" s="214"/>
      <c r="G722" s="215"/>
      <c r="J722" s="215"/>
      <c r="K722" s="215"/>
      <c r="L722" s="215"/>
      <c r="M722" s="215"/>
      <c r="S722" s="217"/>
      <c r="AA722" s="215"/>
    </row>
    <row r="723" spans="6:27" ht="13.2">
      <c r="F723" s="214"/>
      <c r="G723" s="215"/>
      <c r="J723" s="215"/>
      <c r="K723" s="215"/>
      <c r="L723" s="215"/>
      <c r="M723" s="215"/>
      <c r="S723" s="217"/>
      <c r="AA723" s="215"/>
    </row>
    <row r="724" spans="6:27" ht="13.2">
      <c r="F724" s="214"/>
      <c r="G724" s="215"/>
      <c r="J724" s="215"/>
      <c r="K724" s="215"/>
      <c r="L724" s="215"/>
      <c r="M724" s="215"/>
      <c r="S724" s="217"/>
      <c r="AA724" s="215"/>
    </row>
    <row r="725" spans="6:27" ht="13.2">
      <c r="F725" s="214"/>
      <c r="G725" s="215"/>
      <c r="J725" s="215"/>
      <c r="K725" s="215"/>
      <c r="L725" s="215"/>
      <c r="M725" s="215"/>
      <c r="S725" s="217"/>
      <c r="AA725" s="215"/>
    </row>
    <row r="726" spans="6:27" ht="13.2">
      <c r="F726" s="214"/>
      <c r="G726" s="215"/>
      <c r="J726" s="215"/>
      <c r="K726" s="215"/>
      <c r="L726" s="215"/>
      <c r="M726" s="215"/>
      <c r="S726" s="217"/>
      <c r="AA726" s="215"/>
    </row>
    <row r="727" spans="6:27" ht="13.2">
      <c r="F727" s="214"/>
      <c r="G727" s="215"/>
      <c r="J727" s="215"/>
      <c r="K727" s="215"/>
      <c r="L727" s="215"/>
      <c r="M727" s="215"/>
      <c r="S727" s="217"/>
      <c r="AA727" s="215"/>
    </row>
    <row r="728" spans="6:27" ht="13.2">
      <c r="F728" s="214"/>
      <c r="G728" s="215"/>
      <c r="J728" s="215"/>
      <c r="K728" s="215"/>
      <c r="L728" s="215"/>
      <c r="M728" s="215"/>
      <c r="S728" s="217"/>
      <c r="AA728" s="215"/>
    </row>
    <row r="729" spans="6:27" ht="13.2">
      <c r="F729" s="214"/>
      <c r="G729" s="215"/>
      <c r="J729" s="215"/>
      <c r="K729" s="215"/>
      <c r="L729" s="215"/>
      <c r="M729" s="215"/>
      <c r="S729" s="217"/>
      <c r="AA729" s="215"/>
    </row>
    <row r="730" spans="6:27" ht="13.2">
      <c r="F730" s="214"/>
      <c r="G730" s="215"/>
      <c r="J730" s="215"/>
      <c r="K730" s="215"/>
      <c r="L730" s="215"/>
      <c r="M730" s="215"/>
      <c r="S730" s="217"/>
      <c r="AA730" s="215"/>
    </row>
    <row r="731" spans="6:27" ht="13.2">
      <c r="F731" s="214"/>
      <c r="G731" s="215"/>
      <c r="J731" s="215"/>
      <c r="K731" s="215"/>
      <c r="L731" s="215"/>
      <c r="M731" s="215"/>
      <c r="S731" s="217"/>
      <c r="AA731" s="215"/>
    </row>
    <row r="732" spans="6:27" ht="13.2">
      <c r="F732" s="214"/>
      <c r="G732" s="215"/>
      <c r="J732" s="215"/>
      <c r="K732" s="215"/>
      <c r="L732" s="215"/>
      <c r="M732" s="215"/>
      <c r="S732" s="217"/>
      <c r="AA732" s="215"/>
    </row>
    <row r="733" spans="6:27" ht="13.2">
      <c r="F733" s="214"/>
      <c r="G733" s="215"/>
      <c r="J733" s="215"/>
      <c r="K733" s="215"/>
      <c r="L733" s="215"/>
      <c r="M733" s="215"/>
      <c r="S733" s="217"/>
      <c r="AA733" s="215"/>
    </row>
    <row r="734" spans="6:27" ht="13.2">
      <c r="F734" s="214"/>
      <c r="G734" s="215"/>
      <c r="J734" s="215"/>
      <c r="K734" s="215"/>
      <c r="L734" s="215"/>
      <c r="M734" s="215"/>
      <c r="S734" s="217"/>
      <c r="AA734" s="215"/>
    </row>
    <row r="735" spans="6:27" ht="13.2">
      <c r="F735" s="214"/>
      <c r="G735" s="215"/>
      <c r="J735" s="215"/>
      <c r="K735" s="215"/>
      <c r="L735" s="215"/>
      <c r="M735" s="215"/>
      <c r="S735" s="217"/>
      <c r="AA735" s="215"/>
    </row>
    <row r="736" spans="6:27" ht="13.2">
      <c r="F736" s="214"/>
      <c r="G736" s="215"/>
      <c r="J736" s="215"/>
      <c r="K736" s="215"/>
      <c r="L736" s="215"/>
      <c r="M736" s="215"/>
      <c r="S736" s="217"/>
      <c r="AA736" s="215"/>
    </row>
    <row r="737" spans="6:27" ht="13.2">
      <c r="F737" s="214"/>
      <c r="G737" s="215"/>
      <c r="J737" s="215"/>
      <c r="K737" s="215"/>
      <c r="L737" s="215"/>
      <c r="M737" s="215"/>
      <c r="S737" s="217"/>
      <c r="AA737" s="215"/>
    </row>
    <row r="738" spans="6:27" ht="13.2">
      <c r="F738" s="214"/>
      <c r="G738" s="215"/>
      <c r="J738" s="215"/>
      <c r="K738" s="215"/>
      <c r="L738" s="215"/>
      <c r="M738" s="215"/>
      <c r="S738" s="217"/>
      <c r="AA738" s="215"/>
    </row>
    <row r="739" spans="6:27" ht="13.2">
      <c r="F739" s="214"/>
      <c r="G739" s="215"/>
      <c r="J739" s="215"/>
      <c r="K739" s="215"/>
      <c r="L739" s="215"/>
      <c r="M739" s="215"/>
      <c r="S739" s="217"/>
      <c r="AA739" s="215"/>
    </row>
    <row r="740" spans="6:27" ht="13.2">
      <c r="F740" s="214"/>
      <c r="G740" s="215"/>
      <c r="J740" s="215"/>
      <c r="K740" s="215"/>
      <c r="L740" s="215"/>
      <c r="M740" s="215"/>
      <c r="S740" s="217"/>
      <c r="AA740" s="215"/>
    </row>
    <row r="741" spans="6:27" ht="13.2">
      <c r="F741" s="214"/>
      <c r="G741" s="215"/>
      <c r="J741" s="215"/>
      <c r="K741" s="215"/>
      <c r="L741" s="215"/>
      <c r="M741" s="215"/>
      <c r="S741" s="217"/>
      <c r="AA741" s="215"/>
    </row>
    <row r="742" spans="6:27" ht="13.2">
      <c r="F742" s="214"/>
      <c r="G742" s="215"/>
      <c r="J742" s="215"/>
      <c r="K742" s="215"/>
      <c r="L742" s="215"/>
      <c r="M742" s="215"/>
      <c r="S742" s="217"/>
      <c r="AA742" s="215"/>
    </row>
    <row r="743" spans="6:27" ht="13.2">
      <c r="F743" s="214"/>
      <c r="G743" s="215"/>
      <c r="J743" s="215"/>
      <c r="K743" s="215"/>
      <c r="L743" s="215"/>
      <c r="M743" s="215"/>
      <c r="S743" s="217"/>
      <c r="AA743" s="215"/>
    </row>
    <row r="744" spans="6:27" ht="13.2">
      <c r="F744" s="214"/>
      <c r="G744" s="215"/>
      <c r="J744" s="215"/>
      <c r="K744" s="215"/>
      <c r="L744" s="215"/>
      <c r="M744" s="215"/>
      <c r="S744" s="217"/>
      <c r="AA744" s="215"/>
    </row>
    <row r="745" spans="6:27" ht="13.2">
      <c r="F745" s="214"/>
      <c r="G745" s="215"/>
      <c r="J745" s="215"/>
      <c r="K745" s="215"/>
      <c r="L745" s="215"/>
      <c r="M745" s="215"/>
      <c r="S745" s="217"/>
      <c r="AA745" s="215"/>
    </row>
    <row r="746" spans="6:27" ht="13.2">
      <c r="F746" s="214"/>
      <c r="G746" s="215"/>
      <c r="J746" s="215"/>
      <c r="K746" s="215"/>
      <c r="L746" s="215"/>
      <c r="M746" s="215"/>
      <c r="S746" s="217"/>
      <c r="AA746" s="215"/>
    </row>
    <row r="747" spans="6:27" ht="13.2">
      <c r="F747" s="214"/>
      <c r="G747" s="215"/>
      <c r="J747" s="215"/>
      <c r="K747" s="215"/>
      <c r="L747" s="215"/>
      <c r="M747" s="215"/>
      <c r="S747" s="217"/>
      <c r="AA747" s="215"/>
    </row>
    <row r="748" spans="6:27" ht="13.2">
      <c r="F748" s="214"/>
      <c r="G748" s="215"/>
      <c r="J748" s="215"/>
      <c r="K748" s="215"/>
      <c r="L748" s="215"/>
      <c r="M748" s="215"/>
      <c r="S748" s="217"/>
      <c r="AA748" s="215"/>
    </row>
    <row r="749" spans="6:27" ht="13.2">
      <c r="F749" s="214"/>
      <c r="G749" s="215"/>
      <c r="J749" s="215"/>
      <c r="K749" s="215"/>
      <c r="L749" s="215"/>
      <c r="M749" s="215"/>
      <c r="S749" s="217"/>
      <c r="AA749" s="215"/>
    </row>
    <row r="750" spans="6:27" ht="13.2">
      <c r="F750" s="214"/>
      <c r="G750" s="215"/>
      <c r="J750" s="215"/>
      <c r="K750" s="215"/>
      <c r="L750" s="215"/>
      <c r="M750" s="215"/>
      <c r="S750" s="217"/>
      <c r="AA750" s="215"/>
    </row>
    <row r="751" spans="6:27" ht="13.2">
      <c r="F751" s="214"/>
      <c r="G751" s="215"/>
      <c r="J751" s="215"/>
      <c r="K751" s="215"/>
      <c r="L751" s="215"/>
      <c r="M751" s="215"/>
      <c r="S751" s="217"/>
      <c r="AA751" s="215"/>
    </row>
    <row r="752" spans="6:27" ht="13.2">
      <c r="F752" s="214"/>
      <c r="G752" s="215"/>
      <c r="J752" s="215"/>
      <c r="K752" s="215"/>
      <c r="L752" s="215"/>
      <c r="M752" s="215"/>
      <c r="S752" s="217"/>
      <c r="AA752" s="215"/>
    </row>
    <row r="753" spans="6:27" ht="13.2">
      <c r="F753" s="214"/>
      <c r="G753" s="215"/>
      <c r="J753" s="215"/>
      <c r="K753" s="215"/>
      <c r="L753" s="215"/>
      <c r="M753" s="215"/>
      <c r="S753" s="217"/>
      <c r="AA753" s="215"/>
    </row>
    <row r="754" spans="6:27" ht="13.2">
      <c r="F754" s="214"/>
      <c r="G754" s="215"/>
      <c r="J754" s="215"/>
      <c r="K754" s="215"/>
      <c r="L754" s="215"/>
      <c r="M754" s="215"/>
      <c r="S754" s="217"/>
      <c r="AA754" s="215"/>
    </row>
    <row r="755" spans="6:27" ht="13.2">
      <c r="F755" s="214"/>
      <c r="G755" s="215"/>
      <c r="J755" s="215"/>
      <c r="K755" s="215"/>
      <c r="L755" s="215"/>
      <c r="M755" s="215"/>
      <c r="S755" s="217"/>
      <c r="AA755" s="215"/>
    </row>
    <row r="756" spans="6:27" ht="13.2">
      <c r="F756" s="214"/>
      <c r="G756" s="215"/>
      <c r="J756" s="215"/>
      <c r="K756" s="215"/>
      <c r="L756" s="215"/>
      <c r="M756" s="215"/>
      <c r="S756" s="217"/>
      <c r="AA756" s="215"/>
    </row>
    <row r="757" spans="6:27" ht="13.2">
      <c r="F757" s="214"/>
      <c r="G757" s="215"/>
      <c r="J757" s="215"/>
      <c r="K757" s="215"/>
      <c r="L757" s="215"/>
      <c r="M757" s="215"/>
      <c r="S757" s="217"/>
      <c r="AA757" s="215"/>
    </row>
    <row r="758" spans="6:27" ht="13.2">
      <c r="F758" s="214"/>
      <c r="G758" s="215"/>
      <c r="J758" s="215"/>
      <c r="K758" s="215"/>
      <c r="L758" s="215"/>
      <c r="M758" s="215"/>
      <c r="S758" s="217"/>
      <c r="AA758" s="215"/>
    </row>
    <row r="759" spans="6:27" ht="13.2">
      <c r="F759" s="214"/>
      <c r="G759" s="215"/>
      <c r="J759" s="215"/>
      <c r="K759" s="215"/>
      <c r="L759" s="215"/>
      <c r="M759" s="215"/>
      <c r="S759" s="217"/>
      <c r="AA759" s="215"/>
    </row>
    <row r="760" spans="6:27" ht="13.2">
      <c r="F760" s="214"/>
      <c r="G760" s="215"/>
      <c r="J760" s="215"/>
      <c r="K760" s="215"/>
      <c r="L760" s="215"/>
      <c r="M760" s="215"/>
      <c r="S760" s="217"/>
      <c r="AA760" s="215"/>
    </row>
    <row r="761" spans="6:27" ht="13.2">
      <c r="F761" s="214"/>
      <c r="G761" s="215"/>
      <c r="J761" s="215"/>
      <c r="K761" s="215"/>
      <c r="L761" s="215"/>
      <c r="M761" s="215"/>
      <c r="S761" s="217"/>
      <c r="AA761" s="215"/>
    </row>
    <row r="762" spans="6:27" ht="13.2">
      <c r="F762" s="214"/>
      <c r="G762" s="215"/>
      <c r="J762" s="215"/>
      <c r="K762" s="215"/>
      <c r="L762" s="215"/>
      <c r="M762" s="215"/>
      <c r="S762" s="217"/>
      <c r="AA762" s="215"/>
    </row>
    <row r="763" spans="6:27" ht="13.2">
      <c r="F763" s="214"/>
      <c r="G763" s="215"/>
      <c r="J763" s="215"/>
      <c r="K763" s="215"/>
      <c r="L763" s="215"/>
      <c r="M763" s="215"/>
      <c r="S763" s="217"/>
      <c r="AA763" s="215"/>
    </row>
    <row r="764" spans="6:27" ht="13.2">
      <c r="F764" s="214"/>
      <c r="G764" s="215"/>
      <c r="J764" s="215"/>
      <c r="K764" s="215"/>
      <c r="L764" s="215"/>
      <c r="M764" s="215"/>
      <c r="S764" s="217"/>
      <c r="AA764" s="215"/>
    </row>
    <row r="765" spans="6:27" ht="13.2">
      <c r="F765" s="214"/>
      <c r="G765" s="215"/>
      <c r="J765" s="215"/>
      <c r="K765" s="215"/>
      <c r="L765" s="215"/>
      <c r="M765" s="215"/>
      <c r="S765" s="217"/>
      <c r="AA765" s="215"/>
    </row>
    <row r="766" spans="6:27" ht="13.2">
      <c r="F766" s="214"/>
      <c r="G766" s="215"/>
      <c r="J766" s="215"/>
      <c r="K766" s="215"/>
      <c r="L766" s="215"/>
      <c r="M766" s="215"/>
      <c r="S766" s="217"/>
      <c r="AA766" s="215"/>
    </row>
    <row r="767" spans="6:27" ht="13.2">
      <c r="F767" s="214"/>
      <c r="G767" s="215"/>
      <c r="J767" s="215"/>
      <c r="K767" s="215"/>
      <c r="L767" s="215"/>
      <c r="M767" s="215"/>
      <c r="S767" s="217"/>
      <c r="AA767" s="215"/>
    </row>
    <row r="768" spans="6:27" ht="13.2">
      <c r="F768" s="214"/>
      <c r="G768" s="215"/>
      <c r="J768" s="215"/>
      <c r="K768" s="215"/>
      <c r="L768" s="215"/>
      <c r="M768" s="215"/>
      <c r="S768" s="217"/>
      <c r="AA768" s="215"/>
    </row>
    <row r="769" spans="6:27" ht="13.2">
      <c r="F769" s="214"/>
      <c r="G769" s="215"/>
      <c r="J769" s="215"/>
      <c r="K769" s="215"/>
      <c r="L769" s="215"/>
      <c r="M769" s="215"/>
      <c r="S769" s="217"/>
      <c r="AA769" s="215"/>
    </row>
    <row r="770" spans="6:27" ht="13.2">
      <c r="F770" s="214"/>
      <c r="G770" s="215"/>
      <c r="J770" s="215"/>
      <c r="K770" s="215"/>
      <c r="L770" s="215"/>
      <c r="M770" s="215"/>
      <c r="S770" s="217"/>
      <c r="AA770" s="215"/>
    </row>
    <row r="771" spans="6:27" ht="13.2">
      <c r="F771" s="214"/>
      <c r="G771" s="215"/>
      <c r="J771" s="215"/>
      <c r="K771" s="215"/>
      <c r="L771" s="215"/>
      <c r="M771" s="215"/>
      <c r="S771" s="217"/>
      <c r="AA771" s="215"/>
    </row>
    <row r="772" spans="6:27" ht="13.2">
      <c r="F772" s="214"/>
      <c r="G772" s="215"/>
      <c r="J772" s="215"/>
      <c r="K772" s="215"/>
      <c r="L772" s="215"/>
      <c r="M772" s="215"/>
      <c r="S772" s="217"/>
      <c r="AA772" s="215"/>
    </row>
    <row r="773" spans="6:27" ht="13.2">
      <c r="F773" s="214"/>
      <c r="G773" s="215"/>
      <c r="J773" s="215"/>
      <c r="K773" s="215"/>
      <c r="L773" s="215"/>
      <c r="M773" s="215"/>
      <c r="S773" s="217"/>
      <c r="AA773" s="215"/>
    </row>
    <row r="774" spans="6:27" ht="13.2">
      <c r="F774" s="214"/>
      <c r="G774" s="215"/>
      <c r="J774" s="215"/>
      <c r="K774" s="215"/>
      <c r="L774" s="215"/>
      <c r="M774" s="215"/>
      <c r="S774" s="217"/>
      <c r="AA774" s="215"/>
    </row>
    <row r="775" spans="6:27" ht="13.2">
      <c r="F775" s="214"/>
      <c r="G775" s="215"/>
      <c r="J775" s="215"/>
      <c r="K775" s="215"/>
      <c r="L775" s="215"/>
      <c r="M775" s="215"/>
      <c r="S775" s="217"/>
      <c r="AA775" s="215"/>
    </row>
    <row r="776" spans="6:27" ht="13.2">
      <c r="F776" s="214"/>
      <c r="G776" s="215"/>
      <c r="J776" s="215"/>
      <c r="K776" s="215"/>
      <c r="L776" s="215"/>
      <c r="M776" s="215"/>
      <c r="S776" s="217"/>
      <c r="AA776" s="215"/>
    </row>
    <row r="777" spans="6:27" ht="13.2">
      <c r="F777" s="214"/>
      <c r="G777" s="215"/>
      <c r="J777" s="215"/>
      <c r="K777" s="215"/>
      <c r="L777" s="215"/>
      <c r="M777" s="215"/>
      <c r="S777" s="217"/>
      <c r="AA777" s="215"/>
    </row>
    <row r="778" spans="6:27" ht="13.2">
      <c r="F778" s="214"/>
      <c r="G778" s="215"/>
      <c r="J778" s="215"/>
      <c r="K778" s="215"/>
      <c r="L778" s="215"/>
      <c r="M778" s="215"/>
      <c r="S778" s="217"/>
      <c r="AA778" s="215"/>
    </row>
    <row r="779" spans="6:27" ht="13.2">
      <c r="F779" s="214"/>
      <c r="G779" s="215"/>
      <c r="J779" s="215"/>
      <c r="K779" s="215"/>
      <c r="L779" s="215"/>
      <c r="M779" s="215"/>
      <c r="S779" s="217"/>
      <c r="AA779" s="215"/>
    </row>
    <row r="780" spans="6:27" ht="13.2">
      <c r="F780" s="214"/>
      <c r="G780" s="215"/>
      <c r="J780" s="215"/>
      <c r="K780" s="215"/>
      <c r="L780" s="215"/>
      <c r="M780" s="215"/>
      <c r="S780" s="217"/>
      <c r="AA780" s="215"/>
    </row>
    <row r="781" spans="6:27" ht="13.2">
      <c r="F781" s="214"/>
      <c r="G781" s="215"/>
      <c r="J781" s="215"/>
      <c r="K781" s="215"/>
      <c r="L781" s="215"/>
      <c r="M781" s="215"/>
      <c r="S781" s="217"/>
      <c r="AA781" s="215"/>
    </row>
    <row r="782" spans="6:27" ht="13.2">
      <c r="F782" s="214"/>
      <c r="G782" s="215"/>
      <c r="J782" s="215"/>
      <c r="K782" s="215"/>
      <c r="L782" s="215"/>
      <c r="M782" s="215"/>
      <c r="S782" s="217"/>
      <c r="AA782" s="215"/>
    </row>
    <row r="783" spans="6:27" ht="13.2">
      <c r="F783" s="214"/>
      <c r="G783" s="215"/>
      <c r="J783" s="215"/>
      <c r="K783" s="215"/>
      <c r="L783" s="215"/>
      <c r="M783" s="215"/>
      <c r="S783" s="217"/>
      <c r="AA783" s="215"/>
    </row>
    <row r="784" spans="6:27" ht="13.2">
      <c r="F784" s="214"/>
      <c r="G784" s="215"/>
      <c r="J784" s="215"/>
      <c r="K784" s="215"/>
      <c r="L784" s="215"/>
      <c r="M784" s="215"/>
      <c r="S784" s="217"/>
      <c r="AA784" s="215"/>
    </row>
    <row r="785" spans="6:27" ht="13.2">
      <c r="F785" s="214"/>
      <c r="G785" s="215"/>
      <c r="J785" s="215"/>
      <c r="K785" s="215"/>
      <c r="L785" s="215"/>
      <c r="M785" s="215"/>
      <c r="S785" s="217"/>
      <c r="AA785" s="215"/>
    </row>
    <row r="786" spans="6:27" ht="13.2">
      <c r="F786" s="214"/>
      <c r="G786" s="215"/>
      <c r="J786" s="215"/>
      <c r="K786" s="215"/>
      <c r="L786" s="215"/>
      <c r="M786" s="215"/>
      <c r="S786" s="217"/>
      <c r="AA786" s="215"/>
    </row>
    <row r="787" spans="6:27" ht="13.2">
      <c r="F787" s="214"/>
      <c r="G787" s="215"/>
      <c r="J787" s="215"/>
      <c r="K787" s="215"/>
      <c r="L787" s="215"/>
      <c r="M787" s="215"/>
      <c r="S787" s="217"/>
      <c r="AA787" s="215"/>
    </row>
    <row r="788" spans="6:27" ht="13.2">
      <c r="F788" s="214"/>
      <c r="G788" s="215"/>
      <c r="J788" s="215"/>
      <c r="K788" s="215"/>
      <c r="L788" s="215"/>
      <c r="M788" s="215"/>
      <c r="S788" s="217"/>
      <c r="AA788" s="215"/>
    </row>
    <row r="789" spans="6:27" ht="13.2">
      <c r="F789" s="214"/>
      <c r="G789" s="215"/>
      <c r="J789" s="215"/>
      <c r="K789" s="215"/>
      <c r="L789" s="215"/>
      <c r="M789" s="215"/>
      <c r="S789" s="217"/>
      <c r="AA789" s="215"/>
    </row>
    <row r="790" spans="6:27" ht="13.2">
      <c r="F790" s="214"/>
      <c r="G790" s="215"/>
      <c r="J790" s="215"/>
      <c r="K790" s="215"/>
      <c r="L790" s="215"/>
      <c r="M790" s="215"/>
      <c r="S790" s="217"/>
      <c r="AA790" s="215"/>
    </row>
    <row r="791" spans="6:27" ht="13.2">
      <c r="F791" s="214"/>
      <c r="G791" s="215"/>
      <c r="J791" s="215"/>
      <c r="K791" s="215"/>
      <c r="L791" s="215"/>
      <c r="M791" s="215"/>
      <c r="S791" s="217"/>
      <c r="AA791" s="215"/>
    </row>
    <row r="792" spans="6:27" ht="13.2">
      <c r="F792" s="214"/>
      <c r="G792" s="215"/>
      <c r="J792" s="215"/>
      <c r="K792" s="215"/>
      <c r="L792" s="215"/>
      <c r="M792" s="215"/>
      <c r="S792" s="217"/>
      <c r="AA792" s="215"/>
    </row>
    <row r="793" spans="6:27" ht="13.2">
      <c r="F793" s="214"/>
      <c r="G793" s="215"/>
      <c r="J793" s="215"/>
      <c r="K793" s="215"/>
      <c r="L793" s="215"/>
      <c r="M793" s="215"/>
      <c r="S793" s="217"/>
      <c r="AA793" s="215"/>
    </row>
    <row r="794" spans="6:27" ht="13.2">
      <c r="F794" s="214"/>
      <c r="G794" s="215"/>
      <c r="J794" s="215"/>
      <c r="K794" s="215"/>
      <c r="L794" s="215"/>
      <c r="M794" s="215"/>
      <c r="S794" s="217"/>
      <c r="AA794" s="215"/>
    </row>
    <row r="795" spans="6:27" ht="13.2">
      <c r="F795" s="214"/>
      <c r="G795" s="215"/>
      <c r="J795" s="215"/>
      <c r="K795" s="215"/>
      <c r="L795" s="215"/>
      <c r="M795" s="215"/>
      <c r="S795" s="217"/>
      <c r="AA795" s="215"/>
    </row>
    <row r="796" spans="6:27" ht="13.2">
      <c r="F796" s="214"/>
      <c r="G796" s="215"/>
      <c r="J796" s="215"/>
      <c r="K796" s="215"/>
      <c r="L796" s="215"/>
      <c r="M796" s="215"/>
      <c r="S796" s="217"/>
      <c r="AA796" s="215"/>
    </row>
    <row r="797" spans="6:27" ht="13.2">
      <c r="F797" s="214"/>
      <c r="G797" s="215"/>
      <c r="J797" s="215"/>
      <c r="K797" s="215"/>
      <c r="L797" s="215"/>
      <c r="M797" s="215"/>
      <c r="S797" s="217"/>
      <c r="AA797" s="215"/>
    </row>
    <row r="798" spans="6:27" ht="13.2">
      <c r="F798" s="214"/>
      <c r="G798" s="215"/>
      <c r="J798" s="215"/>
      <c r="K798" s="215"/>
      <c r="L798" s="215"/>
      <c r="M798" s="215"/>
      <c r="S798" s="217"/>
      <c r="AA798" s="215"/>
    </row>
    <row r="799" spans="6:27" ht="13.2">
      <c r="F799" s="214"/>
      <c r="G799" s="215"/>
      <c r="J799" s="215"/>
      <c r="K799" s="215"/>
      <c r="L799" s="215"/>
      <c r="M799" s="215"/>
      <c r="S799" s="217"/>
      <c r="AA799" s="215"/>
    </row>
    <row r="800" spans="6:27" ht="13.2">
      <c r="F800" s="214"/>
      <c r="G800" s="215"/>
      <c r="J800" s="215"/>
      <c r="K800" s="215"/>
      <c r="L800" s="215"/>
      <c r="M800" s="215"/>
      <c r="S800" s="217"/>
      <c r="AA800" s="215"/>
    </row>
    <row r="801" spans="6:27" ht="13.2">
      <c r="F801" s="214"/>
      <c r="G801" s="215"/>
      <c r="J801" s="215"/>
      <c r="K801" s="215"/>
      <c r="L801" s="215"/>
      <c r="M801" s="215"/>
      <c r="S801" s="217"/>
      <c r="AA801" s="215"/>
    </row>
    <row r="802" spans="6:27" ht="13.2">
      <c r="F802" s="214"/>
      <c r="G802" s="215"/>
      <c r="J802" s="215"/>
      <c r="K802" s="215"/>
      <c r="L802" s="215"/>
      <c r="M802" s="215"/>
      <c r="S802" s="217"/>
      <c r="AA802" s="215"/>
    </row>
    <row r="803" spans="6:27" ht="13.2">
      <c r="F803" s="214"/>
      <c r="G803" s="215"/>
      <c r="J803" s="215"/>
      <c r="K803" s="215"/>
      <c r="L803" s="215"/>
      <c r="M803" s="215"/>
      <c r="S803" s="217"/>
      <c r="AA803" s="215"/>
    </row>
    <row r="804" spans="6:27" ht="13.2">
      <c r="F804" s="214"/>
      <c r="G804" s="215"/>
      <c r="J804" s="215"/>
      <c r="K804" s="215"/>
      <c r="L804" s="215"/>
      <c r="M804" s="215"/>
      <c r="S804" s="217"/>
      <c r="AA804" s="215"/>
    </row>
    <row r="805" spans="6:27" ht="13.2">
      <c r="F805" s="214"/>
      <c r="G805" s="215"/>
      <c r="J805" s="215"/>
      <c r="K805" s="215"/>
      <c r="L805" s="215"/>
      <c r="M805" s="215"/>
      <c r="S805" s="217"/>
      <c r="AA805" s="215"/>
    </row>
    <row r="806" spans="6:27" ht="13.2">
      <c r="F806" s="214"/>
      <c r="G806" s="215"/>
      <c r="J806" s="215"/>
      <c r="K806" s="215"/>
      <c r="L806" s="215"/>
      <c r="M806" s="215"/>
      <c r="S806" s="217"/>
      <c r="AA806" s="215"/>
    </row>
    <row r="807" spans="6:27" ht="13.2">
      <c r="F807" s="214"/>
      <c r="G807" s="215"/>
      <c r="J807" s="215"/>
      <c r="K807" s="215"/>
      <c r="L807" s="215"/>
      <c r="M807" s="215"/>
      <c r="S807" s="217"/>
      <c r="AA807" s="215"/>
    </row>
    <row r="808" spans="6:27" ht="13.2">
      <c r="F808" s="214"/>
      <c r="G808" s="215"/>
      <c r="J808" s="215"/>
      <c r="K808" s="215"/>
      <c r="L808" s="215"/>
      <c r="M808" s="215"/>
      <c r="S808" s="217"/>
      <c r="AA808" s="215"/>
    </row>
    <row r="809" spans="6:27" ht="13.2">
      <c r="F809" s="214"/>
      <c r="G809" s="215"/>
      <c r="J809" s="215"/>
      <c r="K809" s="215"/>
      <c r="L809" s="215"/>
      <c r="M809" s="215"/>
      <c r="S809" s="217"/>
      <c r="AA809" s="215"/>
    </row>
    <row r="810" spans="6:27" ht="13.2">
      <c r="F810" s="214"/>
      <c r="G810" s="215"/>
      <c r="J810" s="215"/>
      <c r="K810" s="215"/>
      <c r="L810" s="215"/>
      <c r="M810" s="215"/>
      <c r="S810" s="217"/>
      <c r="AA810" s="215"/>
    </row>
    <row r="811" spans="6:27" ht="13.2">
      <c r="F811" s="214"/>
      <c r="G811" s="215"/>
      <c r="J811" s="215"/>
      <c r="K811" s="215"/>
      <c r="L811" s="215"/>
      <c r="M811" s="215"/>
      <c r="S811" s="217"/>
      <c r="AA811" s="215"/>
    </row>
    <row r="812" spans="6:27" ht="13.2">
      <c r="F812" s="214"/>
      <c r="G812" s="215"/>
      <c r="J812" s="215"/>
      <c r="K812" s="215"/>
      <c r="L812" s="215"/>
      <c r="M812" s="215"/>
      <c r="S812" s="217"/>
      <c r="AA812" s="215"/>
    </row>
    <row r="813" spans="6:27" ht="13.2">
      <c r="F813" s="214"/>
      <c r="G813" s="215"/>
      <c r="J813" s="215"/>
      <c r="K813" s="215"/>
      <c r="L813" s="215"/>
      <c r="M813" s="215"/>
      <c r="S813" s="217"/>
      <c r="AA813" s="215"/>
    </row>
    <row r="814" spans="6:27" ht="13.2">
      <c r="F814" s="214"/>
      <c r="G814" s="215"/>
      <c r="J814" s="215"/>
      <c r="K814" s="215"/>
      <c r="L814" s="215"/>
      <c r="M814" s="215"/>
      <c r="S814" s="217"/>
      <c r="AA814" s="215"/>
    </row>
    <row r="815" spans="6:27" ht="13.2">
      <c r="F815" s="214"/>
      <c r="G815" s="215"/>
      <c r="J815" s="215"/>
      <c r="K815" s="215"/>
      <c r="L815" s="215"/>
      <c r="M815" s="215"/>
      <c r="S815" s="217"/>
      <c r="AA815" s="215"/>
    </row>
    <row r="816" spans="6:27" ht="13.2">
      <c r="F816" s="214"/>
      <c r="G816" s="215"/>
      <c r="J816" s="215"/>
      <c r="K816" s="215"/>
      <c r="L816" s="215"/>
      <c r="M816" s="215"/>
      <c r="S816" s="217"/>
      <c r="AA816" s="215"/>
    </row>
    <row r="817" spans="6:27" ht="13.2">
      <c r="F817" s="214"/>
      <c r="G817" s="215"/>
      <c r="J817" s="215"/>
      <c r="K817" s="215"/>
      <c r="L817" s="215"/>
      <c r="M817" s="215"/>
      <c r="S817" s="217"/>
      <c r="AA817" s="215"/>
    </row>
    <row r="818" spans="6:27" ht="13.2">
      <c r="F818" s="214"/>
      <c r="G818" s="215"/>
      <c r="J818" s="215"/>
      <c r="K818" s="215"/>
      <c r="L818" s="215"/>
      <c r="M818" s="215"/>
      <c r="S818" s="217"/>
      <c r="AA818" s="215"/>
    </row>
    <row r="819" spans="6:27" ht="13.2">
      <c r="F819" s="214"/>
      <c r="G819" s="215"/>
      <c r="J819" s="215"/>
      <c r="K819" s="215"/>
      <c r="L819" s="215"/>
      <c r="M819" s="215"/>
      <c r="S819" s="217"/>
      <c r="AA819" s="215"/>
    </row>
    <row r="820" spans="6:27" ht="13.2">
      <c r="F820" s="214"/>
      <c r="G820" s="215"/>
      <c r="J820" s="215"/>
      <c r="K820" s="215"/>
      <c r="L820" s="215"/>
      <c r="M820" s="215"/>
      <c r="S820" s="217"/>
      <c r="AA820" s="215"/>
    </row>
    <row r="821" spans="6:27" ht="13.2">
      <c r="F821" s="214"/>
      <c r="G821" s="215"/>
      <c r="J821" s="215"/>
      <c r="K821" s="215"/>
      <c r="L821" s="215"/>
      <c r="M821" s="215"/>
      <c r="S821" s="217"/>
      <c r="AA821" s="215"/>
    </row>
    <row r="822" spans="6:27" ht="13.2">
      <c r="F822" s="214"/>
      <c r="G822" s="215"/>
      <c r="J822" s="215"/>
      <c r="K822" s="215"/>
      <c r="L822" s="215"/>
      <c r="M822" s="215"/>
      <c r="S822" s="217"/>
      <c r="AA822" s="215"/>
    </row>
    <row r="823" spans="6:27" ht="13.2">
      <c r="F823" s="214"/>
      <c r="G823" s="215"/>
      <c r="J823" s="215"/>
      <c r="K823" s="215"/>
      <c r="L823" s="215"/>
      <c r="M823" s="215"/>
      <c r="S823" s="217"/>
      <c r="AA823" s="215"/>
    </row>
    <row r="824" spans="6:27" ht="13.2">
      <c r="F824" s="214"/>
      <c r="G824" s="215"/>
      <c r="J824" s="215"/>
      <c r="K824" s="215"/>
      <c r="L824" s="215"/>
      <c r="M824" s="215"/>
      <c r="S824" s="217"/>
      <c r="AA824" s="215"/>
    </row>
    <row r="825" spans="6:27" ht="13.2">
      <c r="F825" s="214"/>
      <c r="G825" s="215"/>
      <c r="J825" s="215"/>
      <c r="K825" s="215"/>
      <c r="L825" s="215"/>
      <c r="M825" s="215"/>
      <c r="S825" s="217"/>
      <c r="AA825" s="215"/>
    </row>
    <row r="826" spans="6:27" ht="13.2">
      <c r="F826" s="214"/>
      <c r="G826" s="215"/>
      <c r="J826" s="215"/>
      <c r="K826" s="215"/>
      <c r="L826" s="215"/>
      <c r="M826" s="215"/>
      <c r="S826" s="217"/>
      <c r="AA826" s="215"/>
    </row>
    <row r="827" spans="6:27" ht="13.2">
      <c r="F827" s="214"/>
      <c r="G827" s="215"/>
      <c r="J827" s="215"/>
      <c r="K827" s="215"/>
      <c r="L827" s="215"/>
      <c r="M827" s="215"/>
      <c r="S827" s="217"/>
      <c r="AA827" s="215"/>
    </row>
    <row r="828" spans="6:27" ht="13.2">
      <c r="F828" s="214"/>
      <c r="G828" s="215"/>
      <c r="J828" s="215"/>
      <c r="K828" s="215"/>
      <c r="L828" s="215"/>
      <c r="M828" s="215"/>
      <c r="S828" s="217"/>
      <c r="AA828" s="215"/>
    </row>
    <row r="829" spans="6:27" ht="13.2">
      <c r="F829" s="214"/>
      <c r="G829" s="215"/>
      <c r="J829" s="215"/>
      <c r="K829" s="215"/>
      <c r="L829" s="215"/>
      <c r="M829" s="215"/>
      <c r="S829" s="217"/>
      <c r="AA829" s="215"/>
    </row>
    <row r="830" spans="6:27" ht="13.2">
      <c r="F830" s="214"/>
      <c r="G830" s="215"/>
      <c r="J830" s="215"/>
      <c r="K830" s="215"/>
      <c r="L830" s="215"/>
      <c r="M830" s="215"/>
      <c r="S830" s="217"/>
      <c r="AA830" s="215"/>
    </row>
    <row r="831" spans="6:27" ht="13.2">
      <c r="F831" s="214"/>
      <c r="G831" s="215"/>
      <c r="J831" s="215"/>
      <c r="K831" s="215"/>
      <c r="L831" s="215"/>
      <c r="M831" s="215"/>
      <c r="S831" s="217"/>
      <c r="AA831" s="215"/>
    </row>
    <row r="832" spans="6:27" ht="13.2">
      <c r="F832" s="214"/>
      <c r="G832" s="215"/>
      <c r="J832" s="215"/>
      <c r="K832" s="215"/>
      <c r="L832" s="215"/>
      <c r="M832" s="215"/>
      <c r="S832" s="217"/>
      <c r="AA832" s="215"/>
    </row>
    <row r="833" spans="6:27" ht="13.2">
      <c r="F833" s="214"/>
      <c r="G833" s="215"/>
      <c r="J833" s="215"/>
      <c r="K833" s="215"/>
      <c r="L833" s="215"/>
      <c r="M833" s="215"/>
      <c r="S833" s="217"/>
      <c r="AA833" s="215"/>
    </row>
    <row r="834" spans="6:27" ht="13.2">
      <c r="F834" s="214"/>
      <c r="G834" s="215"/>
      <c r="J834" s="215"/>
      <c r="K834" s="215"/>
      <c r="L834" s="215"/>
      <c r="M834" s="215"/>
      <c r="S834" s="217"/>
      <c r="AA834" s="215"/>
    </row>
    <row r="835" spans="6:27" ht="13.2">
      <c r="F835" s="214"/>
      <c r="G835" s="215"/>
      <c r="J835" s="215"/>
      <c r="K835" s="215"/>
      <c r="L835" s="215"/>
      <c r="M835" s="215"/>
      <c r="S835" s="217"/>
      <c r="AA835" s="215"/>
    </row>
    <row r="836" spans="6:27" ht="13.2">
      <c r="F836" s="214"/>
      <c r="G836" s="215"/>
      <c r="J836" s="215"/>
      <c r="K836" s="215"/>
      <c r="L836" s="215"/>
      <c r="M836" s="215"/>
      <c r="S836" s="217"/>
      <c r="AA836" s="215"/>
    </row>
    <row r="837" spans="6:27" ht="13.2">
      <c r="F837" s="214"/>
      <c r="G837" s="215"/>
      <c r="J837" s="215"/>
      <c r="K837" s="215"/>
      <c r="L837" s="215"/>
      <c r="M837" s="215"/>
      <c r="S837" s="217"/>
      <c r="AA837" s="215"/>
    </row>
    <row r="838" spans="6:27" ht="13.2">
      <c r="F838" s="214"/>
      <c r="G838" s="215"/>
      <c r="J838" s="215"/>
      <c r="K838" s="215"/>
      <c r="L838" s="215"/>
      <c r="M838" s="215"/>
      <c r="S838" s="217"/>
      <c r="AA838" s="215"/>
    </row>
    <row r="839" spans="6:27" ht="13.2">
      <c r="F839" s="214"/>
      <c r="G839" s="215"/>
      <c r="J839" s="215"/>
      <c r="K839" s="215"/>
      <c r="L839" s="215"/>
      <c r="M839" s="215"/>
      <c r="S839" s="217"/>
      <c r="AA839" s="215"/>
    </row>
    <row r="840" spans="6:27" ht="13.2">
      <c r="F840" s="214"/>
      <c r="G840" s="215"/>
      <c r="J840" s="215"/>
      <c r="K840" s="215"/>
      <c r="L840" s="215"/>
      <c r="M840" s="215"/>
      <c r="S840" s="217"/>
      <c r="AA840" s="215"/>
    </row>
    <row r="841" spans="6:27" ht="13.2">
      <c r="F841" s="214"/>
      <c r="G841" s="215"/>
      <c r="J841" s="215"/>
      <c r="K841" s="215"/>
      <c r="L841" s="215"/>
      <c r="M841" s="215"/>
      <c r="S841" s="217"/>
      <c r="AA841" s="215"/>
    </row>
    <row r="842" spans="6:27" ht="13.2">
      <c r="F842" s="214"/>
      <c r="G842" s="215"/>
      <c r="J842" s="215"/>
      <c r="K842" s="215"/>
      <c r="L842" s="215"/>
      <c r="M842" s="215"/>
      <c r="S842" s="217"/>
      <c r="AA842" s="215"/>
    </row>
    <row r="843" spans="6:27" ht="13.2">
      <c r="F843" s="214"/>
      <c r="G843" s="215"/>
      <c r="J843" s="215"/>
      <c r="K843" s="215"/>
      <c r="L843" s="215"/>
      <c r="M843" s="215"/>
      <c r="S843" s="217"/>
      <c r="AA843" s="215"/>
    </row>
    <row r="844" spans="6:27" ht="13.2">
      <c r="F844" s="214"/>
      <c r="G844" s="215"/>
      <c r="J844" s="215"/>
      <c r="K844" s="215"/>
      <c r="L844" s="215"/>
      <c r="M844" s="215"/>
      <c r="S844" s="217"/>
      <c r="AA844" s="215"/>
    </row>
    <row r="845" spans="6:27" ht="13.2">
      <c r="F845" s="214"/>
      <c r="G845" s="215"/>
      <c r="J845" s="215"/>
      <c r="K845" s="215"/>
      <c r="L845" s="215"/>
      <c r="M845" s="215"/>
      <c r="S845" s="217"/>
      <c r="AA845" s="215"/>
    </row>
    <row r="846" spans="6:27" ht="13.2">
      <c r="F846" s="214"/>
      <c r="G846" s="215"/>
      <c r="J846" s="215"/>
      <c r="K846" s="215"/>
      <c r="L846" s="215"/>
      <c r="M846" s="215"/>
      <c r="S846" s="217"/>
      <c r="AA846" s="215"/>
    </row>
    <row r="847" spans="6:27" ht="13.2">
      <c r="F847" s="214"/>
      <c r="G847" s="215"/>
      <c r="J847" s="215"/>
      <c r="K847" s="215"/>
      <c r="L847" s="215"/>
      <c r="M847" s="215"/>
      <c r="S847" s="217"/>
      <c r="AA847" s="215"/>
    </row>
    <row r="848" spans="6:27" ht="13.2">
      <c r="F848" s="214"/>
      <c r="G848" s="215"/>
      <c r="J848" s="215"/>
      <c r="K848" s="215"/>
      <c r="L848" s="215"/>
      <c r="M848" s="215"/>
      <c r="S848" s="217"/>
      <c r="AA848" s="215"/>
    </row>
    <row r="849" spans="6:27" ht="13.2">
      <c r="F849" s="214"/>
      <c r="G849" s="215"/>
      <c r="J849" s="215"/>
      <c r="K849" s="215"/>
      <c r="L849" s="215"/>
      <c r="M849" s="215"/>
      <c r="S849" s="217"/>
      <c r="AA849" s="215"/>
    </row>
    <row r="850" spans="6:27" ht="13.2">
      <c r="F850" s="214"/>
      <c r="G850" s="215"/>
      <c r="J850" s="215"/>
      <c r="K850" s="215"/>
      <c r="L850" s="215"/>
      <c r="M850" s="215"/>
      <c r="S850" s="217"/>
      <c r="AA850" s="215"/>
    </row>
    <row r="851" spans="6:27" ht="13.2">
      <c r="F851" s="214"/>
      <c r="G851" s="215"/>
      <c r="J851" s="215"/>
      <c r="K851" s="215"/>
      <c r="L851" s="215"/>
      <c r="M851" s="215"/>
      <c r="S851" s="217"/>
      <c r="AA851" s="215"/>
    </row>
    <row r="852" spans="6:27" ht="13.2">
      <c r="F852" s="214"/>
      <c r="G852" s="215"/>
      <c r="J852" s="215"/>
      <c r="K852" s="215"/>
      <c r="L852" s="215"/>
      <c r="M852" s="215"/>
      <c r="S852" s="217"/>
      <c r="AA852" s="215"/>
    </row>
    <row r="853" spans="6:27" ht="13.2">
      <c r="F853" s="214"/>
      <c r="G853" s="215"/>
      <c r="J853" s="215"/>
      <c r="K853" s="215"/>
      <c r="L853" s="215"/>
      <c r="M853" s="215"/>
      <c r="S853" s="217"/>
      <c r="AA853" s="215"/>
    </row>
    <row r="854" spans="6:27" ht="13.2">
      <c r="F854" s="214"/>
      <c r="G854" s="215"/>
      <c r="J854" s="215"/>
      <c r="K854" s="215"/>
      <c r="L854" s="215"/>
      <c r="M854" s="215"/>
      <c r="S854" s="217"/>
      <c r="AA854" s="215"/>
    </row>
    <row r="855" spans="6:27" ht="13.2">
      <c r="F855" s="214"/>
      <c r="G855" s="215"/>
      <c r="J855" s="215"/>
      <c r="K855" s="215"/>
      <c r="L855" s="215"/>
      <c r="M855" s="215"/>
      <c r="S855" s="217"/>
      <c r="AA855" s="215"/>
    </row>
    <row r="856" spans="6:27" ht="13.2">
      <c r="F856" s="214"/>
      <c r="G856" s="215"/>
      <c r="J856" s="215"/>
      <c r="K856" s="215"/>
      <c r="L856" s="215"/>
      <c r="M856" s="215"/>
      <c r="S856" s="217"/>
      <c r="AA856" s="215"/>
    </row>
    <row r="857" spans="6:27" ht="13.2">
      <c r="F857" s="214"/>
      <c r="G857" s="215"/>
      <c r="J857" s="215"/>
      <c r="K857" s="215"/>
      <c r="L857" s="215"/>
      <c r="M857" s="215"/>
      <c r="S857" s="217"/>
      <c r="AA857" s="215"/>
    </row>
    <row r="858" spans="6:27" ht="13.2">
      <c r="F858" s="214"/>
      <c r="G858" s="215"/>
      <c r="J858" s="215"/>
      <c r="K858" s="215"/>
      <c r="L858" s="215"/>
      <c r="M858" s="215"/>
      <c r="S858" s="217"/>
      <c r="AA858" s="215"/>
    </row>
    <row r="859" spans="6:27" ht="13.2">
      <c r="F859" s="214"/>
      <c r="G859" s="215"/>
      <c r="J859" s="215"/>
      <c r="K859" s="215"/>
      <c r="L859" s="215"/>
      <c r="M859" s="215"/>
      <c r="S859" s="217"/>
      <c r="AA859" s="215"/>
    </row>
    <row r="860" spans="6:27" ht="13.2">
      <c r="F860" s="214"/>
      <c r="G860" s="215"/>
      <c r="J860" s="215"/>
      <c r="K860" s="215"/>
      <c r="L860" s="215"/>
      <c r="M860" s="215"/>
      <c r="S860" s="217"/>
      <c r="AA860" s="215"/>
    </row>
    <row r="861" spans="6:27" ht="13.2">
      <c r="F861" s="214"/>
      <c r="G861" s="215"/>
      <c r="J861" s="215"/>
      <c r="K861" s="215"/>
      <c r="L861" s="215"/>
      <c r="M861" s="215"/>
      <c r="S861" s="217"/>
      <c r="AA861" s="215"/>
    </row>
    <row r="862" spans="6:27" ht="13.2">
      <c r="F862" s="214"/>
      <c r="G862" s="215"/>
      <c r="J862" s="215"/>
      <c r="K862" s="215"/>
      <c r="L862" s="215"/>
      <c r="M862" s="215"/>
      <c r="S862" s="217"/>
      <c r="AA862" s="215"/>
    </row>
    <row r="863" spans="6:27" ht="13.2">
      <c r="F863" s="214"/>
      <c r="G863" s="215"/>
      <c r="J863" s="215"/>
      <c r="K863" s="215"/>
      <c r="L863" s="215"/>
      <c r="M863" s="215"/>
      <c r="S863" s="217"/>
      <c r="AA863" s="215"/>
    </row>
    <row r="864" spans="6:27" ht="13.2">
      <c r="F864" s="214"/>
      <c r="G864" s="215"/>
      <c r="J864" s="215"/>
      <c r="K864" s="215"/>
      <c r="L864" s="215"/>
      <c r="M864" s="215"/>
      <c r="S864" s="217"/>
      <c r="AA864" s="215"/>
    </row>
    <row r="865" spans="6:27" ht="13.2">
      <c r="F865" s="214"/>
      <c r="G865" s="215"/>
      <c r="J865" s="215"/>
      <c r="K865" s="215"/>
      <c r="L865" s="215"/>
      <c r="M865" s="215"/>
      <c r="S865" s="217"/>
      <c r="AA865" s="215"/>
    </row>
    <row r="866" spans="6:27" ht="13.2">
      <c r="F866" s="214"/>
      <c r="G866" s="215"/>
      <c r="J866" s="215"/>
      <c r="K866" s="215"/>
      <c r="L866" s="215"/>
      <c r="M866" s="215"/>
      <c r="S866" s="217"/>
      <c r="AA866" s="215"/>
    </row>
    <row r="867" spans="6:27" ht="13.2">
      <c r="F867" s="214"/>
      <c r="G867" s="215"/>
      <c r="J867" s="215"/>
      <c r="K867" s="215"/>
      <c r="L867" s="215"/>
      <c r="M867" s="215"/>
      <c r="S867" s="217"/>
      <c r="AA867" s="215"/>
    </row>
    <row r="868" spans="6:27" ht="13.2">
      <c r="F868" s="214"/>
      <c r="G868" s="215"/>
      <c r="J868" s="215"/>
      <c r="K868" s="215"/>
      <c r="L868" s="215"/>
      <c r="M868" s="215"/>
      <c r="S868" s="217"/>
      <c r="AA868" s="215"/>
    </row>
    <row r="869" spans="6:27" ht="13.2">
      <c r="F869" s="214"/>
      <c r="G869" s="215"/>
      <c r="J869" s="215"/>
      <c r="K869" s="215"/>
      <c r="L869" s="215"/>
      <c r="M869" s="215"/>
      <c r="S869" s="217"/>
      <c r="AA869" s="215"/>
    </row>
    <row r="870" spans="6:27" ht="13.2">
      <c r="F870" s="214"/>
      <c r="G870" s="215"/>
      <c r="J870" s="215"/>
      <c r="K870" s="215"/>
      <c r="L870" s="215"/>
      <c r="M870" s="215"/>
      <c r="S870" s="217"/>
      <c r="AA870" s="215"/>
    </row>
    <row r="871" spans="6:27" ht="13.2">
      <c r="F871" s="214"/>
      <c r="G871" s="215"/>
      <c r="J871" s="215"/>
      <c r="K871" s="215"/>
      <c r="L871" s="215"/>
      <c r="M871" s="215"/>
      <c r="S871" s="217"/>
      <c r="AA871" s="215"/>
    </row>
    <row r="872" spans="6:27" ht="13.2">
      <c r="F872" s="214"/>
      <c r="G872" s="215"/>
      <c r="J872" s="215"/>
      <c r="K872" s="215"/>
      <c r="L872" s="215"/>
      <c r="M872" s="215"/>
      <c r="S872" s="217"/>
      <c r="AA872" s="215"/>
    </row>
    <row r="873" spans="6:27" ht="13.2">
      <c r="F873" s="214"/>
      <c r="G873" s="215"/>
      <c r="J873" s="215"/>
      <c r="K873" s="215"/>
      <c r="L873" s="215"/>
      <c r="M873" s="215"/>
      <c r="S873" s="217"/>
      <c r="AA873" s="215"/>
    </row>
    <row r="874" spans="6:27" ht="13.2">
      <c r="F874" s="214"/>
      <c r="G874" s="215"/>
      <c r="J874" s="215"/>
      <c r="K874" s="215"/>
      <c r="L874" s="215"/>
      <c r="M874" s="215"/>
      <c r="S874" s="217"/>
      <c r="AA874" s="215"/>
    </row>
    <row r="875" spans="6:27" ht="13.2">
      <c r="F875" s="214"/>
      <c r="G875" s="215"/>
      <c r="J875" s="215"/>
      <c r="K875" s="215"/>
      <c r="L875" s="215"/>
      <c r="M875" s="215"/>
      <c r="S875" s="217"/>
      <c r="AA875" s="215"/>
    </row>
    <row r="876" spans="6:27" ht="13.2">
      <c r="F876" s="214"/>
      <c r="G876" s="215"/>
      <c r="J876" s="215"/>
      <c r="K876" s="215"/>
      <c r="L876" s="215"/>
      <c r="M876" s="215"/>
      <c r="S876" s="217"/>
      <c r="AA876" s="215"/>
    </row>
    <row r="877" spans="6:27" ht="13.2">
      <c r="F877" s="214"/>
      <c r="G877" s="215"/>
      <c r="J877" s="215"/>
      <c r="K877" s="215"/>
      <c r="L877" s="215"/>
      <c r="M877" s="215"/>
      <c r="S877" s="217"/>
      <c r="AA877" s="215"/>
    </row>
    <row r="878" spans="6:27" ht="13.2">
      <c r="F878" s="214"/>
      <c r="G878" s="215"/>
      <c r="J878" s="215"/>
      <c r="K878" s="215"/>
      <c r="L878" s="215"/>
      <c r="M878" s="215"/>
      <c r="S878" s="217"/>
      <c r="AA878" s="215"/>
    </row>
    <row r="879" spans="6:27" ht="13.2">
      <c r="F879" s="214"/>
      <c r="G879" s="215"/>
      <c r="J879" s="215"/>
      <c r="K879" s="215"/>
      <c r="L879" s="215"/>
      <c r="M879" s="215"/>
      <c r="S879" s="217"/>
      <c r="AA879" s="215"/>
    </row>
    <row r="880" spans="6:27" ht="13.2">
      <c r="F880" s="214"/>
      <c r="G880" s="215"/>
      <c r="J880" s="215"/>
      <c r="K880" s="215"/>
      <c r="L880" s="215"/>
      <c r="M880" s="215"/>
      <c r="S880" s="217"/>
      <c r="AA880" s="215"/>
    </row>
    <row r="881" spans="6:27" ht="13.2">
      <c r="F881" s="214"/>
      <c r="G881" s="215"/>
      <c r="J881" s="215"/>
      <c r="K881" s="215"/>
      <c r="L881" s="215"/>
      <c r="M881" s="215"/>
      <c r="S881" s="217"/>
      <c r="AA881" s="215"/>
    </row>
    <row r="882" spans="6:27" ht="13.2">
      <c r="F882" s="214"/>
      <c r="G882" s="215"/>
      <c r="J882" s="215"/>
      <c r="K882" s="215"/>
      <c r="L882" s="215"/>
      <c r="M882" s="215"/>
      <c r="S882" s="217"/>
      <c r="AA882" s="215"/>
    </row>
    <row r="883" spans="6:27" ht="13.2">
      <c r="F883" s="214"/>
      <c r="G883" s="215"/>
      <c r="J883" s="215"/>
      <c r="K883" s="215"/>
      <c r="L883" s="215"/>
      <c r="M883" s="215"/>
      <c r="S883" s="217"/>
      <c r="AA883" s="215"/>
    </row>
    <row r="884" spans="6:27" ht="13.2">
      <c r="F884" s="214"/>
      <c r="G884" s="215"/>
      <c r="J884" s="215"/>
      <c r="K884" s="215"/>
      <c r="L884" s="215"/>
      <c r="M884" s="215"/>
      <c r="S884" s="217"/>
      <c r="AA884" s="215"/>
    </row>
    <row r="885" spans="6:27" ht="13.2">
      <c r="F885" s="214"/>
      <c r="G885" s="215"/>
      <c r="J885" s="215"/>
      <c r="K885" s="215"/>
      <c r="L885" s="215"/>
      <c r="M885" s="215"/>
      <c r="S885" s="217"/>
      <c r="AA885" s="215"/>
    </row>
    <row r="886" spans="6:27" ht="13.2">
      <c r="F886" s="214"/>
      <c r="G886" s="215"/>
      <c r="J886" s="215"/>
      <c r="K886" s="215"/>
      <c r="L886" s="215"/>
      <c r="M886" s="215"/>
      <c r="S886" s="217"/>
      <c r="AA886" s="215"/>
    </row>
    <row r="887" spans="6:27" ht="13.2">
      <c r="F887" s="214"/>
      <c r="G887" s="215"/>
      <c r="J887" s="215"/>
      <c r="K887" s="215"/>
      <c r="L887" s="215"/>
      <c r="M887" s="215"/>
      <c r="S887" s="217"/>
      <c r="AA887" s="215"/>
    </row>
    <row r="888" spans="6:27" ht="13.2">
      <c r="F888" s="214"/>
      <c r="G888" s="215"/>
      <c r="J888" s="215"/>
      <c r="K888" s="215"/>
      <c r="L888" s="215"/>
      <c r="M888" s="215"/>
      <c r="S888" s="217"/>
      <c r="AA888" s="215"/>
    </row>
    <row r="889" spans="6:27" ht="13.2">
      <c r="F889" s="214"/>
      <c r="G889" s="215"/>
      <c r="J889" s="215"/>
      <c r="K889" s="215"/>
      <c r="L889" s="215"/>
      <c r="M889" s="215"/>
      <c r="S889" s="217"/>
      <c r="AA889" s="215"/>
    </row>
    <row r="890" spans="6:27" ht="13.2">
      <c r="F890" s="214"/>
      <c r="G890" s="215"/>
      <c r="J890" s="215"/>
      <c r="K890" s="215"/>
      <c r="L890" s="215"/>
      <c r="M890" s="215"/>
      <c r="S890" s="217"/>
      <c r="AA890" s="215"/>
    </row>
    <row r="891" spans="6:27" ht="13.2">
      <c r="F891" s="214"/>
      <c r="G891" s="215"/>
      <c r="J891" s="215"/>
      <c r="K891" s="215"/>
      <c r="L891" s="215"/>
      <c r="M891" s="215"/>
      <c r="S891" s="217"/>
      <c r="AA891" s="215"/>
    </row>
    <row r="892" spans="6:27" ht="13.2">
      <c r="F892" s="214"/>
      <c r="G892" s="215"/>
      <c r="J892" s="215"/>
      <c r="K892" s="215"/>
      <c r="L892" s="215"/>
      <c r="M892" s="215"/>
      <c r="S892" s="217"/>
      <c r="AA892" s="215"/>
    </row>
    <row r="893" spans="6:27" ht="13.2">
      <c r="F893" s="214"/>
      <c r="G893" s="215"/>
      <c r="J893" s="215"/>
      <c r="K893" s="215"/>
      <c r="L893" s="215"/>
      <c r="M893" s="215"/>
      <c r="S893" s="217"/>
      <c r="AA893" s="215"/>
    </row>
    <row r="894" spans="6:27" ht="13.2">
      <c r="F894" s="214"/>
      <c r="G894" s="215"/>
      <c r="J894" s="215"/>
      <c r="K894" s="215"/>
      <c r="L894" s="215"/>
      <c r="M894" s="215"/>
      <c r="S894" s="217"/>
      <c r="AA894" s="215"/>
    </row>
    <row r="895" spans="6:27" ht="13.2">
      <c r="F895" s="214"/>
      <c r="G895" s="215"/>
      <c r="J895" s="215"/>
      <c r="K895" s="215"/>
      <c r="L895" s="215"/>
      <c r="M895" s="215"/>
      <c r="S895" s="217"/>
      <c r="AA895" s="215"/>
    </row>
    <row r="896" spans="6:27" ht="13.2">
      <c r="F896" s="214"/>
      <c r="G896" s="215"/>
      <c r="J896" s="215"/>
      <c r="K896" s="215"/>
      <c r="L896" s="215"/>
      <c r="M896" s="215"/>
      <c r="S896" s="217"/>
      <c r="AA896" s="215"/>
    </row>
    <row r="897" spans="6:27" ht="13.2">
      <c r="F897" s="214"/>
      <c r="G897" s="215"/>
      <c r="J897" s="215"/>
      <c r="K897" s="215"/>
      <c r="L897" s="215"/>
      <c r="M897" s="215"/>
      <c r="S897" s="217"/>
      <c r="AA897" s="215"/>
    </row>
    <row r="898" spans="6:27" ht="13.2">
      <c r="F898" s="214"/>
      <c r="G898" s="215"/>
      <c r="J898" s="215"/>
      <c r="K898" s="215"/>
      <c r="L898" s="215"/>
      <c r="M898" s="215"/>
      <c r="S898" s="217"/>
      <c r="AA898" s="215"/>
    </row>
    <row r="899" spans="6:27" ht="13.2">
      <c r="F899" s="214"/>
      <c r="G899" s="215"/>
      <c r="J899" s="215"/>
      <c r="K899" s="215"/>
      <c r="L899" s="215"/>
      <c r="M899" s="215"/>
      <c r="S899" s="217"/>
      <c r="AA899" s="215"/>
    </row>
    <row r="900" spans="6:27" ht="13.2">
      <c r="F900" s="214"/>
      <c r="G900" s="215"/>
      <c r="J900" s="215"/>
      <c r="K900" s="215"/>
      <c r="L900" s="215"/>
      <c r="M900" s="215"/>
      <c r="S900" s="217"/>
      <c r="AA900" s="215"/>
    </row>
    <row r="901" spans="6:27" ht="13.2">
      <c r="F901" s="214"/>
      <c r="G901" s="215"/>
      <c r="J901" s="215"/>
      <c r="K901" s="215"/>
      <c r="L901" s="215"/>
      <c r="M901" s="215"/>
      <c r="S901" s="217"/>
      <c r="AA901" s="215"/>
    </row>
    <row r="902" spans="6:27" ht="13.2">
      <c r="F902" s="214"/>
      <c r="G902" s="215"/>
      <c r="J902" s="215"/>
      <c r="K902" s="215"/>
      <c r="L902" s="215"/>
      <c r="M902" s="215"/>
      <c r="S902" s="217"/>
      <c r="AA902" s="215"/>
    </row>
    <row r="903" spans="6:27" ht="13.2">
      <c r="F903" s="214"/>
      <c r="G903" s="215"/>
      <c r="J903" s="215"/>
      <c r="K903" s="215"/>
      <c r="L903" s="215"/>
      <c r="M903" s="215"/>
      <c r="S903" s="217"/>
      <c r="AA903" s="215"/>
    </row>
    <row r="904" spans="6:27" ht="13.2">
      <c r="F904" s="214"/>
      <c r="G904" s="215"/>
      <c r="J904" s="215"/>
      <c r="K904" s="215"/>
      <c r="L904" s="215"/>
      <c r="M904" s="215"/>
      <c r="S904" s="217"/>
      <c r="AA904" s="215"/>
    </row>
    <row r="905" spans="6:27" ht="13.2">
      <c r="F905" s="214"/>
      <c r="G905" s="215"/>
      <c r="J905" s="215"/>
      <c r="K905" s="215"/>
      <c r="L905" s="215"/>
      <c r="M905" s="215"/>
      <c r="S905" s="217"/>
      <c r="AA905" s="215"/>
    </row>
    <row r="906" spans="6:27" ht="13.2">
      <c r="F906" s="214"/>
      <c r="G906" s="215"/>
      <c r="J906" s="215"/>
      <c r="K906" s="215"/>
      <c r="L906" s="215"/>
      <c r="M906" s="215"/>
      <c r="S906" s="217"/>
      <c r="AA906" s="215"/>
    </row>
    <row r="907" spans="6:27" ht="13.2">
      <c r="F907" s="214"/>
      <c r="G907" s="215"/>
      <c r="J907" s="215"/>
      <c r="K907" s="215"/>
      <c r="L907" s="215"/>
      <c r="M907" s="215"/>
      <c r="S907" s="217"/>
      <c r="AA907" s="215"/>
    </row>
    <row r="908" spans="6:27" ht="13.2">
      <c r="F908" s="214"/>
      <c r="G908" s="215"/>
      <c r="J908" s="215"/>
      <c r="K908" s="215"/>
      <c r="L908" s="215"/>
      <c r="M908" s="215"/>
      <c r="S908" s="217"/>
      <c r="AA908" s="215"/>
    </row>
    <row r="909" spans="6:27" ht="13.2">
      <c r="F909" s="214"/>
      <c r="G909" s="215"/>
      <c r="J909" s="215"/>
      <c r="K909" s="215"/>
      <c r="L909" s="215"/>
      <c r="M909" s="215"/>
      <c r="S909" s="217"/>
      <c r="AA909" s="215"/>
    </row>
    <row r="910" spans="6:27" ht="13.2">
      <c r="F910" s="214"/>
      <c r="G910" s="215"/>
      <c r="J910" s="215"/>
      <c r="K910" s="215"/>
      <c r="L910" s="215"/>
      <c r="M910" s="215"/>
      <c r="S910" s="217"/>
      <c r="AA910" s="215"/>
    </row>
    <row r="911" spans="6:27" ht="13.2">
      <c r="F911" s="214"/>
      <c r="G911" s="215"/>
      <c r="J911" s="215"/>
      <c r="K911" s="215"/>
      <c r="L911" s="215"/>
      <c r="M911" s="215"/>
      <c r="S911" s="217"/>
      <c r="AA911" s="215"/>
    </row>
    <row r="912" spans="6:27" ht="13.2">
      <c r="F912" s="214"/>
      <c r="G912" s="215"/>
      <c r="J912" s="215"/>
      <c r="K912" s="215"/>
      <c r="L912" s="215"/>
      <c r="M912" s="215"/>
      <c r="S912" s="217"/>
      <c r="AA912" s="215"/>
    </row>
    <row r="913" spans="6:27" ht="13.2">
      <c r="F913" s="214"/>
      <c r="G913" s="215"/>
      <c r="J913" s="215"/>
      <c r="K913" s="215"/>
      <c r="L913" s="215"/>
      <c r="M913" s="215"/>
      <c r="S913" s="217"/>
      <c r="AA913" s="215"/>
    </row>
    <row r="914" spans="6:27" ht="13.2">
      <c r="F914" s="214"/>
      <c r="G914" s="215"/>
      <c r="J914" s="215"/>
      <c r="K914" s="215"/>
      <c r="L914" s="215"/>
      <c r="M914" s="215"/>
      <c r="S914" s="217"/>
      <c r="AA914" s="215"/>
    </row>
    <row r="915" spans="6:27" ht="13.2">
      <c r="F915" s="214"/>
      <c r="G915" s="215"/>
      <c r="J915" s="215"/>
      <c r="K915" s="215"/>
      <c r="L915" s="215"/>
      <c r="M915" s="215"/>
      <c r="S915" s="217"/>
      <c r="AA915" s="215"/>
    </row>
    <row r="916" spans="6:27" ht="13.2">
      <c r="F916" s="214"/>
      <c r="G916" s="215"/>
      <c r="J916" s="215"/>
      <c r="K916" s="215"/>
      <c r="L916" s="215"/>
      <c r="M916" s="215"/>
      <c r="S916" s="217"/>
      <c r="AA916" s="215"/>
    </row>
    <row r="917" spans="6:27" ht="13.2">
      <c r="F917" s="214"/>
      <c r="G917" s="215"/>
      <c r="J917" s="215"/>
      <c r="K917" s="215"/>
      <c r="L917" s="215"/>
      <c r="M917" s="215"/>
      <c r="S917" s="217"/>
      <c r="AA917" s="215"/>
    </row>
    <row r="918" spans="6:27" ht="13.2">
      <c r="F918" s="214"/>
      <c r="G918" s="215"/>
      <c r="J918" s="215"/>
      <c r="K918" s="215"/>
      <c r="L918" s="215"/>
      <c r="M918" s="215"/>
      <c r="S918" s="217"/>
      <c r="AA918" s="215"/>
    </row>
    <row r="919" spans="6:27" ht="13.2">
      <c r="F919" s="214"/>
      <c r="G919" s="215"/>
      <c r="J919" s="215"/>
      <c r="K919" s="215"/>
      <c r="L919" s="215"/>
      <c r="M919" s="215"/>
      <c r="S919" s="217"/>
      <c r="AA919" s="215"/>
    </row>
    <row r="920" spans="6:27" ht="13.2">
      <c r="F920" s="214"/>
      <c r="G920" s="215"/>
      <c r="J920" s="215"/>
      <c r="K920" s="215"/>
      <c r="L920" s="215"/>
      <c r="M920" s="215"/>
      <c r="S920" s="217"/>
      <c r="AA920" s="215"/>
    </row>
    <row r="921" spans="6:27" ht="13.2">
      <c r="F921" s="214"/>
      <c r="G921" s="215"/>
      <c r="J921" s="215"/>
      <c r="K921" s="215"/>
      <c r="L921" s="215"/>
      <c r="M921" s="215"/>
      <c r="S921" s="217"/>
      <c r="AA921" s="215"/>
    </row>
    <row r="922" spans="6:27" ht="13.2">
      <c r="F922" s="214"/>
      <c r="G922" s="215"/>
      <c r="J922" s="215"/>
      <c r="K922" s="215"/>
      <c r="L922" s="215"/>
      <c r="M922" s="215"/>
      <c r="S922" s="217"/>
      <c r="AA922" s="215"/>
    </row>
    <row r="923" spans="6:27" ht="13.2">
      <c r="F923" s="214"/>
      <c r="G923" s="215"/>
      <c r="J923" s="215"/>
      <c r="K923" s="215"/>
      <c r="L923" s="215"/>
      <c r="M923" s="215"/>
      <c r="S923" s="217"/>
      <c r="AA923" s="215"/>
    </row>
    <row r="924" spans="6:27" ht="13.2">
      <c r="F924" s="214"/>
      <c r="G924" s="215"/>
      <c r="J924" s="215"/>
      <c r="K924" s="215"/>
      <c r="L924" s="215"/>
      <c r="M924" s="215"/>
      <c r="S924" s="217"/>
      <c r="AA924" s="215"/>
    </row>
    <row r="925" spans="6:27" ht="13.2">
      <c r="F925" s="214"/>
      <c r="G925" s="215"/>
      <c r="J925" s="215"/>
      <c r="K925" s="215"/>
      <c r="L925" s="215"/>
      <c r="M925" s="215"/>
      <c r="S925" s="217"/>
      <c r="AA925" s="215"/>
    </row>
    <row r="926" spans="6:27" ht="13.2">
      <c r="F926" s="214"/>
      <c r="G926" s="215"/>
      <c r="J926" s="215"/>
      <c r="K926" s="215"/>
      <c r="L926" s="215"/>
      <c r="M926" s="215"/>
      <c r="S926" s="217"/>
      <c r="AA926" s="215"/>
    </row>
    <row r="927" spans="6:27" ht="13.2">
      <c r="F927" s="214"/>
      <c r="G927" s="215"/>
      <c r="J927" s="215"/>
      <c r="K927" s="215"/>
      <c r="L927" s="215"/>
      <c r="M927" s="215"/>
      <c r="S927" s="217"/>
      <c r="AA927" s="215"/>
    </row>
    <row r="928" spans="6:27" ht="13.2">
      <c r="F928" s="214"/>
      <c r="G928" s="215"/>
      <c r="J928" s="215"/>
      <c r="K928" s="215"/>
      <c r="L928" s="215"/>
      <c r="M928" s="215"/>
      <c r="S928" s="217"/>
      <c r="AA928" s="215"/>
    </row>
    <row r="929" spans="6:27" ht="13.2">
      <c r="F929" s="214"/>
      <c r="G929" s="215"/>
      <c r="J929" s="215"/>
      <c r="K929" s="215"/>
      <c r="L929" s="215"/>
      <c r="M929" s="215"/>
      <c r="S929" s="217"/>
      <c r="AA929" s="215"/>
    </row>
    <row r="930" spans="6:27" ht="13.2">
      <c r="F930" s="214"/>
      <c r="G930" s="215"/>
      <c r="J930" s="215"/>
      <c r="K930" s="215"/>
      <c r="L930" s="215"/>
      <c r="M930" s="215"/>
      <c r="S930" s="217"/>
      <c r="AA930" s="215"/>
    </row>
    <row r="931" spans="6:27" ht="13.2">
      <c r="F931" s="214"/>
      <c r="G931" s="215"/>
      <c r="J931" s="215"/>
      <c r="K931" s="215"/>
      <c r="L931" s="215"/>
      <c r="M931" s="215"/>
      <c r="S931" s="217"/>
      <c r="AA931" s="215"/>
    </row>
    <row r="932" spans="6:27" ht="13.2">
      <c r="F932" s="214"/>
      <c r="G932" s="215"/>
      <c r="J932" s="215"/>
      <c r="K932" s="215"/>
      <c r="L932" s="215"/>
      <c r="M932" s="215"/>
      <c r="S932" s="217"/>
      <c r="AA932" s="215"/>
    </row>
    <row r="933" spans="6:27" ht="13.2">
      <c r="F933" s="214"/>
      <c r="G933" s="215"/>
      <c r="J933" s="215"/>
      <c r="K933" s="215"/>
      <c r="L933" s="215"/>
      <c r="M933" s="215"/>
      <c r="S933" s="217"/>
      <c r="AA933" s="215"/>
    </row>
    <row r="934" spans="6:27" ht="13.2">
      <c r="F934" s="214"/>
      <c r="G934" s="215"/>
      <c r="J934" s="215"/>
      <c r="K934" s="215"/>
      <c r="L934" s="215"/>
      <c r="M934" s="215"/>
      <c r="S934" s="217"/>
      <c r="AA934" s="215"/>
    </row>
    <row r="935" spans="6:27" ht="13.2">
      <c r="F935" s="214"/>
      <c r="G935" s="215"/>
      <c r="J935" s="215"/>
      <c r="K935" s="215"/>
      <c r="L935" s="215"/>
      <c r="M935" s="215"/>
      <c r="S935" s="217"/>
      <c r="AA935" s="215"/>
    </row>
    <row r="936" spans="6:27" ht="13.2">
      <c r="F936" s="214"/>
      <c r="G936" s="215"/>
      <c r="J936" s="215"/>
      <c r="K936" s="215"/>
      <c r="L936" s="215"/>
      <c r="M936" s="215"/>
      <c r="S936" s="217"/>
      <c r="AA936" s="215"/>
    </row>
    <row r="937" spans="6:27" ht="13.2">
      <c r="F937" s="214"/>
      <c r="G937" s="215"/>
      <c r="J937" s="215"/>
      <c r="K937" s="215"/>
      <c r="L937" s="215"/>
      <c r="M937" s="215"/>
      <c r="S937" s="217"/>
      <c r="AA937" s="215"/>
    </row>
    <row r="938" spans="6:27" ht="13.2">
      <c r="F938" s="214"/>
      <c r="G938" s="215"/>
      <c r="J938" s="215"/>
      <c r="K938" s="215"/>
      <c r="L938" s="215"/>
      <c r="M938" s="215"/>
      <c r="S938" s="217"/>
      <c r="AA938" s="215"/>
    </row>
    <row r="939" spans="6:27" ht="13.2">
      <c r="F939" s="214"/>
      <c r="G939" s="215"/>
      <c r="J939" s="215"/>
      <c r="K939" s="215"/>
      <c r="L939" s="215"/>
      <c r="M939" s="215"/>
      <c r="S939" s="217"/>
      <c r="AA939" s="215"/>
    </row>
    <row r="940" spans="6:27" ht="13.2">
      <c r="F940" s="214"/>
      <c r="G940" s="215"/>
      <c r="J940" s="215"/>
      <c r="K940" s="215"/>
      <c r="L940" s="215"/>
      <c r="M940" s="215"/>
      <c r="S940" s="217"/>
      <c r="AA940" s="215"/>
    </row>
    <row r="941" spans="6:27" ht="13.2">
      <c r="F941" s="214"/>
      <c r="G941" s="215"/>
      <c r="J941" s="215"/>
      <c r="K941" s="215"/>
      <c r="L941" s="215"/>
      <c r="M941" s="215"/>
      <c r="S941" s="217"/>
      <c r="AA941" s="215"/>
    </row>
    <row r="942" spans="6:27" ht="13.2">
      <c r="F942" s="214"/>
      <c r="G942" s="215"/>
      <c r="J942" s="215"/>
      <c r="K942" s="215"/>
      <c r="L942" s="215"/>
      <c r="M942" s="215"/>
      <c r="S942" s="217"/>
      <c r="AA942" s="215"/>
    </row>
    <row r="943" spans="6:27" ht="13.2">
      <c r="F943" s="214"/>
      <c r="G943" s="215"/>
      <c r="J943" s="215"/>
      <c r="K943" s="215"/>
      <c r="L943" s="215"/>
      <c r="M943" s="215"/>
      <c r="S943" s="217"/>
      <c r="AA943" s="215"/>
    </row>
    <row r="944" spans="6:27" ht="13.2">
      <c r="F944" s="214"/>
      <c r="G944" s="215"/>
      <c r="J944" s="215"/>
      <c r="K944" s="215"/>
      <c r="L944" s="215"/>
      <c r="M944" s="215"/>
      <c r="S944" s="217"/>
      <c r="AA944" s="215"/>
    </row>
    <row r="945" spans="6:27" ht="13.2">
      <c r="F945" s="214"/>
      <c r="G945" s="215"/>
      <c r="J945" s="215"/>
      <c r="K945" s="215"/>
      <c r="L945" s="215"/>
      <c r="M945" s="215"/>
      <c r="S945" s="217"/>
      <c r="AA945" s="215"/>
    </row>
    <row r="946" spans="6:27" ht="13.2">
      <c r="F946" s="214"/>
      <c r="G946" s="215"/>
      <c r="J946" s="215"/>
      <c r="K946" s="215"/>
      <c r="L946" s="215"/>
      <c r="M946" s="215"/>
      <c r="S946" s="217"/>
      <c r="AA946" s="215"/>
    </row>
    <row r="947" spans="6:27" ht="13.2">
      <c r="F947" s="214"/>
      <c r="G947" s="215"/>
      <c r="J947" s="215"/>
      <c r="K947" s="215"/>
      <c r="L947" s="215"/>
      <c r="M947" s="215"/>
      <c r="S947" s="217"/>
      <c r="AA947" s="215"/>
    </row>
    <row r="948" spans="6:27" ht="13.2">
      <c r="F948" s="214"/>
      <c r="G948" s="215"/>
      <c r="J948" s="215"/>
      <c r="K948" s="215"/>
      <c r="L948" s="215"/>
      <c r="M948" s="215"/>
      <c r="S948" s="217"/>
      <c r="AA948" s="215"/>
    </row>
    <row r="949" spans="6:27" ht="13.2">
      <c r="F949" s="214"/>
      <c r="G949" s="215"/>
      <c r="J949" s="215"/>
      <c r="K949" s="215"/>
      <c r="L949" s="215"/>
      <c r="M949" s="215"/>
      <c r="S949" s="217"/>
      <c r="AA949" s="215"/>
    </row>
    <row r="950" spans="6:27" ht="13.2">
      <c r="F950" s="214"/>
      <c r="G950" s="215"/>
      <c r="J950" s="215"/>
      <c r="K950" s="215"/>
      <c r="L950" s="215"/>
      <c r="M950" s="215"/>
      <c r="S950" s="217"/>
      <c r="AA950" s="215"/>
    </row>
    <row r="951" spans="6:27" ht="13.2">
      <c r="F951" s="214"/>
      <c r="G951" s="215"/>
      <c r="J951" s="215"/>
      <c r="K951" s="215"/>
      <c r="L951" s="215"/>
      <c r="M951" s="215"/>
      <c r="S951" s="217"/>
      <c r="AA951" s="215"/>
    </row>
    <row r="952" spans="6:27" ht="13.2">
      <c r="F952" s="214"/>
      <c r="G952" s="215"/>
      <c r="J952" s="215"/>
      <c r="K952" s="215"/>
      <c r="L952" s="215"/>
      <c r="M952" s="215"/>
      <c r="S952" s="217"/>
      <c r="AA952" s="215"/>
    </row>
    <row r="953" spans="6:27" ht="13.2">
      <c r="F953" s="214"/>
      <c r="G953" s="215"/>
      <c r="J953" s="215"/>
      <c r="K953" s="215"/>
      <c r="L953" s="215"/>
      <c r="M953" s="215"/>
      <c r="S953" s="217"/>
      <c r="AA953" s="215"/>
    </row>
    <row r="954" spans="6:27" ht="13.2">
      <c r="F954" s="214"/>
      <c r="G954" s="215"/>
      <c r="J954" s="215"/>
      <c r="K954" s="215"/>
      <c r="L954" s="215"/>
      <c r="M954" s="215"/>
      <c r="S954" s="217"/>
      <c r="AA954" s="215"/>
    </row>
    <row r="955" spans="6:27" ht="13.2">
      <c r="F955" s="214"/>
      <c r="G955" s="215"/>
      <c r="J955" s="215"/>
      <c r="K955" s="215"/>
      <c r="L955" s="215"/>
      <c r="M955" s="215"/>
      <c r="S955" s="217"/>
      <c r="AA955" s="215"/>
    </row>
    <row r="956" spans="6:27" ht="13.2">
      <c r="F956" s="214"/>
      <c r="G956" s="215"/>
      <c r="J956" s="215"/>
      <c r="K956" s="215"/>
      <c r="L956" s="215"/>
      <c r="M956" s="215"/>
      <c r="S956" s="217"/>
      <c r="AA956" s="215"/>
    </row>
    <row r="957" spans="6:27" ht="13.2">
      <c r="F957" s="214"/>
      <c r="G957" s="215"/>
      <c r="J957" s="215"/>
      <c r="K957" s="215"/>
      <c r="L957" s="215"/>
      <c r="M957" s="215"/>
      <c r="S957" s="217"/>
      <c r="AA957" s="215"/>
    </row>
    <row r="958" spans="6:27" ht="13.2">
      <c r="F958" s="214"/>
      <c r="G958" s="215"/>
      <c r="J958" s="215"/>
      <c r="K958" s="215"/>
      <c r="L958" s="215"/>
      <c r="M958" s="215"/>
      <c r="S958" s="217"/>
      <c r="AA958" s="215"/>
    </row>
    <row r="959" spans="6:27" ht="13.2">
      <c r="F959" s="214"/>
      <c r="G959" s="215"/>
      <c r="J959" s="215"/>
      <c r="K959" s="215"/>
      <c r="L959" s="215"/>
      <c r="M959" s="215"/>
      <c r="S959" s="217"/>
      <c r="AA959" s="215"/>
    </row>
    <row r="960" spans="6:27" ht="13.2">
      <c r="F960" s="214"/>
      <c r="G960" s="215"/>
      <c r="J960" s="215"/>
      <c r="K960" s="215"/>
      <c r="L960" s="215"/>
      <c r="M960" s="215"/>
      <c r="S960" s="217"/>
      <c r="AA960" s="215"/>
    </row>
    <row r="961" spans="6:27" ht="13.2">
      <c r="F961" s="214"/>
      <c r="G961" s="215"/>
      <c r="J961" s="215"/>
      <c r="K961" s="215"/>
      <c r="L961" s="215"/>
      <c r="M961" s="215"/>
      <c r="S961" s="217"/>
      <c r="AA961" s="215"/>
    </row>
    <row r="962" spans="6:27" ht="13.2">
      <c r="F962" s="214"/>
      <c r="G962" s="215"/>
      <c r="J962" s="215"/>
      <c r="K962" s="215"/>
      <c r="L962" s="215"/>
      <c r="M962" s="215"/>
      <c r="S962" s="217"/>
      <c r="AA962" s="215"/>
    </row>
    <row r="963" spans="6:27" ht="13.2">
      <c r="F963" s="214"/>
      <c r="G963" s="215"/>
      <c r="J963" s="215"/>
      <c r="K963" s="215"/>
      <c r="L963" s="215"/>
      <c r="M963" s="215"/>
      <c r="S963" s="217"/>
      <c r="AA963" s="215"/>
    </row>
    <row r="964" spans="6:27" ht="13.2">
      <c r="F964" s="214"/>
      <c r="G964" s="215"/>
      <c r="J964" s="215"/>
      <c r="K964" s="215"/>
      <c r="L964" s="215"/>
      <c r="M964" s="215"/>
      <c r="S964" s="217"/>
      <c r="AA964" s="215"/>
    </row>
    <row r="965" spans="6:27" ht="13.2">
      <c r="F965" s="214"/>
      <c r="G965" s="215"/>
      <c r="J965" s="215"/>
      <c r="K965" s="215"/>
      <c r="L965" s="215"/>
      <c r="M965" s="215"/>
      <c r="S965" s="217"/>
      <c r="AA965" s="215"/>
    </row>
    <row r="966" spans="6:27" ht="13.2">
      <c r="F966" s="214"/>
      <c r="G966" s="215"/>
      <c r="J966" s="215"/>
      <c r="K966" s="215"/>
      <c r="L966" s="215"/>
      <c r="M966" s="215"/>
      <c r="S966" s="217"/>
      <c r="AA966" s="215"/>
    </row>
    <row r="967" spans="6:27" ht="13.2">
      <c r="F967" s="214"/>
      <c r="G967" s="215"/>
      <c r="J967" s="215"/>
      <c r="K967" s="215"/>
      <c r="L967" s="215"/>
      <c r="M967" s="215"/>
      <c r="S967" s="217"/>
      <c r="AA967" s="215"/>
    </row>
    <row r="968" spans="6:27" ht="13.2">
      <c r="F968" s="214"/>
      <c r="G968" s="215"/>
      <c r="J968" s="215"/>
      <c r="K968" s="215"/>
      <c r="L968" s="215"/>
      <c r="M968" s="215"/>
      <c r="S968" s="217"/>
      <c r="AA968" s="215"/>
    </row>
    <row r="969" spans="6:27" ht="13.2">
      <c r="F969" s="214"/>
      <c r="G969" s="215"/>
      <c r="J969" s="215"/>
      <c r="K969" s="215"/>
      <c r="L969" s="215"/>
      <c r="M969" s="215"/>
      <c r="S969" s="217"/>
      <c r="AA969" s="215"/>
    </row>
    <row r="970" spans="6:27" ht="13.2">
      <c r="F970" s="214"/>
      <c r="G970" s="215"/>
      <c r="J970" s="215"/>
      <c r="K970" s="215"/>
      <c r="L970" s="215"/>
      <c r="M970" s="215"/>
      <c r="S970" s="217"/>
      <c r="AA970" s="215"/>
    </row>
    <row r="971" spans="6:27" ht="13.2">
      <c r="F971" s="214"/>
      <c r="G971" s="215"/>
      <c r="J971" s="215"/>
      <c r="K971" s="215"/>
      <c r="L971" s="215"/>
      <c r="M971" s="215"/>
      <c r="S971" s="217"/>
      <c r="AA971" s="215"/>
    </row>
    <row r="972" spans="6:27" ht="13.2">
      <c r="F972" s="214"/>
      <c r="G972" s="215"/>
      <c r="J972" s="215"/>
      <c r="K972" s="215"/>
      <c r="L972" s="215"/>
      <c r="M972" s="215"/>
      <c r="S972" s="217"/>
      <c r="AA972" s="215"/>
    </row>
    <row r="973" spans="6:27" ht="13.2">
      <c r="F973" s="214"/>
      <c r="G973" s="215"/>
      <c r="J973" s="215"/>
      <c r="K973" s="215"/>
      <c r="L973" s="215"/>
      <c r="M973" s="215"/>
      <c r="S973" s="217"/>
      <c r="AA973" s="215"/>
    </row>
    <row r="974" spans="6:27" ht="13.2">
      <c r="F974" s="214"/>
      <c r="G974" s="215"/>
      <c r="J974" s="215"/>
      <c r="K974" s="215"/>
      <c r="L974" s="215"/>
      <c r="M974" s="215"/>
      <c r="S974" s="217"/>
      <c r="AA974" s="215"/>
    </row>
    <row r="975" spans="6:27" ht="13.2">
      <c r="F975" s="214"/>
      <c r="G975" s="215"/>
      <c r="J975" s="215"/>
      <c r="K975" s="215"/>
      <c r="L975" s="215"/>
      <c r="M975" s="215"/>
      <c r="S975" s="217"/>
      <c r="AA975" s="215"/>
    </row>
    <row r="976" spans="6:27" ht="13.2">
      <c r="F976" s="214"/>
      <c r="G976" s="215"/>
      <c r="J976" s="215"/>
      <c r="K976" s="215"/>
      <c r="L976" s="215"/>
      <c r="M976" s="215"/>
      <c r="S976" s="217"/>
      <c r="AA976" s="215"/>
    </row>
    <row r="977" spans="6:27" ht="13.2">
      <c r="F977" s="214"/>
      <c r="G977" s="215"/>
      <c r="J977" s="215"/>
      <c r="K977" s="215"/>
      <c r="L977" s="215"/>
      <c r="M977" s="215"/>
      <c r="S977" s="217"/>
      <c r="AA977" s="215"/>
    </row>
    <row r="978" spans="6:27" ht="13.2">
      <c r="F978" s="214"/>
      <c r="G978" s="215"/>
      <c r="J978" s="215"/>
      <c r="K978" s="215"/>
      <c r="L978" s="215"/>
      <c r="M978" s="215"/>
      <c r="S978" s="217"/>
      <c r="AA978" s="215"/>
    </row>
    <row r="979" spans="6:27" ht="13.2">
      <c r="F979" s="214"/>
      <c r="G979" s="215"/>
      <c r="J979" s="215"/>
      <c r="K979" s="215"/>
      <c r="L979" s="215"/>
      <c r="M979" s="215"/>
      <c r="S979" s="217"/>
      <c r="AA979" s="215"/>
    </row>
    <row r="980" spans="6:27" ht="13.2">
      <c r="F980" s="214"/>
      <c r="G980" s="215"/>
      <c r="J980" s="215"/>
      <c r="K980" s="215"/>
      <c r="L980" s="215"/>
      <c r="M980" s="215"/>
      <c r="S980" s="217"/>
      <c r="AA980" s="215"/>
    </row>
    <row r="981" spans="6:27" ht="13.2">
      <c r="F981" s="214"/>
      <c r="G981" s="215"/>
      <c r="J981" s="215"/>
      <c r="K981" s="215"/>
      <c r="L981" s="215"/>
      <c r="M981" s="215"/>
      <c r="S981" s="217"/>
      <c r="AA981" s="215"/>
    </row>
    <row r="982" spans="6:27" ht="13.2">
      <c r="F982" s="214"/>
      <c r="G982" s="215"/>
      <c r="J982" s="215"/>
      <c r="K982" s="215"/>
      <c r="L982" s="215"/>
      <c r="M982" s="215"/>
      <c r="S982" s="217"/>
      <c r="AA982" s="215"/>
    </row>
    <row r="983" spans="6:27" ht="13.2">
      <c r="F983" s="214"/>
      <c r="G983" s="215"/>
      <c r="J983" s="215"/>
      <c r="K983" s="215"/>
      <c r="L983" s="215"/>
      <c r="M983" s="215"/>
      <c r="S983" s="217"/>
      <c r="AA983" s="215"/>
    </row>
    <row r="984" spans="6:27" ht="13.2">
      <c r="F984" s="214"/>
      <c r="G984" s="215"/>
      <c r="J984" s="215"/>
      <c r="K984" s="215"/>
      <c r="L984" s="215"/>
      <c r="M984" s="215"/>
      <c r="S984" s="217"/>
      <c r="AA984" s="215"/>
    </row>
    <row r="985" spans="6:27" ht="13.2">
      <c r="F985" s="214"/>
      <c r="G985" s="215"/>
      <c r="J985" s="215"/>
      <c r="K985" s="215"/>
      <c r="L985" s="215"/>
      <c r="M985" s="215"/>
      <c r="S985" s="217"/>
      <c r="AA985" s="215"/>
    </row>
    <row r="986" spans="6:27" ht="13.2">
      <c r="F986" s="214"/>
      <c r="G986" s="215"/>
      <c r="J986" s="215"/>
      <c r="K986" s="215"/>
      <c r="L986" s="215"/>
      <c r="M986" s="215"/>
      <c r="S986" s="217"/>
      <c r="AA986" s="215"/>
    </row>
    <row r="987" spans="6:27" ht="13.2">
      <c r="F987" s="214"/>
      <c r="G987" s="215"/>
      <c r="J987" s="215"/>
      <c r="K987" s="215"/>
      <c r="L987" s="215"/>
      <c r="M987" s="215"/>
      <c r="S987" s="217"/>
      <c r="AA987" s="215"/>
    </row>
    <row r="988" spans="6:27" ht="13.2">
      <c r="F988" s="214"/>
      <c r="G988" s="215"/>
      <c r="J988" s="215"/>
      <c r="K988" s="215"/>
      <c r="L988" s="215"/>
      <c r="M988" s="215"/>
      <c r="S988" s="217"/>
      <c r="AA988" s="215"/>
    </row>
    <row r="989" spans="6:27" ht="13.2">
      <c r="F989" s="214"/>
      <c r="G989" s="215"/>
      <c r="J989" s="215"/>
      <c r="K989" s="215"/>
      <c r="L989" s="215"/>
      <c r="M989" s="215"/>
      <c r="S989" s="217"/>
      <c r="AA989" s="215"/>
    </row>
    <row r="990" spans="6:27" ht="13.2">
      <c r="F990" s="214"/>
      <c r="G990" s="215"/>
      <c r="J990" s="215"/>
      <c r="K990" s="215"/>
      <c r="L990" s="215"/>
      <c r="M990" s="215"/>
      <c r="S990" s="217"/>
      <c r="AA990" s="215"/>
    </row>
    <row r="991" spans="6:27" ht="13.2">
      <c r="F991" s="214"/>
      <c r="G991" s="215"/>
      <c r="J991" s="215"/>
      <c r="K991" s="215"/>
      <c r="L991" s="215"/>
      <c r="M991" s="215"/>
      <c r="S991" s="217"/>
      <c r="AA991" s="215"/>
    </row>
    <row r="992" spans="6:27" ht="13.2">
      <c r="F992" s="214"/>
      <c r="G992" s="215"/>
      <c r="J992" s="215"/>
      <c r="K992" s="215"/>
      <c r="L992" s="215"/>
      <c r="M992" s="215"/>
      <c r="S992" s="217"/>
      <c r="AA992" s="215"/>
    </row>
    <row r="993" spans="6:27" ht="13.2">
      <c r="F993" s="214"/>
      <c r="G993" s="215"/>
      <c r="J993" s="215"/>
      <c r="K993" s="215"/>
      <c r="L993" s="215"/>
      <c r="M993" s="215"/>
      <c r="S993" s="217"/>
      <c r="AA993" s="215"/>
    </row>
    <row r="994" spans="6:27" ht="13.2">
      <c r="F994" s="214"/>
      <c r="G994" s="215"/>
      <c r="J994" s="215"/>
      <c r="K994" s="215"/>
      <c r="L994" s="215"/>
      <c r="M994" s="215"/>
      <c r="S994" s="217"/>
      <c r="AA994" s="215"/>
    </row>
    <row r="995" spans="6:27" ht="13.2">
      <c r="F995" s="214"/>
      <c r="G995" s="215"/>
      <c r="J995" s="215"/>
      <c r="K995" s="215"/>
      <c r="L995" s="215"/>
      <c r="M995" s="215"/>
      <c r="S995" s="217"/>
      <c r="AA995" s="215"/>
    </row>
    <row r="996" spans="6:27" ht="13.2">
      <c r="F996" s="214"/>
      <c r="G996" s="215"/>
      <c r="J996" s="215"/>
      <c r="K996" s="215"/>
      <c r="L996" s="215"/>
      <c r="M996" s="215"/>
      <c r="S996" s="217"/>
      <c r="AA996" s="215"/>
    </row>
    <row r="997" spans="6:27" ht="13.2">
      <c r="F997" s="214"/>
      <c r="G997" s="215"/>
      <c r="J997" s="215"/>
      <c r="K997" s="215"/>
      <c r="L997" s="215"/>
      <c r="M997" s="215"/>
      <c r="S997" s="217"/>
      <c r="AA997" s="215"/>
    </row>
    <row r="998" spans="6:27" ht="13.2">
      <c r="F998" s="214"/>
      <c r="G998" s="215"/>
      <c r="J998" s="215"/>
      <c r="K998" s="215"/>
      <c r="L998" s="215"/>
      <c r="M998" s="215"/>
      <c r="S998" s="217"/>
      <c r="AA998" s="215"/>
    </row>
    <row r="999" spans="6:27" ht="13.2">
      <c r="F999" s="214"/>
      <c r="G999" s="215"/>
      <c r="J999" s="215"/>
      <c r="K999" s="215"/>
      <c r="L999" s="215"/>
      <c r="M999" s="215"/>
      <c r="S999" s="217"/>
      <c r="AA999" s="215"/>
    </row>
    <row r="1000" spans="6:27" ht="13.2">
      <c r="F1000" s="214"/>
      <c r="G1000" s="215"/>
      <c r="J1000" s="215"/>
      <c r="K1000" s="215"/>
      <c r="L1000" s="215"/>
      <c r="M1000" s="215"/>
      <c r="S1000" s="217"/>
      <c r="AA1000" s="215"/>
    </row>
  </sheetData>
  <conditionalFormatting sqref="A275">
    <cfRule type="cellIs" dxfId="4" priority="1" operator="greaterThanOrEqual">
      <formula>5</formula>
    </cfRule>
  </conditionalFormatting>
  <conditionalFormatting sqref="I276:I538">
    <cfRule type="cellIs" dxfId="3" priority="2" operator="greaterThanOrEqual">
      <formula>"$72,790,219"</formula>
    </cfRule>
  </conditionalFormatting>
  <conditionalFormatting sqref="I276:I538">
    <cfRule type="cellIs" dxfId="2" priority="3" operator="lessThanOrEqual">
      <formula>430500</formula>
    </cfRule>
  </conditionalFormatting>
  <conditionalFormatting sqref="F1:F40 G1:G263 J1:M263 AH3:AH22 F42 F44 F46 F48:F263">
    <cfRule type="cellIs" dxfId="1" priority="4" operator="greaterThanOrEqual">
      <formula>10000000</formula>
    </cfRule>
  </conditionalFormatting>
  <conditionalFormatting sqref="S1:S263">
    <cfRule type="cellIs" dxfId="0" priority="5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18</vt:i4>
      </vt:variant>
    </vt:vector>
  </HeadingPairs>
  <TitlesOfParts>
    <vt:vector size="25" baseType="lpstr">
      <vt:lpstr>Data Entries - EquityNoteSAFE</vt:lpstr>
      <vt:lpstr>Data Entries - DebtRev Share</vt:lpstr>
      <vt:lpstr>Dropdowns</vt:lpstr>
      <vt:lpstr>Data Processing</vt:lpstr>
      <vt:lpstr>Issues</vt:lpstr>
      <vt:lpstr>Charts</vt:lpstr>
      <vt:lpstr>Sheet7</vt:lpstr>
      <vt:lpstr>diffrentiation_sums</vt:lpstr>
      <vt:lpstr>discount_rates</vt:lpstr>
      <vt:lpstr>exits</vt:lpstr>
      <vt:lpstr>industry_experiences</vt:lpstr>
      <vt:lpstr>interest_rates</vt:lpstr>
      <vt:lpstr>market_growth_rates</vt:lpstr>
      <vt:lpstr>market_ratings_sums</vt:lpstr>
      <vt:lpstr>market_sizes</vt:lpstr>
      <vt:lpstr>performance_ratings_sums</vt:lpstr>
      <vt:lpstr>prior_rounds_amounts</vt:lpstr>
      <vt:lpstr>ratings_sums</vt:lpstr>
      <vt:lpstr>return_mutiples</vt:lpstr>
      <vt:lpstr>revenues</vt:lpstr>
      <vt:lpstr>team_ratings_sums</vt:lpstr>
      <vt:lpstr>valuation_caps</vt:lpstr>
      <vt:lpstr>'Data Entries - DebtRev Share'!valuation_caps_after_discount</vt:lpstr>
      <vt:lpstr>valuation_caps_after_discount</vt:lpstr>
      <vt:lpstr>valuations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 Vu</cp:lastModifiedBy>
  <dcterms:modified xsi:type="dcterms:W3CDTF">2020-04-30T02:27:59Z</dcterms:modified>
</cp:coreProperties>
</file>